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charts/chart7.xml" ContentType="application/vnd.openxmlformats-officedocument.drawingml.chart+xml"/>
  <Override PartName="/xl/charts/chart8.xml" ContentType="application/vnd.openxmlformats-officedocument.drawingml.chart+xml"/>
  <Override PartName="/xl/drawings/drawing9.xml" ContentType="application/vnd.openxmlformats-officedocument.drawing+xml"/>
  <Override PartName="/xl/embeddings/oleObject324.bin" ContentType="application/vnd.openxmlformats-officedocument.oleObject"/>
  <Override PartName="/xl/embeddings/oleObject325.bin" ContentType="application/vnd.openxmlformats-officedocument.oleObject"/>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mbeddings/oleObject326.bin" ContentType="application/vnd.openxmlformats-officedocument.oleObject"/>
  <Override PartName="/xl/embeddings/oleObject327.bin" ContentType="application/vnd.openxmlformats-officedocument.oleObject"/>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15" yWindow="-15" windowWidth="13800" windowHeight="12930" tabRatio="624"/>
  </bookViews>
  <sheets>
    <sheet name="Вывод расчетов"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definedNames>
    <definedName name="Раздел_7_Параметры_рабочего_режима_двигателя">'Вывод расчетов'!#REF!</definedName>
  </definedNames>
  <calcPr calcId="144525" iterateDelta="1E-4"/>
</workbook>
</file>

<file path=xl/calcChain.xml><?xml version="1.0" encoding="utf-8"?>
<calcChain xmlns="http://schemas.openxmlformats.org/spreadsheetml/2006/main">
  <c r="MQ170" i="1" l="1"/>
  <c r="CO110" i="1"/>
  <c r="BE59" i="6"/>
  <c r="X10" i="6" l="1"/>
  <c r="T12" i="6" s="1"/>
  <c r="AGA45" i="1"/>
  <c r="AFQ104" i="1"/>
  <c r="AFQ46" i="1"/>
  <c r="AFQ47" i="1"/>
  <c r="AFQ48" i="1"/>
  <c r="AFQ49" i="1"/>
  <c r="AFQ50" i="1"/>
  <c r="AFQ51" i="1"/>
  <c r="AFQ52" i="1"/>
  <c r="AFQ53" i="1"/>
  <c r="AFQ54" i="1"/>
  <c r="AFQ55" i="1"/>
  <c r="AFQ56" i="1"/>
  <c r="AFQ57" i="1"/>
  <c r="AFQ58" i="1"/>
  <c r="AFQ59" i="1"/>
  <c r="AFQ60" i="1"/>
  <c r="AFQ61" i="1"/>
  <c r="AFQ62" i="1"/>
  <c r="AFQ63" i="1"/>
  <c r="AFQ64" i="1"/>
  <c r="AFQ65" i="1"/>
  <c r="AFQ66" i="1"/>
  <c r="AFQ67" i="1"/>
  <c r="AFQ68" i="1"/>
  <c r="AFQ69" i="1"/>
  <c r="AFQ70" i="1"/>
  <c r="AFQ71" i="1"/>
  <c r="AFQ72" i="1"/>
  <c r="AFQ73" i="1"/>
  <c r="AFQ74" i="1"/>
  <c r="AFQ75" i="1"/>
  <c r="AFQ76" i="1"/>
  <c r="AFQ77" i="1"/>
  <c r="AFQ78" i="1"/>
  <c r="AFQ79" i="1"/>
  <c r="AFQ80" i="1"/>
  <c r="AFQ81" i="1"/>
  <c r="AFQ82" i="1"/>
  <c r="AFQ83" i="1"/>
  <c r="AFQ84" i="1"/>
  <c r="AFQ85" i="1"/>
  <c r="AFQ86" i="1"/>
  <c r="AFQ87" i="1"/>
  <c r="AFQ88" i="1"/>
  <c r="AFQ89" i="1"/>
  <c r="AFQ90" i="1"/>
  <c r="AFQ91" i="1"/>
  <c r="AFQ92" i="1"/>
  <c r="AFQ93" i="1"/>
  <c r="AFQ94" i="1"/>
  <c r="AFQ95" i="1"/>
  <c r="AFQ96" i="1"/>
  <c r="AFQ97" i="1"/>
  <c r="AFQ98" i="1"/>
  <c r="AFQ99" i="1"/>
  <c r="AFQ100" i="1"/>
  <c r="AFQ101" i="1"/>
  <c r="AFQ102" i="1"/>
  <c r="AFQ103" i="1"/>
  <c r="AFQ45" i="1"/>
  <c r="AFG46" i="1"/>
  <c r="AFG47" i="1"/>
  <c r="AFG48" i="1"/>
  <c r="AFG49" i="1"/>
  <c r="AFG50" i="1"/>
  <c r="AFG51" i="1"/>
  <c r="AFG52" i="1"/>
  <c r="AFG53" i="1"/>
  <c r="AFG54" i="1"/>
  <c r="AFG55" i="1"/>
  <c r="AFG56" i="1"/>
  <c r="AFG57" i="1"/>
  <c r="AFG58" i="1"/>
  <c r="AFG59" i="1"/>
  <c r="AFG60" i="1"/>
  <c r="AFG61" i="1"/>
  <c r="AFG62" i="1"/>
  <c r="AFG63" i="1"/>
  <c r="AFG64" i="1"/>
  <c r="AFG65" i="1"/>
  <c r="AFG66" i="1"/>
  <c r="AFG67" i="1"/>
  <c r="AFG68" i="1"/>
  <c r="AFG69" i="1"/>
  <c r="AFG70" i="1"/>
  <c r="AFG71" i="1"/>
  <c r="AFG72" i="1"/>
  <c r="AFG73" i="1"/>
  <c r="AFG74" i="1"/>
  <c r="AFG75" i="1"/>
  <c r="AFG76" i="1"/>
  <c r="AFG77" i="1"/>
  <c r="AFG78" i="1"/>
  <c r="AFG79" i="1"/>
  <c r="AFG80" i="1"/>
  <c r="AFG81" i="1"/>
  <c r="AFG82" i="1"/>
  <c r="AFG83" i="1"/>
  <c r="AFG84" i="1"/>
  <c r="AFG85" i="1"/>
  <c r="AFG86" i="1"/>
  <c r="AFG87" i="1"/>
  <c r="AFG88" i="1"/>
  <c r="AFG89" i="1"/>
  <c r="AFG90" i="1"/>
  <c r="AFG91" i="1"/>
  <c r="AFG92" i="1"/>
  <c r="AFG93" i="1"/>
  <c r="AFG94" i="1"/>
  <c r="AFG95" i="1"/>
  <c r="AFG96" i="1"/>
  <c r="AFG97" i="1"/>
  <c r="AFG98" i="1"/>
  <c r="AFG99" i="1"/>
  <c r="AFG100" i="1"/>
  <c r="AFG101" i="1"/>
  <c r="AFG102" i="1"/>
  <c r="AFG103" i="1"/>
  <c r="AFG104" i="1"/>
  <c r="AFG45" i="1"/>
  <c r="AEW46" i="1"/>
  <c r="AEW47" i="1"/>
  <c r="AEW48" i="1"/>
  <c r="AEW49" i="1"/>
  <c r="AEW50" i="1"/>
  <c r="AEW51" i="1"/>
  <c r="AEW52" i="1"/>
  <c r="AEW53" i="1"/>
  <c r="AEW54" i="1"/>
  <c r="AEW55" i="1"/>
  <c r="AEW56" i="1"/>
  <c r="AEW57" i="1"/>
  <c r="AEW58" i="1"/>
  <c r="AEW59" i="1"/>
  <c r="AEW60" i="1"/>
  <c r="AEW61" i="1"/>
  <c r="AEW62" i="1"/>
  <c r="AEW63" i="1"/>
  <c r="AEW64" i="1"/>
  <c r="AEW65" i="1"/>
  <c r="AEW66" i="1"/>
  <c r="AEW67" i="1"/>
  <c r="AEW68" i="1"/>
  <c r="AEW69" i="1"/>
  <c r="AEW70" i="1"/>
  <c r="AEW71" i="1"/>
  <c r="AEW72" i="1"/>
  <c r="AEW73" i="1"/>
  <c r="AEW74" i="1"/>
  <c r="AEW75" i="1"/>
  <c r="AEW76" i="1"/>
  <c r="AEW77" i="1"/>
  <c r="AEW78" i="1"/>
  <c r="AEW79" i="1"/>
  <c r="AEW80" i="1"/>
  <c r="AEW81" i="1"/>
  <c r="AEW82" i="1"/>
  <c r="AEW83" i="1"/>
  <c r="AEW84" i="1"/>
  <c r="AEW85" i="1"/>
  <c r="AEW86" i="1"/>
  <c r="AEW87" i="1"/>
  <c r="AEW88" i="1"/>
  <c r="AEW89" i="1"/>
  <c r="AEW90" i="1"/>
  <c r="AEW91" i="1"/>
  <c r="AEW92" i="1"/>
  <c r="AEW93" i="1"/>
  <c r="AEW94" i="1"/>
  <c r="AEW95" i="1"/>
  <c r="AEW96" i="1"/>
  <c r="AEW97" i="1"/>
  <c r="AEW98" i="1"/>
  <c r="AEW99" i="1"/>
  <c r="AEW100" i="1"/>
  <c r="AEW101" i="1"/>
  <c r="AEW102" i="1"/>
  <c r="AEW103" i="1"/>
  <c r="AEW104" i="1"/>
  <c r="AEW45" i="1"/>
  <c r="U12" i="6" l="1"/>
  <c r="S12" i="6"/>
  <c r="R12" i="6"/>
  <c r="GW65" i="1"/>
  <c r="CO118" i="1" l="1"/>
  <c r="CO114" i="1"/>
  <c r="CO100" i="1"/>
  <c r="BO324" i="6" l="1"/>
  <c r="X189" i="6"/>
  <c r="PO53" i="1" l="1"/>
  <c r="EC82" i="1"/>
  <c r="EF81" i="1"/>
  <c r="CL126" i="1" l="1"/>
  <c r="BZ131" i="1"/>
  <c r="BZ130" i="1"/>
  <c r="CF129" i="1"/>
  <c r="CE95" i="1"/>
  <c r="BZ104" i="1"/>
  <c r="EB129" i="1"/>
  <c r="AL43" i="1"/>
  <c r="AL42" i="1"/>
  <c r="RJ20" i="1" l="1"/>
  <c r="RJ21" i="1"/>
  <c r="RJ22" i="1"/>
  <c r="RJ23" i="1"/>
  <c r="RJ24" i="1"/>
  <c r="RJ25" i="1"/>
  <c r="RJ26" i="1"/>
  <c r="RJ27" i="1"/>
  <c r="RJ28" i="1"/>
  <c r="RJ29" i="1"/>
  <c r="RJ30" i="1"/>
  <c r="RJ31" i="1"/>
  <c r="RJ32" i="1"/>
  <c r="RJ33" i="1"/>
  <c r="RJ34" i="1"/>
  <c r="RJ35" i="1"/>
  <c r="RJ36" i="1"/>
  <c r="RJ37" i="1"/>
  <c r="RJ38" i="1"/>
  <c r="RJ39" i="1"/>
  <c r="RJ40" i="1"/>
  <c r="RJ41" i="1"/>
  <c r="RJ42" i="1"/>
  <c r="RJ43" i="1"/>
  <c r="RJ44" i="1"/>
  <c r="RJ45" i="1"/>
  <c r="RJ46" i="1"/>
  <c r="RJ47" i="1"/>
  <c r="RJ48" i="1"/>
  <c r="RJ49" i="1"/>
  <c r="RJ50" i="1"/>
  <c r="RJ51" i="1"/>
  <c r="RJ52" i="1"/>
  <c r="RJ53" i="1"/>
  <c r="RJ54" i="1"/>
  <c r="RJ55" i="1"/>
  <c r="RJ56" i="1"/>
  <c r="RJ57" i="1"/>
  <c r="RJ58" i="1"/>
  <c r="RJ59" i="1"/>
  <c r="RJ60" i="1"/>
  <c r="RJ61" i="1"/>
  <c r="RJ62" i="1"/>
  <c r="RJ63" i="1"/>
  <c r="RJ64" i="1"/>
  <c r="RJ65" i="1"/>
  <c r="RJ66" i="1"/>
  <c r="RJ67" i="1"/>
  <c r="RJ68" i="1"/>
  <c r="RJ69" i="1"/>
  <c r="RJ70" i="1"/>
  <c r="RJ71" i="1"/>
  <c r="RJ72" i="1"/>
  <c r="RJ73" i="1"/>
  <c r="RJ74" i="1"/>
  <c r="RJ75" i="1"/>
  <c r="RJ76" i="1"/>
  <c r="RJ77" i="1"/>
  <c r="RJ78" i="1"/>
  <c r="RJ79" i="1"/>
  <c r="RJ80" i="1"/>
  <c r="RJ81" i="1"/>
  <c r="RJ82" i="1"/>
  <c r="RJ83" i="1"/>
  <c r="RJ84" i="1"/>
  <c r="RJ85" i="1"/>
  <c r="RJ86" i="1"/>
  <c r="RJ87" i="1"/>
  <c r="RJ88" i="1"/>
  <c r="RJ89" i="1"/>
  <c r="RJ90" i="1"/>
  <c r="RJ91" i="1"/>
  <c r="RJ92" i="1"/>
  <c r="RJ93" i="1"/>
  <c r="RJ94" i="1"/>
  <c r="RJ95" i="1"/>
  <c r="RJ96" i="1"/>
  <c r="RJ97" i="1"/>
  <c r="RJ98" i="1"/>
  <c r="RJ99" i="1"/>
  <c r="RJ100" i="1"/>
  <c r="RJ101" i="1"/>
  <c r="RJ102" i="1"/>
  <c r="RJ103" i="1"/>
  <c r="RJ104" i="1"/>
  <c r="RJ105" i="1"/>
  <c r="RJ106" i="1"/>
  <c r="RJ107" i="1"/>
  <c r="RJ108" i="1"/>
  <c r="RJ109" i="1"/>
  <c r="RJ110" i="1"/>
  <c r="RJ111" i="1"/>
  <c r="RJ112" i="1"/>
  <c r="RJ113" i="1"/>
  <c r="RJ114" i="1"/>
  <c r="RJ115" i="1"/>
  <c r="RJ116" i="1"/>
  <c r="RJ117" i="1"/>
  <c r="RJ118" i="1"/>
  <c r="RJ19" i="1"/>
  <c r="SR15" i="1"/>
  <c r="PL173" i="1"/>
  <c r="PX173" i="1" s="1"/>
  <c r="WK51" i="1" s="1"/>
  <c r="TW14" i="1" l="1"/>
  <c r="SE14" i="1"/>
  <c r="TK14" i="1"/>
  <c r="WT15" i="1"/>
  <c r="WF76" i="1"/>
  <c r="WG13" i="1"/>
  <c r="MQ164" i="1" l="1"/>
  <c r="MG97" i="1" s="1"/>
  <c r="WF68" i="1"/>
  <c r="WG14" i="1"/>
  <c r="WF64" i="1"/>
  <c r="PO183" i="1"/>
  <c r="PL190" i="1"/>
  <c r="PP109" i="1"/>
  <c r="PM109" i="1"/>
  <c r="PL104" i="1"/>
  <c r="PN101" i="1"/>
  <c r="PR75" i="1" l="1"/>
  <c r="PN77" i="1"/>
  <c r="ABY133" i="1" l="1"/>
  <c r="ABY132" i="1"/>
  <c r="ABY131" i="1"/>
  <c r="ABY130" i="1"/>
  <c r="ABY129" i="1"/>
  <c r="ABY128" i="1"/>
  <c r="ABY127" i="1"/>
  <c r="ABY126" i="1"/>
  <c r="ABY125" i="1"/>
  <c r="ABY124" i="1"/>
  <c r="ABY123" i="1"/>
  <c r="ABY122" i="1"/>
  <c r="ABY121" i="1"/>
  <c r="ABY120" i="1"/>
  <c r="ABY119" i="1"/>
  <c r="ABY118" i="1"/>
  <c r="ABY117" i="1"/>
  <c r="ABY116" i="1"/>
  <c r="ABY115" i="1"/>
  <c r="ABY114" i="1"/>
  <c r="ABY113" i="1"/>
  <c r="ABY112" i="1"/>
  <c r="ABY111" i="1"/>
  <c r="ABY110" i="1"/>
  <c r="ABY109" i="1"/>
  <c r="ABY108" i="1"/>
  <c r="ABY107" i="1"/>
  <c r="ABY106" i="1"/>
  <c r="ABY105" i="1"/>
  <c r="ABY104" i="1"/>
  <c r="ABY103" i="1"/>
  <c r="ABY102" i="1"/>
  <c r="ABY101" i="1"/>
  <c r="ABY100" i="1"/>
  <c r="ABY99" i="1"/>
  <c r="ABY98" i="1"/>
  <c r="ABY97" i="1"/>
  <c r="ABY96" i="1"/>
  <c r="ABY95" i="1"/>
  <c r="ABY94" i="1"/>
  <c r="ABY93" i="1"/>
  <c r="ABY92" i="1"/>
  <c r="ABY91" i="1"/>
  <c r="ABY90" i="1"/>
  <c r="ABY89" i="1"/>
  <c r="ABY88" i="1"/>
  <c r="ABY87" i="1"/>
  <c r="ABY86" i="1"/>
  <c r="ABY85" i="1"/>
  <c r="ABY84" i="1"/>
  <c r="ABY83" i="1"/>
  <c r="ABY82" i="1"/>
  <c r="ABY81" i="1"/>
  <c r="ABY80" i="1"/>
  <c r="ABY79" i="1"/>
  <c r="ABY78" i="1"/>
  <c r="ABY77" i="1"/>
  <c r="ABY76" i="1"/>
  <c r="ABY75" i="1"/>
  <c r="ABY74" i="1"/>
  <c r="ABO133" i="1"/>
  <c r="ABO132" i="1"/>
  <c r="ABO131" i="1"/>
  <c r="ABO130" i="1"/>
  <c r="ABO129" i="1"/>
  <c r="ABO128" i="1"/>
  <c r="ABO127" i="1"/>
  <c r="ABO126" i="1"/>
  <c r="ABO125" i="1"/>
  <c r="ABO124" i="1"/>
  <c r="ABO123" i="1"/>
  <c r="ABO122" i="1"/>
  <c r="ABO121" i="1"/>
  <c r="ABO120" i="1"/>
  <c r="ABO119" i="1"/>
  <c r="ABO118" i="1"/>
  <c r="ABO117" i="1"/>
  <c r="ABO116" i="1"/>
  <c r="ABO115" i="1"/>
  <c r="ABO114" i="1"/>
  <c r="ABO113" i="1"/>
  <c r="ABO112" i="1"/>
  <c r="ABO111" i="1"/>
  <c r="ABO110" i="1"/>
  <c r="ABO109" i="1"/>
  <c r="ABO108" i="1"/>
  <c r="ABO107" i="1"/>
  <c r="ABO106" i="1"/>
  <c r="ABO105" i="1"/>
  <c r="ABO104" i="1"/>
  <c r="ABO103" i="1"/>
  <c r="ABO102" i="1"/>
  <c r="ABO101" i="1"/>
  <c r="ABO100" i="1"/>
  <c r="ABO99" i="1"/>
  <c r="ABO98" i="1"/>
  <c r="ABO97" i="1"/>
  <c r="ABO96" i="1"/>
  <c r="ABO95" i="1"/>
  <c r="ABO94" i="1"/>
  <c r="ABO93" i="1"/>
  <c r="ABO92" i="1"/>
  <c r="ABO91" i="1"/>
  <c r="ABO90" i="1"/>
  <c r="ABO89" i="1"/>
  <c r="ABO88" i="1"/>
  <c r="ABO87" i="1"/>
  <c r="ABO86" i="1"/>
  <c r="ABO85" i="1"/>
  <c r="ABO84" i="1"/>
  <c r="ABO83" i="1"/>
  <c r="ABO82" i="1"/>
  <c r="ABO81" i="1"/>
  <c r="ABO80" i="1"/>
  <c r="ABO79" i="1"/>
  <c r="ABO78" i="1"/>
  <c r="ABO77" i="1"/>
  <c r="ABO76" i="1"/>
  <c r="ABO75" i="1"/>
  <c r="ABO74" i="1"/>
  <c r="ABE133" i="1"/>
  <c r="ABE132" i="1"/>
  <c r="ABE131" i="1"/>
  <c r="ABE130" i="1"/>
  <c r="ABE129" i="1"/>
  <c r="ABE128" i="1"/>
  <c r="ABE127" i="1"/>
  <c r="ABE126" i="1"/>
  <c r="ABE125" i="1"/>
  <c r="ABE124" i="1"/>
  <c r="ABE123" i="1"/>
  <c r="ABE122" i="1"/>
  <c r="ABE121" i="1"/>
  <c r="ABE120" i="1"/>
  <c r="ABE119" i="1"/>
  <c r="ABE118" i="1"/>
  <c r="ABE117" i="1"/>
  <c r="ABE116" i="1"/>
  <c r="ABE115" i="1"/>
  <c r="ABE114" i="1"/>
  <c r="ABE113" i="1"/>
  <c r="ABE112" i="1"/>
  <c r="ABE111" i="1"/>
  <c r="ABE110" i="1"/>
  <c r="ABE109" i="1"/>
  <c r="ABE108" i="1"/>
  <c r="ABE107" i="1"/>
  <c r="ABE106" i="1"/>
  <c r="ABE105" i="1"/>
  <c r="ABE104" i="1"/>
  <c r="ABE103" i="1"/>
  <c r="ABE102" i="1"/>
  <c r="ABE101" i="1"/>
  <c r="ABE100" i="1"/>
  <c r="ABE99" i="1"/>
  <c r="ABE98" i="1"/>
  <c r="ABE97" i="1"/>
  <c r="ABE96" i="1"/>
  <c r="ABE95" i="1"/>
  <c r="ABE94" i="1"/>
  <c r="ABE93" i="1"/>
  <c r="ABE92" i="1"/>
  <c r="ABE91" i="1"/>
  <c r="ABE90" i="1"/>
  <c r="ABE89" i="1"/>
  <c r="ABE88" i="1"/>
  <c r="ABE87" i="1"/>
  <c r="ABE86" i="1"/>
  <c r="ABE85" i="1"/>
  <c r="ABE84" i="1"/>
  <c r="ABE83" i="1"/>
  <c r="ABE82" i="1"/>
  <c r="ABE81" i="1"/>
  <c r="ABE80" i="1"/>
  <c r="ABE79" i="1"/>
  <c r="ABE78" i="1"/>
  <c r="ABE77" i="1"/>
  <c r="ABE76" i="1"/>
  <c r="ABE75" i="1"/>
  <c r="ABE74" i="1"/>
  <c r="AAU133" i="1"/>
  <c r="AAU132" i="1"/>
  <c r="AAU131" i="1"/>
  <c r="AAU130" i="1"/>
  <c r="AAU129" i="1"/>
  <c r="AAU128" i="1"/>
  <c r="AAU127" i="1"/>
  <c r="AAU126" i="1"/>
  <c r="AAU125" i="1"/>
  <c r="AAU124" i="1"/>
  <c r="AAU123" i="1"/>
  <c r="AAU122" i="1"/>
  <c r="AAU121" i="1"/>
  <c r="AAU120" i="1"/>
  <c r="AAU119" i="1"/>
  <c r="AAU118" i="1"/>
  <c r="AAU117" i="1"/>
  <c r="AAU116" i="1"/>
  <c r="AAU115" i="1"/>
  <c r="AAU114" i="1"/>
  <c r="AAU113" i="1"/>
  <c r="AAU112" i="1"/>
  <c r="AAU111" i="1"/>
  <c r="AAU110" i="1"/>
  <c r="AAU109" i="1"/>
  <c r="AAU108" i="1"/>
  <c r="AAU107" i="1"/>
  <c r="AAU106" i="1"/>
  <c r="AAU105" i="1"/>
  <c r="AAU104" i="1"/>
  <c r="AAU103" i="1"/>
  <c r="AAU102" i="1"/>
  <c r="AAU101" i="1"/>
  <c r="AAU100" i="1"/>
  <c r="AAU99" i="1"/>
  <c r="AAU98" i="1"/>
  <c r="AAU97" i="1"/>
  <c r="AAU96" i="1"/>
  <c r="AAU95" i="1"/>
  <c r="AAU94" i="1"/>
  <c r="AAU93" i="1"/>
  <c r="AAU92" i="1"/>
  <c r="AAU91" i="1"/>
  <c r="AAU90" i="1"/>
  <c r="AAU89" i="1"/>
  <c r="AAU88" i="1"/>
  <c r="AAU87" i="1"/>
  <c r="AAU86" i="1"/>
  <c r="AAU85" i="1"/>
  <c r="AAU84" i="1"/>
  <c r="AAU83" i="1"/>
  <c r="AAU82" i="1"/>
  <c r="AAU81" i="1"/>
  <c r="AAU80" i="1"/>
  <c r="AAU79" i="1"/>
  <c r="AAU78" i="1"/>
  <c r="AAU77" i="1"/>
  <c r="AAU76" i="1"/>
  <c r="AAU75" i="1"/>
  <c r="AAU74" i="1"/>
  <c r="PP172" i="1" l="1"/>
  <c r="CC51" i="1"/>
  <c r="AN41" i="1"/>
  <c r="AAK75" i="1"/>
  <c r="AAK76" i="1"/>
  <c r="AAK77" i="1"/>
  <c r="AAK78" i="1"/>
  <c r="AAK79" i="1"/>
  <c r="AAK80" i="1"/>
  <c r="AAK81" i="1"/>
  <c r="AAK82" i="1"/>
  <c r="AAK83" i="1"/>
  <c r="AAK84" i="1"/>
  <c r="AAK85" i="1"/>
  <c r="AAK86" i="1"/>
  <c r="AAK87" i="1"/>
  <c r="AAK88" i="1"/>
  <c r="AAK89" i="1"/>
  <c r="AAK90" i="1"/>
  <c r="AAK91" i="1"/>
  <c r="AAK92" i="1"/>
  <c r="AAK93" i="1"/>
  <c r="AAK94" i="1"/>
  <c r="AAK95" i="1"/>
  <c r="AAK96" i="1"/>
  <c r="AAK97" i="1"/>
  <c r="AAK98" i="1"/>
  <c r="AAK99" i="1"/>
  <c r="AAK100" i="1"/>
  <c r="AAK101" i="1"/>
  <c r="AAK102" i="1"/>
  <c r="AAK103" i="1"/>
  <c r="AAK104" i="1"/>
  <c r="AAK105" i="1"/>
  <c r="AAK106" i="1"/>
  <c r="AAK107" i="1"/>
  <c r="AAK108" i="1"/>
  <c r="AAK109" i="1"/>
  <c r="AAK110" i="1"/>
  <c r="AAK111" i="1"/>
  <c r="AAK112" i="1"/>
  <c r="AAK113" i="1"/>
  <c r="AAK114" i="1"/>
  <c r="AAK115" i="1"/>
  <c r="AAK116" i="1"/>
  <c r="AAK117" i="1"/>
  <c r="AAK118" i="1"/>
  <c r="AAK119" i="1"/>
  <c r="AAK120" i="1"/>
  <c r="AAK121" i="1"/>
  <c r="AAK122" i="1"/>
  <c r="AAK123" i="1"/>
  <c r="AAK124" i="1"/>
  <c r="AAK125" i="1"/>
  <c r="AAK126" i="1"/>
  <c r="AAK127" i="1"/>
  <c r="AAK128" i="1"/>
  <c r="AAK129" i="1"/>
  <c r="AAK130" i="1"/>
  <c r="AAK131" i="1"/>
  <c r="AAK132" i="1"/>
  <c r="AAK133" i="1"/>
  <c r="AAK74" i="1"/>
  <c r="ACI70" i="1"/>
  <c r="ACI69" i="1"/>
  <c r="ACI68" i="1"/>
  <c r="ACI67" i="1"/>
  <c r="ACI66" i="1"/>
  <c r="ACI65" i="1"/>
  <c r="ACI64" i="1"/>
  <c r="ACI63" i="1"/>
  <c r="ACI62" i="1"/>
  <c r="ACI61" i="1"/>
  <c r="ACI60" i="1"/>
  <c r="ACI59" i="1"/>
  <c r="ACI58" i="1"/>
  <c r="ACI57" i="1"/>
  <c r="ACI56" i="1"/>
  <c r="ACI55" i="1"/>
  <c r="ACI54" i="1"/>
  <c r="ACI53" i="1"/>
  <c r="ACI52" i="1"/>
  <c r="ACI51" i="1"/>
  <c r="ACI50" i="1"/>
  <c r="ACI49" i="1"/>
  <c r="ACI48" i="1"/>
  <c r="ACI47" i="1"/>
  <c r="ACI46" i="1"/>
  <c r="ACI45" i="1"/>
  <c r="ACI44" i="1"/>
  <c r="ACI43" i="1"/>
  <c r="ACI42" i="1"/>
  <c r="ACI41" i="1"/>
  <c r="ACI40" i="1"/>
  <c r="ACI39" i="1"/>
  <c r="ACI38" i="1"/>
  <c r="ACI37" i="1"/>
  <c r="ACI36" i="1"/>
  <c r="ACI35" i="1"/>
  <c r="ACI34" i="1"/>
  <c r="ACI33" i="1"/>
  <c r="ACI32" i="1"/>
  <c r="ACI31" i="1"/>
  <c r="ACI30" i="1"/>
  <c r="ACI29" i="1"/>
  <c r="ACI28" i="1"/>
  <c r="ACI27" i="1"/>
  <c r="ACI26" i="1"/>
  <c r="ACI25" i="1"/>
  <c r="ACI24" i="1"/>
  <c r="ACI23" i="1"/>
  <c r="ACI22" i="1"/>
  <c r="ACI21" i="1"/>
  <c r="ACI20" i="1"/>
  <c r="ACI19" i="1"/>
  <c r="ACI18" i="1"/>
  <c r="ACI17" i="1"/>
  <c r="ACI16" i="1"/>
  <c r="ACI15" i="1"/>
  <c r="ACI14" i="1"/>
  <c r="ACI13" i="1"/>
  <c r="ACI12" i="1"/>
  <c r="ACI11" i="1"/>
  <c r="ABW70" i="1"/>
  <c r="ABW69" i="1"/>
  <c r="ABW68" i="1"/>
  <c r="ABW67" i="1"/>
  <c r="ABW66" i="1"/>
  <c r="ABW65" i="1"/>
  <c r="ABW64" i="1"/>
  <c r="ABW63" i="1"/>
  <c r="ABW62" i="1"/>
  <c r="ABW61" i="1"/>
  <c r="ABW60" i="1"/>
  <c r="ABW59" i="1"/>
  <c r="ABW58" i="1"/>
  <c r="ABW57" i="1"/>
  <c r="ABW56" i="1"/>
  <c r="ABW55" i="1"/>
  <c r="ABW54" i="1"/>
  <c r="ABW53" i="1"/>
  <c r="ABW52" i="1"/>
  <c r="ABW51" i="1"/>
  <c r="ABW50" i="1"/>
  <c r="ABW49" i="1"/>
  <c r="ABW48" i="1"/>
  <c r="ABW47" i="1"/>
  <c r="ABW46" i="1"/>
  <c r="ABW45" i="1"/>
  <c r="ABW44" i="1"/>
  <c r="ABW43" i="1"/>
  <c r="ABW42" i="1"/>
  <c r="ABW41" i="1"/>
  <c r="ABW40" i="1"/>
  <c r="ABW39" i="1"/>
  <c r="ABW38" i="1"/>
  <c r="ABW37" i="1"/>
  <c r="ABW36" i="1"/>
  <c r="ABW35" i="1"/>
  <c r="ABW34" i="1"/>
  <c r="ABW33" i="1"/>
  <c r="ABW32" i="1"/>
  <c r="ABW31" i="1"/>
  <c r="ABW30" i="1"/>
  <c r="ABW29" i="1"/>
  <c r="ABW28" i="1"/>
  <c r="ABW27" i="1"/>
  <c r="ABW26" i="1"/>
  <c r="ABW25" i="1"/>
  <c r="ABW24" i="1"/>
  <c r="ABW23" i="1"/>
  <c r="ABW22" i="1"/>
  <c r="ABW21" i="1"/>
  <c r="ABW20" i="1"/>
  <c r="ABW19" i="1"/>
  <c r="ABW18" i="1"/>
  <c r="ABW17" i="1"/>
  <c r="ABW16" i="1"/>
  <c r="ABW15" i="1"/>
  <c r="ABW14" i="1"/>
  <c r="ABW13" i="1"/>
  <c r="ABW12" i="1"/>
  <c r="ABW11" i="1"/>
  <c r="ABK70" i="1"/>
  <c r="ABK69" i="1"/>
  <c r="ABK68" i="1"/>
  <c r="ABK67" i="1"/>
  <c r="ABK66" i="1"/>
  <c r="ABK65" i="1"/>
  <c r="ABK64" i="1"/>
  <c r="ABK63" i="1"/>
  <c r="ABK62" i="1"/>
  <c r="ABK61" i="1"/>
  <c r="ABK60" i="1"/>
  <c r="ABK59" i="1"/>
  <c r="ABK58" i="1"/>
  <c r="ABK57" i="1"/>
  <c r="ABK56" i="1"/>
  <c r="ABK55" i="1"/>
  <c r="ABK54" i="1"/>
  <c r="ABK53" i="1"/>
  <c r="ABK52" i="1"/>
  <c r="ABK51" i="1"/>
  <c r="ABK50" i="1"/>
  <c r="ABK49" i="1"/>
  <c r="ABK48" i="1"/>
  <c r="ABK47" i="1"/>
  <c r="ABK46" i="1"/>
  <c r="ABK45" i="1"/>
  <c r="ABK44" i="1"/>
  <c r="ABK43" i="1"/>
  <c r="ABK42" i="1"/>
  <c r="ABK41" i="1"/>
  <c r="ABK40" i="1"/>
  <c r="ABK39" i="1"/>
  <c r="ABK38" i="1"/>
  <c r="ABK37" i="1"/>
  <c r="ABK36" i="1"/>
  <c r="ABK35" i="1"/>
  <c r="ABK34" i="1"/>
  <c r="ABK33" i="1"/>
  <c r="ABK32" i="1"/>
  <c r="ABK31" i="1"/>
  <c r="ABK30" i="1"/>
  <c r="ABK29" i="1"/>
  <c r="ABK28" i="1"/>
  <c r="ABK27" i="1"/>
  <c r="ABK26" i="1"/>
  <c r="ABK25" i="1"/>
  <c r="ABK24" i="1"/>
  <c r="ABK23" i="1"/>
  <c r="ABK22" i="1"/>
  <c r="ABK21" i="1"/>
  <c r="ABK20" i="1"/>
  <c r="ABK19" i="1"/>
  <c r="ABK18" i="1"/>
  <c r="ABK17" i="1"/>
  <c r="ABK16" i="1"/>
  <c r="ABK15" i="1"/>
  <c r="ABK14" i="1"/>
  <c r="ABK13" i="1"/>
  <c r="ABK12" i="1"/>
  <c r="ABK11" i="1"/>
  <c r="AAY70" i="1"/>
  <c r="AAY69" i="1"/>
  <c r="AAY68" i="1"/>
  <c r="AAY67" i="1"/>
  <c r="AAY66" i="1"/>
  <c r="AAY65" i="1"/>
  <c r="AAY64" i="1"/>
  <c r="AAY63" i="1"/>
  <c r="AAY62" i="1"/>
  <c r="AAY61" i="1"/>
  <c r="AAY60" i="1"/>
  <c r="AAY59" i="1"/>
  <c r="AAY58" i="1"/>
  <c r="AAY57" i="1"/>
  <c r="AAY56" i="1"/>
  <c r="AAY55" i="1"/>
  <c r="AAY54" i="1"/>
  <c r="AAY53" i="1"/>
  <c r="AAY52" i="1"/>
  <c r="AAY51" i="1"/>
  <c r="AAY50" i="1"/>
  <c r="AAY49" i="1"/>
  <c r="AAY48" i="1"/>
  <c r="AAY47" i="1"/>
  <c r="AAY46" i="1"/>
  <c r="AAY45" i="1"/>
  <c r="AAY44" i="1"/>
  <c r="AAY43" i="1"/>
  <c r="AAY42" i="1"/>
  <c r="AAY41" i="1"/>
  <c r="AAY40" i="1"/>
  <c r="AAY39" i="1"/>
  <c r="AAY38" i="1"/>
  <c r="AAY37" i="1"/>
  <c r="AAY36" i="1"/>
  <c r="AAY35" i="1"/>
  <c r="AAY34" i="1"/>
  <c r="AAY33" i="1"/>
  <c r="AAY32" i="1"/>
  <c r="AAY31" i="1"/>
  <c r="AAY30" i="1"/>
  <c r="AAY29" i="1"/>
  <c r="AAY28" i="1"/>
  <c r="AAY27" i="1"/>
  <c r="AAY26" i="1"/>
  <c r="AAY25" i="1"/>
  <c r="AAY24" i="1"/>
  <c r="AAY23" i="1"/>
  <c r="AAY22" i="1"/>
  <c r="AAY21" i="1"/>
  <c r="AAY20" i="1"/>
  <c r="AAY19" i="1"/>
  <c r="AAY18" i="1"/>
  <c r="AAY17" i="1"/>
  <c r="AAY16" i="1"/>
  <c r="AAY15" i="1"/>
  <c r="AAY14" i="1"/>
  <c r="AAY13" i="1"/>
  <c r="AAY12" i="1"/>
  <c r="AAY11" i="1"/>
  <c r="AAM24" i="1"/>
  <c r="AAM25" i="1"/>
  <c r="AAM26" i="1"/>
  <c r="AAM27" i="1"/>
  <c r="AAM28" i="1"/>
  <c r="AAM29" i="1"/>
  <c r="AAM30" i="1"/>
  <c r="AAM31" i="1"/>
  <c r="AAM32" i="1"/>
  <c r="AAM33" i="1"/>
  <c r="AAM34" i="1"/>
  <c r="AAM35" i="1"/>
  <c r="AAM36" i="1"/>
  <c r="AAM37" i="1"/>
  <c r="AAM38" i="1"/>
  <c r="AAM39" i="1"/>
  <c r="AAM40" i="1"/>
  <c r="AAM41" i="1"/>
  <c r="AAM42" i="1"/>
  <c r="AAM43" i="1"/>
  <c r="AAM44" i="1"/>
  <c r="AAM45" i="1"/>
  <c r="AAM46" i="1"/>
  <c r="AAM47" i="1"/>
  <c r="AAM48" i="1"/>
  <c r="AAM49" i="1"/>
  <c r="AAM50" i="1"/>
  <c r="AAM51" i="1"/>
  <c r="AAM52" i="1"/>
  <c r="AAM53" i="1"/>
  <c r="AAM54" i="1"/>
  <c r="AAM55" i="1"/>
  <c r="AAM56" i="1"/>
  <c r="AAM57" i="1"/>
  <c r="AAM58" i="1"/>
  <c r="AAM59" i="1"/>
  <c r="AAM60" i="1"/>
  <c r="AAM61" i="1"/>
  <c r="AAM62" i="1"/>
  <c r="AAM63" i="1"/>
  <c r="AAM64" i="1"/>
  <c r="AAM65" i="1"/>
  <c r="AAM66" i="1"/>
  <c r="AAM67" i="1"/>
  <c r="AAM68" i="1"/>
  <c r="AAM69" i="1"/>
  <c r="AAM70" i="1"/>
  <c r="AAM16" i="1"/>
  <c r="AAM17" i="1"/>
  <c r="AAM18" i="1"/>
  <c r="AAM19" i="1"/>
  <c r="AAM20" i="1"/>
  <c r="AAM21" i="1"/>
  <c r="AAM22" i="1"/>
  <c r="AAM23" i="1"/>
  <c r="AAM12" i="1"/>
  <c r="AAM13" i="1"/>
  <c r="AAM14" i="1"/>
  <c r="AAM15" i="1"/>
  <c r="AAM11" i="1"/>
  <c r="PO98" i="1" l="1"/>
  <c r="PM80" i="1" l="1"/>
  <c r="PO79" i="1" l="1"/>
  <c r="PR79" i="1"/>
  <c r="PU28" i="1"/>
  <c r="PU29" i="1"/>
  <c r="QD29" i="1" l="1"/>
  <c r="PR15" i="1"/>
  <c r="PR22" i="1"/>
  <c r="PY15" i="1" s="1"/>
  <c r="PY22" i="1" l="1"/>
  <c r="PP49" i="1"/>
  <c r="PR48" i="1"/>
  <c r="PP84" i="1"/>
  <c r="Q47" i="1"/>
  <c r="PP163" i="1" s="1"/>
  <c r="PS163" i="1" s="1"/>
  <c r="PP25" i="1"/>
  <c r="PP23" i="1"/>
  <c r="PM19" i="1"/>
  <c r="PR16" i="1"/>
  <c r="PQ17" i="1"/>
  <c r="PP24" i="1"/>
  <c r="PM17" i="1"/>
  <c r="PM18" i="1"/>
  <c r="Q53" i="1"/>
  <c r="PQ144" i="1" l="1"/>
  <c r="PT144" i="1" s="1"/>
  <c r="PY45" i="1" l="1"/>
  <c r="PP110" i="1" s="1"/>
  <c r="PL54" i="1" l="1"/>
  <c r="PP50" i="1"/>
  <c r="ADH123" i="1"/>
  <c r="ADH61" i="1"/>
  <c r="XR238" i="1"/>
  <c r="ADH96" i="1"/>
  <c r="XR237" i="1"/>
  <c r="ADH92" i="1"/>
  <c r="ADH95" i="1"/>
  <c r="ADH91" i="1"/>
  <c r="ADH77" i="1"/>
  <c r="XR199" i="1" l="1"/>
  <c r="XR198" i="1"/>
  <c r="ADH89" i="1"/>
  <c r="ADH87" i="1"/>
  <c r="ADE74" i="1"/>
  <c r="ADH75" i="1"/>
  <c r="ADE75" i="1"/>
  <c r="EE61" i="1" l="1"/>
  <c r="EC63" i="1"/>
  <c r="XR203" i="1"/>
  <c r="YF41" i="1"/>
  <c r="XR300" i="1"/>
  <c r="XW304" i="1"/>
  <c r="XW299" i="1"/>
  <c r="XU168" i="1" l="1"/>
  <c r="BZ69" i="1"/>
  <c r="BZ68" i="1"/>
  <c r="CC35" i="1"/>
  <c r="CC39" i="1"/>
  <c r="CF67" i="1"/>
  <c r="XR168" i="1"/>
  <c r="YD170" i="1"/>
  <c r="XU170" i="1"/>
  <c r="YG170" i="1"/>
  <c r="YT37" i="1"/>
  <c r="YT36" i="1"/>
  <c r="EC72" i="1"/>
  <c r="XT277" i="1"/>
  <c r="XR170" i="1" l="1"/>
  <c r="XV21" i="1"/>
  <c r="XQ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YT34" i="1"/>
  <c r="XR142" i="1"/>
  <c r="XR30" i="1"/>
  <c r="XR26" i="1"/>
  <c r="YT43" i="1"/>
  <c r="ADV85" i="1" l="1"/>
  <c r="ADT85" i="1"/>
  <c r="ADR85" i="1"/>
  <c r="ADP85" i="1"/>
  <c r="ADN85" i="1"/>
  <c r="ADL85" i="1"/>
  <c r="YT42" i="1" l="1"/>
  <c r="YF45" i="1"/>
  <c r="XR68" i="1" s="1"/>
  <c r="ZE33" i="1"/>
  <c r="XR23" i="1"/>
  <c r="XR101" i="1" l="1"/>
  <c r="XQ180" i="1"/>
  <c r="YY39" i="1"/>
  <c r="YY38" i="1"/>
  <c r="EC64" i="1"/>
  <c r="ADL19" i="1" l="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XC170" i="1" l="1"/>
  <c r="Q350" i="6" l="1"/>
  <c r="Q352" i="6"/>
  <c r="Q351" i="6"/>
  <c r="MB224" i="1"/>
  <c r="MB194" i="1" l="1"/>
  <c r="MC98" i="1"/>
  <c r="MB189" i="1"/>
  <c r="ME228" i="1"/>
  <c r="MG147" i="1"/>
  <c r="MF175" i="1"/>
  <c r="MJ177" i="1"/>
  <c r="MB231" i="1"/>
  <c r="MB143" i="1"/>
  <c r="ME152" i="1"/>
  <c r="MB204" i="1"/>
  <c r="MB217" i="1"/>
  <c r="MB219" i="1"/>
  <c r="MO197" i="1"/>
  <c r="BM306" i="6" l="1"/>
  <c r="AA172" i="6"/>
  <c r="MG146" i="1"/>
  <c r="MH109" i="1"/>
  <c r="ME109" i="1"/>
  <c r="ME117" i="1"/>
  <c r="NR117" i="1"/>
  <c r="NP117" i="1"/>
  <c r="MB237" i="1"/>
  <c r="MB93" i="1"/>
  <c r="MB54" i="1"/>
  <c r="MQ111" i="1" l="1"/>
  <c r="NJ109" i="1" s="1"/>
  <c r="MH42" i="1"/>
  <c r="ND164" i="1"/>
  <c r="MB139" i="1"/>
  <c r="NY119" i="1"/>
  <c r="NY123" i="1" s="1"/>
  <c r="MN119" i="1"/>
  <c r="MN123" i="1" s="1"/>
  <c r="MO161" i="1"/>
  <c r="ME86" i="1"/>
  <c r="MB86" i="1"/>
  <c r="E431" i="6"/>
  <c r="F429" i="6"/>
  <c r="F430" i="6" s="1"/>
  <c r="MI63" i="1" s="1"/>
  <c r="H431" i="6"/>
  <c r="H432" i="6" s="1"/>
  <c r="ML73" i="1" s="1"/>
  <c r="MQ75" i="1" s="1"/>
  <c r="G431" i="6"/>
  <c r="J431" i="6"/>
  <c r="J432" i="6" s="1"/>
  <c r="MO73" i="1" s="1"/>
  <c r="I431" i="6"/>
  <c r="F431" i="6"/>
  <c r="F432" i="6" s="1"/>
  <c r="MI73" i="1" s="1"/>
  <c r="E429" i="6"/>
  <c r="J425" i="6"/>
  <c r="J426" i="6" s="1"/>
  <c r="I425" i="6"/>
  <c r="F425" i="6"/>
  <c r="F426" i="6" s="1"/>
  <c r="E425" i="6"/>
  <c r="H425" i="6"/>
  <c r="H426" i="6" s="1"/>
  <c r="G425" i="6"/>
  <c r="J429" i="6"/>
  <c r="J430" i="6" s="1"/>
  <c r="MO63" i="1" s="1"/>
  <c r="I429" i="6"/>
  <c r="H429" i="6"/>
  <c r="H430" i="6" s="1"/>
  <c r="ML63" i="1" s="1"/>
  <c r="MQ65" i="1" s="1"/>
  <c r="G429" i="6"/>
  <c r="J419" i="6"/>
  <c r="J422" i="6" s="1"/>
  <c r="MO17" i="1" s="1"/>
  <c r="H423" i="6"/>
  <c r="H424" i="6" s="1"/>
  <c r="G423" i="6"/>
  <c r="F423" i="6"/>
  <c r="F424" i="6" s="1"/>
  <c r="E423" i="6"/>
  <c r="H419" i="6"/>
  <c r="H422" i="6" s="1"/>
  <c r="ML17" i="1" s="1"/>
  <c r="MQ19" i="1" s="1"/>
  <c r="F419" i="6"/>
  <c r="F422" i="6" s="1"/>
  <c r="MI17" i="1" s="1"/>
  <c r="J423" i="6"/>
  <c r="J424" i="6" s="1"/>
  <c r="I423" i="6"/>
  <c r="I419" i="6"/>
  <c r="G419" i="6"/>
  <c r="E419" i="6"/>
  <c r="MC81" i="1"/>
  <c r="ME68" i="1" l="1"/>
  <c r="ME22" i="1"/>
  <c r="AD12" i="12"/>
  <c r="AC47" i="1"/>
  <c r="MS128" i="1"/>
  <c r="NB129" i="1" s="1"/>
  <c r="ADH76" i="1" s="1"/>
  <c r="MB123" i="1"/>
  <c r="MT73" i="1"/>
  <c r="MT17" i="1"/>
  <c r="MT63" i="1"/>
  <c r="ME34" i="1"/>
  <c r="MB35" i="1"/>
  <c r="MC24" i="1"/>
  <c r="ME78" i="1" l="1"/>
  <c r="XR169" i="1"/>
  <c r="YY40" i="1"/>
  <c r="MC148" i="1"/>
  <c r="MI152" i="1"/>
  <c r="CL76" i="1"/>
  <c r="ADH74" i="1" s="1"/>
  <c r="IW158" i="1"/>
  <c r="IU141" i="1"/>
  <c r="IT59" i="1"/>
  <c r="IT48" i="1"/>
  <c r="MB229" i="1" l="1"/>
  <c r="XU169" i="1"/>
  <c r="YT35" i="1"/>
  <c r="MC155" i="1"/>
  <c r="MC149" i="1"/>
  <c r="IW160" i="1"/>
  <c r="ME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98" i="1" l="1"/>
  <c r="EB34" i="1"/>
  <c r="EE33" i="1"/>
  <c r="EE29" i="1"/>
  <c r="EB28" i="1"/>
  <c r="GJ102" i="1" l="1"/>
  <c r="GJ103" i="1"/>
  <c r="GJ87" i="1"/>
  <c r="GJ86" i="1"/>
  <c r="IV15" i="1" l="1"/>
  <c r="IW113" i="1"/>
  <c r="GK81" i="1"/>
  <c r="GK82" i="1"/>
  <c r="GH29" i="1"/>
  <c r="GH33" i="1"/>
  <c r="GK84" i="1"/>
  <c r="GK51" i="1"/>
  <c r="GH52" i="1"/>
  <c r="GK52" i="1"/>
  <c r="GI91" i="1"/>
  <c r="GH49" i="1"/>
  <c r="GH37" i="1"/>
  <c r="IW28" i="1" l="1"/>
  <c r="IW105" i="1"/>
  <c r="JG110" i="1"/>
  <c r="IT106" i="1" s="1"/>
  <c r="IU119" i="1"/>
  <c r="IU118" i="1"/>
  <c r="JF118" i="1" l="1"/>
  <c r="IW77" i="1"/>
  <c r="IT115" i="1" l="1"/>
  <c r="PL105" i="1"/>
  <c r="IW37" i="1"/>
  <c r="IT70" i="1"/>
  <c r="IT22" i="1"/>
  <c r="Q10" i="11"/>
  <c r="S12" i="11" s="1"/>
  <c r="U6" i="11" l="1"/>
  <c r="W10" i="11"/>
  <c r="AA10" i="11" s="1"/>
  <c r="W9" i="11"/>
  <c r="AA9" i="11" s="1"/>
  <c r="U8" i="11"/>
  <c r="T8" i="11"/>
  <c r="Q14" i="11"/>
  <c r="GN59" i="1"/>
  <c r="PP133" i="1" l="1"/>
  <c r="PT133" i="1" s="1"/>
  <c r="CL52" i="1"/>
  <c r="CC129" i="1" l="1"/>
  <c r="WK52" i="1"/>
  <c r="ADE73" i="1"/>
  <c r="TW15" i="1"/>
  <c r="P12" i="12"/>
  <c r="AA49" i="1"/>
  <c r="XT293" i="1"/>
  <c r="XR291" i="1"/>
  <c r="YT33" i="1"/>
  <c r="XT167" i="1"/>
  <c r="MB188" i="1"/>
  <c r="XT309" i="1"/>
  <c r="MB92" i="1"/>
  <c r="MB236" i="1"/>
  <c r="CL130" i="1"/>
  <c r="IZ164" i="1"/>
  <c r="MB53" i="1"/>
  <c r="GK59" i="1"/>
  <c r="GH48" i="1"/>
  <c r="CC103" i="1"/>
  <c r="AJA225" i="1" l="1"/>
  <c r="EB128" i="1"/>
  <c r="YC310" i="1"/>
  <c r="XZ310" i="1"/>
  <c r="AW12" i="1"/>
  <c r="X6" i="12"/>
  <c r="AJA38" i="1"/>
  <c r="MB218" i="1" l="1"/>
  <c r="MC101" i="1"/>
  <c r="IT83" i="1"/>
  <c r="IT159" i="1"/>
  <c r="BW313" i="6"/>
  <c r="CI333" i="6" s="1"/>
  <c r="BW316" i="6"/>
  <c r="BX368" i="6"/>
  <c r="CI352" i="6" s="1"/>
  <c r="BX371" i="6"/>
  <c r="CI354" i="6" s="1"/>
  <c r="XC158" i="1" l="1"/>
  <c r="ADL44" i="1"/>
  <c r="ADN44" i="1"/>
  <c r="ADP44" i="1"/>
  <c r="ADR44" i="1"/>
  <c r="ADT44" i="1"/>
  <c r="ADV44" i="1"/>
  <c r="AG21" i="10" l="1"/>
  <c r="AF21" i="10"/>
  <c r="AE21" i="10"/>
  <c r="AD21" i="10"/>
  <c r="AJ20" i="10"/>
  <c r="AG19" i="10"/>
  <c r="AF19" i="10"/>
  <c r="AE19" i="10"/>
  <c r="AD19" i="10"/>
  <c r="AJ17" i="10"/>
  <c r="XC154" i="1" l="1"/>
  <c r="X21" i="10"/>
  <c r="X22" i="10" s="1"/>
  <c r="D12" i="6"/>
  <c r="D13" i="6"/>
  <c r="D14" i="6"/>
  <c r="D15" i="6"/>
  <c r="D16" i="6"/>
  <c r="D17" i="6"/>
  <c r="D18" i="6"/>
  <c r="D19" i="6"/>
  <c r="D20" i="6"/>
  <c r="D21" i="6"/>
  <c r="D22" i="6"/>
  <c r="P12" i="6" s="1"/>
  <c r="D23" i="6"/>
  <c r="D24" i="6"/>
  <c r="D25" i="6"/>
  <c r="D26" i="6"/>
  <c r="D27" i="6"/>
  <c r="D28" i="6"/>
  <c r="D29" i="6"/>
  <c r="D30" i="6"/>
  <c r="D31" i="6"/>
  <c r="D32" i="6"/>
  <c r="D33" i="6"/>
  <c r="D34" i="6"/>
  <c r="D11" i="6"/>
  <c r="XC162" i="1" l="1"/>
  <c r="AD17" i="10"/>
  <c r="F12" i="6"/>
  <c r="F13" i="6"/>
  <c r="F14" i="6"/>
  <c r="F15" i="6"/>
  <c r="F16" i="6"/>
  <c r="F17" i="6"/>
  <c r="F18" i="6"/>
  <c r="F19" i="6"/>
  <c r="F20" i="6"/>
  <c r="F21" i="6"/>
  <c r="F22" i="6"/>
  <c r="Q12" i="6" s="1"/>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XR52" i="1" l="1"/>
  <c r="AJA213" i="1"/>
  <c r="AJA107" i="1"/>
  <c r="AJD111" i="1"/>
  <c r="AJA221" i="1"/>
  <c r="BJ363" i="6"/>
  <c r="AJD77" i="1" l="1"/>
  <c r="MC23" i="1"/>
  <c r="AW78" i="1"/>
  <c r="AW42" i="1"/>
  <c r="GT123" i="1" l="1"/>
  <c r="MB222" i="1" s="1"/>
  <c r="MN217" i="1"/>
  <c r="MF203" i="1" s="1"/>
  <c r="AW16" i="1"/>
  <c r="BA59" i="6" s="1"/>
  <c r="Y10" i="6" l="1"/>
  <c r="V10" i="6" s="1"/>
  <c r="WG15" i="1"/>
  <c r="AS35" i="6"/>
  <c r="PR158" i="1"/>
  <c r="PV139" i="1"/>
  <c r="ME58" i="1"/>
  <c r="ME42" i="1"/>
  <c r="IT53" i="1"/>
  <c r="IT93" i="1"/>
  <c r="CL36" i="1"/>
  <c r="X23" i="10"/>
  <c r="X16" i="10" s="1"/>
  <c r="X17" i="10" s="1"/>
  <c r="AE11" i="10"/>
  <c r="MF136" i="1" l="1"/>
  <c r="MC102" i="1"/>
  <c r="AX24" i="1"/>
  <c r="BC26" i="1" s="1"/>
  <c r="HN25" i="1" s="1"/>
  <c r="AH23" i="10"/>
  <c r="AG23" i="10"/>
  <c r="AF23" i="10"/>
  <c r="AE23" i="10"/>
  <c r="AI23" i="10"/>
  <c r="AD23" i="10"/>
  <c r="Q6" i="6" l="1"/>
  <c r="AX19" i="1" s="1"/>
  <c r="AZ21" i="1" l="1"/>
  <c r="AD25" i="10"/>
  <c r="V39" i="6" l="1"/>
  <c r="IT51" i="1"/>
  <c r="GH36" i="1"/>
  <c r="AY59" i="6"/>
  <c r="IT41" i="1"/>
  <c r="CK16" i="6"/>
  <c r="PR52" i="1"/>
  <c r="PO154" i="1"/>
  <c r="PX155" i="1" s="1"/>
  <c r="PX160" i="1" s="1"/>
  <c r="PX146" i="1" s="1"/>
  <c r="PS139" i="1"/>
  <c r="EB49" i="1"/>
  <c r="AD24" i="10"/>
  <c r="AJA187" i="1"/>
  <c r="AW34" i="1" l="1"/>
  <c r="CC23" i="1" s="1"/>
  <c r="GT20" i="1"/>
  <c r="GT36" i="1" s="1"/>
  <c r="GW40" i="1" s="1"/>
  <c r="IT91" i="1" s="1"/>
  <c r="AJA197" i="1"/>
  <c r="AJ175" i="6" l="1"/>
  <c r="CC19" i="1"/>
  <c r="CL40" i="1"/>
  <c r="PM82" i="1" s="1"/>
  <c r="EH61" i="1"/>
  <c r="MC43" i="1"/>
  <c r="EC71" i="1"/>
  <c r="EB50" i="1"/>
  <c r="IT42" i="1"/>
  <c r="GH28" i="1"/>
  <c r="AW82" i="1"/>
  <c r="CL24" i="1"/>
  <c r="CL48" i="1"/>
  <c r="AW38" i="1"/>
  <c r="PX135" i="1"/>
  <c r="PX165" i="1" s="1"/>
  <c r="CL20" i="1"/>
  <c r="GT16" i="1"/>
  <c r="GT28" i="1" s="1"/>
  <c r="MI136" i="1" l="1"/>
  <c r="CF15" i="1"/>
  <c r="CF11" i="1"/>
  <c r="AQ52" i="6"/>
  <c r="PM185" i="1"/>
  <c r="PM201" i="1"/>
  <c r="ME182" i="1"/>
  <c r="XQ181" i="1"/>
  <c r="YC223" i="1"/>
  <c r="YY36" i="1"/>
  <c r="MG178" i="1"/>
  <c r="BI306" i="6" s="1"/>
  <c r="EB29" i="1"/>
  <c r="MB142" i="1"/>
  <c r="AZ86" i="1"/>
  <c r="IU140" i="1"/>
  <c r="IT23" i="1"/>
  <c r="IT114" i="1"/>
  <c r="GH32" i="1"/>
  <c r="GN84" i="1"/>
  <c r="IT84" i="1"/>
  <c r="CO44" i="1"/>
  <c r="JF114" i="1" s="1"/>
  <c r="PL85" i="1" s="1"/>
  <c r="GT32" i="1"/>
  <c r="CL60" i="1"/>
  <c r="CO64" i="1" s="1"/>
  <c r="AJA229" i="1"/>
  <c r="AJA209" i="1" s="1"/>
  <c r="AJA193" i="1" s="1"/>
  <c r="AW90" i="1"/>
  <c r="PQ76" i="1" l="1"/>
  <c r="PR108" i="1"/>
  <c r="PO75" i="1"/>
  <c r="PL106" i="1"/>
  <c r="PO52" i="1"/>
  <c r="PO48" i="1"/>
  <c r="MB223" i="1"/>
  <c r="ADH73" i="1"/>
  <c r="XT197" i="1"/>
  <c r="XW167" i="1"/>
  <c r="YC168" i="1" s="1"/>
  <c r="EE126" i="1"/>
  <c r="CC67" i="1"/>
  <c r="CL68" i="1" s="1"/>
  <c r="XQ182" i="1"/>
  <c r="ME183" i="1"/>
  <c r="YY37" i="1"/>
  <c r="YC227" i="1"/>
  <c r="MB144" i="1"/>
  <c r="XR244" i="1"/>
  <c r="IT24" i="1"/>
  <c r="MB195" i="1"/>
  <c r="MF174" i="1"/>
  <c r="BO325" i="6" s="1"/>
  <c r="MG179" i="1"/>
  <c r="BI307" i="6" s="1"/>
  <c r="MB205" i="1"/>
  <c r="MC153" i="1"/>
  <c r="MC154" i="1"/>
  <c r="IW106" i="1"/>
  <c r="MB206" i="1"/>
  <c r="MC147" i="1"/>
  <c r="MO147" i="1" s="1"/>
  <c r="ND165" i="1"/>
  <c r="GK80" i="1"/>
  <c r="IT72" i="1"/>
  <c r="MC100" i="1"/>
  <c r="MB137" i="1"/>
  <c r="EE27" i="1"/>
  <c r="IW27" i="1"/>
  <c r="IW36" i="1"/>
  <c r="IX21" i="1"/>
  <c r="IW76" i="1"/>
  <c r="EB30" i="1"/>
  <c r="IW69" i="1"/>
  <c r="IT28" i="1"/>
  <c r="EE32" i="1"/>
  <c r="MB31" i="1"/>
  <c r="MB69" i="1"/>
  <c r="IT71" i="1"/>
  <c r="GH82" i="1"/>
  <c r="YC180" i="1"/>
  <c r="MN204" i="1" l="1"/>
  <c r="XR239" i="1"/>
  <c r="YC237" i="1" s="1"/>
  <c r="MN153" i="1"/>
  <c r="MN158" i="1" s="1"/>
  <c r="YC175" i="1"/>
  <c r="MG141" i="1" l="1"/>
  <c r="MN142" i="1" s="1"/>
  <c r="XR250" i="1"/>
  <c r="XR116" i="1"/>
  <c r="ADH113" i="1"/>
  <c r="ADH50" i="1"/>
  <c r="YC244" i="1"/>
  <c r="XV250" i="1" s="1"/>
  <c r="XR245" i="1"/>
  <c r="MC99" i="1"/>
  <c r="MB230" i="1"/>
  <c r="MF195" i="1"/>
  <c r="MC28" i="1"/>
  <c r="MB87" i="1"/>
  <c r="GH53" i="1"/>
  <c r="GT52" i="1" s="1"/>
  <c r="GK47" i="1" s="1"/>
  <c r="GT48" i="1" s="1"/>
  <c r="IW159" i="1"/>
  <c r="CL88" i="1"/>
  <c r="EB33" i="1" s="1"/>
  <c r="EN33" i="1" s="1"/>
  <c r="CL72" i="1"/>
  <c r="CL96" i="1" s="1"/>
  <c r="BZ105" i="1" s="1"/>
  <c r="CL104" i="1" s="1"/>
  <c r="ADH109" i="1" l="1"/>
  <c r="YC212" i="1"/>
  <c r="GI111" i="1"/>
  <c r="S350" i="6"/>
  <c r="MG99" i="1"/>
  <c r="EB51" i="1"/>
  <c r="EN49" i="1" s="1"/>
  <c r="IT37" i="1"/>
  <c r="IT77" i="1"/>
  <c r="CL92" i="1"/>
  <c r="GT119" i="1"/>
  <c r="GT60" i="1"/>
  <c r="ADH32" i="1" s="1"/>
  <c r="EC84" i="1" l="1"/>
  <c r="PM50" i="1"/>
  <c r="LN24" i="1"/>
  <c r="MC44" i="1"/>
  <c r="MN43" i="1" s="1"/>
  <c r="MB36" i="1" s="1"/>
  <c r="EE28" i="1"/>
  <c r="EN28" i="1" s="1"/>
  <c r="PL86" i="1"/>
  <c r="PX85" i="1" s="1"/>
  <c r="PM81" i="1" s="1"/>
  <c r="PX80" i="1" s="1"/>
  <c r="PN76" i="1" s="1"/>
  <c r="PX76" i="1" s="1"/>
  <c r="Q349" i="6"/>
  <c r="XR79" i="1"/>
  <c r="GI92" i="1"/>
  <c r="GI112" i="1"/>
  <c r="MB70" i="1"/>
  <c r="IT107" i="1"/>
  <c r="GH81" i="1"/>
  <c r="IW70" i="1"/>
  <c r="IX22" i="1"/>
  <c r="GT81" i="1"/>
  <c r="PM110" i="1" s="1"/>
  <c r="JF106" i="1"/>
  <c r="MN35" i="1" l="1"/>
  <c r="MB138" i="1" s="1"/>
  <c r="MO137" i="1" s="1"/>
  <c r="ADH108" i="1" s="1"/>
  <c r="MN69" i="1"/>
  <c r="ADH35" i="1" s="1"/>
  <c r="IT126" i="1"/>
  <c r="IZ152" i="1"/>
  <c r="IT147" i="1"/>
  <c r="IW40" i="1"/>
  <c r="JF41" i="1" s="1"/>
  <c r="PL53" i="1" s="1"/>
  <c r="PX53" i="1" s="1"/>
  <c r="IV14" i="1"/>
  <c r="JF14" i="1" s="1"/>
  <c r="IW71" i="1"/>
  <c r="JF70" i="1" s="1"/>
  <c r="AA302" i="6" s="1"/>
  <c r="GJ85" i="1"/>
  <c r="GT85" i="1"/>
  <c r="FW29" i="1"/>
  <c r="OY105" i="1" s="1"/>
  <c r="EN71" i="1"/>
  <c r="BW315" i="6"/>
  <c r="PX104" i="1" l="1"/>
  <c r="PN100" i="1" s="1"/>
  <c r="IU60" i="1"/>
  <c r="MN31" i="1"/>
  <c r="MN27" i="1" s="1"/>
  <c r="PM49" i="1"/>
  <c r="PX49" i="1" s="1"/>
  <c r="PM25" i="1"/>
  <c r="PQ18" i="1"/>
  <c r="EC62" i="1"/>
  <c r="EN62" i="1" s="1"/>
  <c r="EN119" i="1" s="1"/>
  <c r="MB59" i="1"/>
  <c r="YT41" i="1"/>
  <c r="XQ86" i="1"/>
  <c r="MG98" i="1"/>
  <c r="IT148" i="1"/>
  <c r="IT127" i="1"/>
  <c r="IT52" i="1"/>
  <c r="JF51" i="1" s="1"/>
  <c r="IW26" i="1"/>
  <c r="EC73" i="1"/>
  <c r="IT38" i="1"/>
  <c r="JF37" i="1" s="1"/>
  <c r="IX23" i="1"/>
  <c r="JF22" i="1" s="1"/>
  <c r="IH88" i="1"/>
  <c r="XR57" i="1" s="1"/>
  <c r="BX366" i="6"/>
  <c r="CI351" i="6" s="1"/>
  <c r="EQ76" i="1"/>
  <c r="BW312" i="6"/>
  <c r="EN99" i="1"/>
  <c r="EQ103" i="1" s="1"/>
  <c r="AJA103" i="1"/>
  <c r="IU32" i="1" l="1"/>
  <c r="PM70" i="1"/>
  <c r="IU129" i="1"/>
  <c r="O300" i="6"/>
  <c r="AC302" i="6"/>
  <c r="IV16" i="1"/>
  <c r="AJA61" i="1"/>
  <c r="PM20" i="1"/>
  <c r="PM24" i="1"/>
  <c r="PP26" i="1"/>
  <c r="PM26" i="1"/>
  <c r="PQ19" i="1"/>
  <c r="PO16" i="1"/>
  <c r="Q353" i="6"/>
  <c r="YY33" i="1"/>
  <c r="GI96" i="1"/>
  <c r="MB32" i="1"/>
  <c r="IT47" i="1"/>
  <c r="JF47" i="1"/>
  <c r="IW147" i="1" s="1"/>
  <c r="GI106" i="1"/>
  <c r="GI90" i="1"/>
  <c r="GT90" i="1" s="1"/>
  <c r="AR11" i="12" s="1"/>
  <c r="EN91" i="1"/>
  <c r="EN123" i="1" s="1"/>
  <c r="EQ67" i="1"/>
  <c r="BW311" i="6"/>
  <c r="CI337" i="6"/>
  <c r="CI332" i="6"/>
  <c r="CI334" i="6"/>
  <c r="CI335" i="6"/>
  <c r="CI336" i="6"/>
  <c r="AJA151" i="1"/>
  <c r="AJA147" i="1"/>
  <c r="PM69" i="1" l="1"/>
  <c r="PX69" i="1" s="1"/>
  <c r="FS76" i="1"/>
  <c r="EC83" i="1"/>
  <c r="EN82" i="1" s="1"/>
  <c r="PX17" i="1"/>
  <c r="WK63" i="1" s="1"/>
  <c r="PX24" i="1"/>
  <c r="EQ87" i="1"/>
  <c r="EN107" i="1" s="1"/>
  <c r="ZE35" i="1"/>
  <c r="XR204" i="1"/>
  <c r="YC203" i="1" s="1"/>
  <c r="MC27" i="1"/>
  <c r="EQ95" i="1"/>
  <c r="BX367" i="6"/>
  <c r="CI350" i="6" s="1"/>
  <c r="YC67" i="1"/>
  <c r="YC72" i="1" s="1"/>
  <c r="XT77" i="1" s="1"/>
  <c r="YC78" i="1" s="1"/>
  <c r="IH92" i="1"/>
  <c r="IU31" i="1"/>
  <c r="JF31" i="1" s="1"/>
  <c r="IT27" i="1" s="1"/>
  <c r="JF27" i="1" s="1"/>
  <c r="BJ369" i="6"/>
  <c r="PX31" i="1" l="1"/>
  <c r="PP125" i="1" s="1"/>
  <c r="XR200" i="1"/>
  <c r="ADH93" i="1"/>
  <c r="ADH107" i="1"/>
  <c r="XT299" i="1"/>
  <c r="XT304" i="1"/>
  <c r="XR67" i="1"/>
  <c r="XR58" i="1"/>
  <c r="XR63" i="1"/>
  <c r="YY34" i="1"/>
  <c r="MC209" i="1"/>
  <c r="MF24" i="1"/>
  <c r="MN23" i="1" s="1"/>
  <c r="TO14" i="1" s="1"/>
  <c r="GI107" i="1"/>
  <c r="GI97" i="1"/>
  <c r="GT96" i="1" s="1"/>
  <c r="GI108" i="1" s="1"/>
  <c r="EN111" i="1"/>
  <c r="IU67" i="1"/>
  <c r="BW314" i="6"/>
  <c r="MN98" i="1"/>
  <c r="WT14" i="1" l="1"/>
  <c r="WN15" i="1"/>
  <c r="WI83" i="1"/>
  <c r="VQ9" i="1"/>
  <c r="WF73" i="1"/>
  <c r="ADH120" i="1"/>
  <c r="PO188" i="1"/>
  <c r="YC198" i="1"/>
  <c r="YC192" i="1" s="1"/>
  <c r="ADH110" i="1"/>
  <c r="ADH53" i="1"/>
  <c r="XS280" i="1"/>
  <c r="ADH56" i="1"/>
  <c r="XR138" i="1"/>
  <c r="ADH59" i="1"/>
  <c r="YT40" i="1"/>
  <c r="XR143" i="1"/>
  <c r="ME52" i="1"/>
  <c r="MN53" i="1" s="1"/>
  <c r="XC166" i="1" s="1"/>
  <c r="XS132" i="1"/>
  <c r="XR17" i="1"/>
  <c r="ZE42" i="1"/>
  <c r="NG188" i="1"/>
  <c r="NG189" i="1"/>
  <c r="WI91" i="1"/>
  <c r="ME187" i="1"/>
  <c r="AJA41" i="1"/>
  <c r="BX369" i="6"/>
  <c r="CI353" i="6" s="1"/>
  <c r="IH96" i="1"/>
  <c r="EQ115" i="1"/>
  <c r="EB127" i="1" s="1"/>
  <c r="EQ127" i="1" s="1"/>
  <c r="MN188" i="1"/>
  <c r="YC218" i="1" l="1"/>
  <c r="XS270" i="1" s="1"/>
  <c r="MC210" i="1"/>
  <c r="XR59" i="1"/>
  <c r="AJA45" i="1"/>
  <c r="AJA88" i="1"/>
  <c r="AJA99" i="1" s="1"/>
  <c r="GJ101" i="1"/>
  <c r="GT101" i="1"/>
  <c r="XS274" i="1" l="1"/>
  <c r="MN209" i="1"/>
  <c r="S348" i="6" s="1"/>
  <c r="AF348" i="6" s="1"/>
  <c r="MQ200" i="1" s="1"/>
  <c r="IU66" i="1"/>
  <c r="JF66" i="1" s="1"/>
  <c r="GL130" i="1"/>
  <c r="XR22" i="1"/>
  <c r="IU142" i="1"/>
  <c r="AJA18" i="1"/>
  <c r="AJA52" i="1"/>
  <c r="AJA83" i="1"/>
  <c r="YC22" i="1"/>
  <c r="BX370" i="6"/>
  <c r="IX82" i="1"/>
  <c r="GT131" i="1"/>
  <c r="MF222" i="1" s="1"/>
  <c r="JF140" i="1"/>
  <c r="IW95" i="1" s="1"/>
  <c r="JF96" i="1" s="1"/>
  <c r="GT106" i="1"/>
  <c r="JF83" i="1"/>
  <c r="IT78" i="1" s="1"/>
  <c r="JF77" i="1" s="1"/>
  <c r="IU134" i="1" l="1"/>
  <c r="O299" i="6"/>
  <c r="IT58" i="1"/>
  <c r="JF58" i="1" s="1"/>
  <c r="IW146" i="1" s="1"/>
  <c r="PO108" i="1"/>
  <c r="PX109" i="1" s="1"/>
  <c r="PN99" i="1" s="1"/>
  <c r="PX99" i="1" s="1"/>
  <c r="PX120" i="1" s="1"/>
  <c r="PX126" i="1" s="1"/>
  <c r="ADH12" i="1"/>
  <c r="ADH28" i="1"/>
  <c r="ADL28" i="1" s="1"/>
  <c r="XR78" i="1"/>
  <c r="ADH31" i="1"/>
  <c r="XR51" i="1"/>
  <c r="YC51" i="1"/>
  <c r="XT56" i="1" s="1"/>
  <c r="YC57" i="1" s="1"/>
  <c r="XR31" i="1"/>
  <c r="YY35" i="1"/>
  <c r="XR27" i="1"/>
  <c r="YC26" i="1"/>
  <c r="YC34" i="1" s="1"/>
  <c r="BJ375" i="6"/>
  <c r="Q348" i="6"/>
  <c r="GL110" i="1"/>
  <c r="AJA123" i="1"/>
  <c r="GT139" i="1"/>
  <c r="ADN28" i="1"/>
  <c r="ADR28" i="1"/>
  <c r="IT92" i="1"/>
  <c r="JF91" i="1" s="1"/>
  <c r="JF100" i="1" s="1"/>
  <c r="JF87" i="1" s="1"/>
  <c r="ADP28" i="1"/>
  <c r="YC30" i="1"/>
  <c r="ADV28" i="1"/>
  <c r="ADT28" i="1"/>
  <c r="ADV31" i="1"/>
  <c r="ADR31" i="1"/>
  <c r="ADP31" i="1"/>
  <c r="ADN31" i="1"/>
  <c r="XQ84" i="1"/>
  <c r="GT111" i="1"/>
  <c r="GT127" i="1" s="1"/>
  <c r="GT115" i="1" s="1"/>
  <c r="ADT31" i="1"/>
  <c r="ADL31" i="1"/>
  <c r="PM200" i="1" l="1"/>
  <c r="PX200" i="1" s="1"/>
  <c r="PM184" i="1"/>
  <c r="IT125" i="1"/>
  <c r="JF125" i="1"/>
  <c r="ADH48" i="1"/>
  <c r="ADH111" i="1"/>
  <c r="ADH46" i="1"/>
  <c r="XR114" i="1"/>
  <c r="ADR12" i="1"/>
  <c r="ADT12" i="1"/>
  <c r="ADV12" i="1"/>
  <c r="ADP12" i="1"/>
  <c r="ADN12" i="1"/>
  <c r="ADL12" i="1"/>
  <c r="XY44" i="1"/>
  <c r="XY40" i="1"/>
  <c r="XR251" i="1"/>
  <c r="XR62" i="1"/>
  <c r="YC62" i="1" s="1"/>
  <c r="XR100" i="1"/>
  <c r="YC100" i="1" s="1"/>
  <c r="XV107" i="1" s="1"/>
  <c r="MF193" i="1"/>
  <c r="XR108" i="1"/>
  <c r="YC108" i="1" s="1"/>
  <c r="YC233" i="1"/>
  <c r="XV251" i="1" s="1"/>
  <c r="MC79" i="1"/>
  <c r="MF221" i="1"/>
  <c r="GT135" i="1"/>
  <c r="MF223" i="1" s="1"/>
  <c r="MC80" i="1"/>
  <c r="IW148" i="1"/>
  <c r="JF147" i="1" s="1"/>
  <c r="JF159" i="1" s="1"/>
  <c r="SX14" i="1" s="1"/>
  <c r="WT13" i="1" l="1"/>
  <c r="UI14" i="1"/>
  <c r="IT160" i="1"/>
  <c r="MN222" i="1"/>
  <c r="MN79" i="1"/>
  <c r="MB60" i="1" s="1"/>
  <c r="MN59" i="1" s="1"/>
  <c r="IW152" i="1"/>
  <c r="JF153" i="1" s="1"/>
  <c r="XW124" i="1" s="1"/>
  <c r="WF77" i="1" l="1"/>
  <c r="WR76" i="1"/>
  <c r="ADH34" i="1"/>
  <c r="VQ7" i="1"/>
  <c r="WN13" i="1"/>
  <c r="WF69" i="1"/>
  <c r="WR68" i="1" s="1"/>
  <c r="WF72" i="1" s="1"/>
  <c r="PL189" i="1"/>
  <c r="PX189" i="1" s="1"/>
  <c r="PM186" i="1" s="1"/>
  <c r="PX184" i="1" s="1"/>
  <c r="PP179" i="1" s="1"/>
  <c r="PL180" i="1"/>
  <c r="WF65" i="1"/>
  <c r="WR64" i="1" s="1"/>
  <c r="YT38" i="1" s="1"/>
  <c r="XR252" i="1"/>
  <c r="ADH49" i="1"/>
  <c r="XR115" i="1"/>
  <c r="ADH112" i="1"/>
  <c r="XQ85" i="1"/>
  <c r="ME87" i="1"/>
  <c r="MN86" i="1" s="1"/>
  <c r="YC114" i="1"/>
  <c r="MF194" i="1"/>
  <c r="MN194" i="1"/>
  <c r="MH228" i="1" s="1"/>
  <c r="MN229" i="1" s="1"/>
  <c r="ADT34" i="1"/>
  <c r="IW164" i="1"/>
  <c r="JF165" i="1"/>
  <c r="ADR34" i="1"/>
  <c r="XC190" i="1"/>
  <c r="ADN34" i="1"/>
  <c r="ADP34" i="1"/>
  <c r="ADV34" i="1"/>
  <c r="YC84" i="1"/>
  <c r="XR94" i="1" s="1"/>
  <c r="ADL34" i="1"/>
  <c r="WK27" i="1" l="1"/>
  <c r="RH15" i="1"/>
  <c r="PX180" i="1"/>
  <c r="RO16" i="1"/>
  <c r="TS14" i="1"/>
  <c r="WN14" i="1"/>
  <c r="SR14" i="1"/>
  <c r="ADH37" i="1"/>
  <c r="WN16" i="1"/>
  <c r="XT124" i="1"/>
  <c r="YC125" i="1" s="1"/>
  <c r="XS269" i="1" s="1"/>
  <c r="PM195" i="1"/>
  <c r="ADH51" i="1"/>
  <c r="ADH114" i="1"/>
  <c r="XR122" i="1"/>
  <c r="YY41" i="1"/>
  <c r="XR15" i="1"/>
  <c r="XR93" i="1"/>
  <c r="XR16" i="1"/>
  <c r="XR121" i="1"/>
  <c r="MF91" i="1"/>
  <c r="MN92" i="1" s="1"/>
  <c r="WG92" i="1"/>
  <c r="XV249" i="1"/>
  <c r="WR72" i="1"/>
  <c r="YC121" i="1"/>
  <c r="XV136" i="1" s="1"/>
  <c r="YC250" i="1"/>
  <c r="XS275" i="1" s="1"/>
  <c r="MF235" i="1"/>
  <c r="MN236" i="1" s="1"/>
  <c r="ADL37" i="1"/>
  <c r="ADT37" i="1"/>
  <c r="ADR37" i="1"/>
  <c r="ADV37" i="1"/>
  <c r="YC93" i="1"/>
  <c r="ADP37" i="1"/>
  <c r="ADN37" i="1"/>
  <c r="WR92" i="1" l="1"/>
  <c r="WF84" i="1"/>
  <c r="WZ15" i="1"/>
  <c r="TG14" i="1"/>
  <c r="WG93" i="1"/>
  <c r="WR84" i="1"/>
  <c r="WK25" i="1" s="1"/>
  <c r="XV150" i="1"/>
  <c r="XS263" i="1"/>
  <c r="ADH64" i="1"/>
  <c r="YC269" i="1"/>
  <c r="XS262" i="1" s="1"/>
  <c r="ADH126" i="1"/>
  <c r="ADH54" i="1"/>
  <c r="XS133" i="1"/>
  <c r="YC132" i="1" s="1"/>
  <c r="ADH57" i="1" s="1"/>
  <c r="PX195" i="1"/>
  <c r="PM196" i="1"/>
  <c r="XV140" i="1"/>
  <c r="XS279" i="1"/>
  <c r="WR80" i="1"/>
  <c r="XC174" i="1"/>
  <c r="YC15" i="1"/>
  <c r="WO148" i="1" s="1"/>
  <c r="RO15" i="1" l="1"/>
  <c r="WK26" i="1"/>
  <c r="RH14" i="1"/>
  <c r="WZ14" i="1"/>
  <c r="RO14" i="1"/>
  <c r="XC182" i="1"/>
  <c r="WU25" i="1" s="1"/>
  <c r="WZ13" i="1"/>
  <c r="XC194" i="1"/>
  <c r="WT16" i="1"/>
  <c r="YC321" i="1"/>
  <c r="ADV56" i="1"/>
  <c r="ADT56" i="1"/>
  <c r="ADL56" i="1"/>
  <c r="XV273" i="1"/>
  <c r="YC274" i="1" s="1"/>
  <c r="XS265" i="1" s="1"/>
  <c r="ADN56" i="1"/>
  <c r="ADL59" i="1"/>
  <c r="XS278" i="1"/>
  <c r="YC278" i="1" s="1"/>
  <c r="XS264" i="1" s="1"/>
  <c r="ADP56" i="1"/>
  <c r="ADR56" i="1"/>
  <c r="XR137" i="1"/>
  <c r="YC137" i="1"/>
  <c r="XQ148" i="1" s="1"/>
  <c r="XR141" i="1"/>
  <c r="YC141" i="1" s="1"/>
  <c r="XR151" i="1" s="1"/>
  <c r="XR153" i="1"/>
  <c r="WS25" i="1" l="1"/>
  <c r="RM19" i="1"/>
  <c r="RF36" i="1"/>
  <c r="RF44" i="1"/>
  <c r="RF52" i="1"/>
  <c r="RF60" i="1"/>
  <c r="RF68" i="1"/>
  <c r="RF76" i="1"/>
  <c r="RF84" i="1"/>
  <c r="RF92" i="1"/>
  <c r="RF100" i="1"/>
  <c r="RF108" i="1"/>
  <c r="RF116" i="1"/>
  <c r="RF25" i="1"/>
  <c r="RF37" i="1"/>
  <c r="RF45" i="1"/>
  <c r="RF53" i="1"/>
  <c r="RF61" i="1"/>
  <c r="RF69" i="1"/>
  <c r="RF77" i="1"/>
  <c r="RF85" i="1"/>
  <c r="RF93" i="1"/>
  <c r="RF101" i="1"/>
  <c r="RF109" i="1"/>
  <c r="RF117" i="1"/>
  <c r="RF26" i="1"/>
  <c r="RF30" i="1"/>
  <c r="RF38" i="1"/>
  <c r="RF46" i="1"/>
  <c r="RF54" i="1"/>
  <c r="RF62" i="1"/>
  <c r="RF70" i="1"/>
  <c r="RF78" i="1"/>
  <c r="RF86" i="1"/>
  <c r="RF94" i="1"/>
  <c r="RF102" i="1"/>
  <c r="RF110" i="1"/>
  <c r="RF118" i="1"/>
  <c r="RF27" i="1"/>
  <c r="RF32" i="1"/>
  <c r="RF40" i="1"/>
  <c r="RF48" i="1"/>
  <c r="RF56" i="1"/>
  <c r="RF64" i="1"/>
  <c r="RF72" i="1"/>
  <c r="RF80" i="1"/>
  <c r="RF88" i="1"/>
  <c r="RF96" i="1"/>
  <c r="RF104" i="1"/>
  <c r="RF112" i="1"/>
  <c r="RF21" i="1"/>
  <c r="RF29" i="1"/>
  <c r="RF34" i="1"/>
  <c r="RF50" i="1"/>
  <c r="RF66" i="1"/>
  <c r="RF82" i="1"/>
  <c r="RF98" i="1"/>
  <c r="RF114" i="1"/>
  <c r="RF35" i="1"/>
  <c r="RF51" i="1"/>
  <c r="RF67" i="1"/>
  <c r="RF99" i="1"/>
  <c r="RF115" i="1"/>
  <c r="RF39" i="1"/>
  <c r="RF71" i="1"/>
  <c r="RF103" i="1"/>
  <c r="RF47" i="1"/>
  <c r="RF79" i="1"/>
  <c r="RF28" i="1"/>
  <c r="RF49" i="1"/>
  <c r="RF97" i="1"/>
  <c r="RF83" i="1"/>
  <c r="RF55" i="1"/>
  <c r="RF87" i="1"/>
  <c r="RF20" i="1"/>
  <c r="RF95" i="1"/>
  <c r="RF33" i="1"/>
  <c r="RF65" i="1"/>
  <c r="RF113" i="1"/>
  <c r="RF41" i="1"/>
  <c r="RF57" i="1"/>
  <c r="RF73" i="1"/>
  <c r="RF89" i="1"/>
  <c r="RF105" i="1"/>
  <c r="RF22" i="1"/>
  <c r="RF42" i="1"/>
  <c r="RF58" i="1"/>
  <c r="RF74" i="1"/>
  <c r="RF90" i="1"/>
  <c r="RF106" i="1"/>
  <c r="RF23" i="1"/>
  <c r="RF43" i="1"/>
  <c r="RF59" i="1"/>
  <c r="RF75" i="1"/>
  <c r="RF91" i="1"/>
  <c r="RF107" i="1"/>
  <c r="RF24" i="1"/>
  <c r="RF31" i="1"/>
  <c r="RF63" i="1"/>
  <c r="RF111" i="1"/>
  <c r="RF81" i="1"/>
  <c r="RF19" i="1"/>
  <c r="ADV61" i="1"/>
  <c r="XC25" i="1"/>
  <c r="XA21" i="1"/>
  <c r="ADL61" i="1"/>
  <c r="WY25" i="1"/>
  <c r="WY21" i="1"/>
  <c r="WW21" i="1"/>
  <c r="XA25" i="1"/>
  <c r="WU21" i="1"/>
  <c r="XC21" i="1"/>
  <c r="WW25" i="1"/>
  <c r="WS21" i="1"/>
  <c r="ADT61" i="1"/>
  <c r="RM41" i="1"/>
  <c r="RM27" i="1"/>
  <c r="RM35" i="1"/>
  <c r="RM43" i="1"/>
  <c r="RM51" i="1"/>
  <c r="RM59" i="1"/>
  <c r="RM67" i="1"/>
  <c r="RM75" i="1"/>
  <c r="RM83" i="1"/>
  <c r="RM91" i="1"/>
  <c r="RM99" i="1"/>
  <c r="RM107" i="1"/>
  <c r="RM115" i="1"/>
  <c r="RM20" i="1"/>
  <c r="RM28" i="1"/>
  <c r="RM36" i="1"/>
  <c r="RM44" i="1"/>
  <c r="RM52" i="1"/>
  <c r="RM60" i="1"/>
  <c r="RM68" i="1"/>
  <c r="RM76" i="1"/>
  <c r="RM84" i="1"/>
  <c r="RM92" i="1"/>
  <c r="RM100" i="1"/>
  <c r="RM108" i="1"/>
  <c r="RM116" i="1"/>
  <c r="RM117" i="1"/>
  <c r="RM80" i="1"/>
  <c r="RM112" i="1"/>
  <c r="RM25" i="1"/>
  <c r="RM33" i="1"/>
  <c r="RM57" i="1"/>
  <c r="RM73" i="1"/>
  <c r="RM97" i="1"/>
  <c r="RM98" i="1"/>
  <c r="RM49" i="1"/>
  <c r="RM106" i="1"/>
  <c r="RM21" i="1"/>
  <c r="RM29" i="1"/>
  <c r="RM37" i="1"/>
  <c r="RM45" i="1"/>
  <c r="RM53" i="1"/>
  <c r="RM61" i="1"/>
  <c r="RM69" i="1"/>
  <c r="RM77" i="1"/>
  <c r="RM85" i="1"/>
  <c r="RM93" i="1"/>
  <c r="RM101" i="1"/>
  <c r="RM109" i="1"/>
  <c r="RM32" i="1"/>
  <c r="RM56" i="1"/>
  <c r="RM72" i="1"/>
  <c r="RM96" i="1"/>
  <c r="RM65" i="1"/>
  <c r="RM89" i="1"/>
  <c r="RM113" i="1"/>
  <c r="RM82" i="1"/>
  <c r="RM22" i="1"/>
  <c r="RM30" i="1"/>
  <c r="RM38" i="1"/>
  <c r="RM46" i="1"/>
  <c r="RM54" i="1"/>
  <c r="RM62" i="1"/>
  <c r="RM70" i="1"/>
  <c r="RM78" i="1"/>
  <c r="RM86" i="1"/>
  <c r="RM94" i="1"/>
  <c r="RM102" i="1"/>
  <c r="RM110" i="1"/>
  <c r="RM118" i="1"/>
  <c r="RM23" i="1"/>
  <c r="RM31" i="1"/>
  <c r="RM39" i="1"/>
  <c r="RM47" i="1"/>
  <c r="RM55" i="1"/>
  <c r="RM63" i="1"/>
  <c r="RM71" i="1"/>
  <c r="RM79" i="1"/>
  <c r="RM87" i="1"/>
  <c r="RM95" i="1"/>
  <c r="RM103" i="1"/>
  <c r="RM111" i="1"/>
  <c r="RM24" i="1"/>
  <c r="RM40" i="1"/>
  <c r="RM48" i="1"/>
  <c r="RM64" i="1"/>
  <c r="RM88" i="1"/>
  <c r="RM104" i="1"/>
  <c r="RM81" i="1"/>
  <c r="RM105" i="1"/>
  <c r="RM26" i="1"/>
  <c r="RM34" i="1"/>
  <c r="RM42" i="1"/>
  <c r="RM50" i="1"/>
  <c r="RM58" i="1"/>
  <c r="RM66" i="1"/>
  <c r="RM74" i="1"/>
  <c r="RM90" i="1"/>
  <c r="RM114" i="1"/>
  <c r="ADR61" i="1"/>
  <c r="ADN61" i="1"/>
  <c r="ADP61" i="1"/>
  <c r="RS21" i="1"/>
  <c r="RS29" i="1"/>
  <c r="RS37" i="1"/>
  <c r="RS45" i="1"/>
  <c r="RS53" i="1"/>
  <c r="RS61" i="1"/>
  <c r="RS69" i="1"/>
  <c r="RS77" i="1"/>
  <c r="RS85" i="1"/>
  <c r="RS93" i="1"/>
  <c r="RS101" i="1"/>
  <c r="RS109" i="1"/>
  <c r="RS117" i="1"/>
  <c r="RS22" i="1"/>
  <c r="RS30" i="1"/>
  <c r="RS38" i="1"/>
  <c r="RS46" i="1"/>
  <c r="RS54" i="1"/>
  <c r="RS62" i="1"/>
  <c r="RS70" i="1"/>
  <c r="RS78" i="1"/>
  <c r="RS86" i="1"/>
  <c r="RS94" i="1"/>
  <c r="RS102" i="1"/>
  <c r="RS110" i="1"/>
  <c r="RS118" i="1"/>
  <c r="RS23" i="1"/>
  <c r="RS31" i="1"/>
  <c r="RS39" i="1"/>
  <c r="RS47" i="1"/>
  <c r="RS55" i="1"/>
  <c r="RS63" i="1"/>
  <c r="RS71" i="1"/>
  <c r="RS79" i="1"/>
  <c r="RS87" i="1"/>
  <c r="RS95" i="1"/>
  <c r="RS103" i="1"/>
  <c r="RS111" i="1"/>
  <c r="RS24" i="1"/>
  <c r="RS32" i="1"/>
  <c r="RS40" i="1"/>
  <c r="RS48" i="1"/>
  <c r="RS56" i="1"/>
  <c r="RS64" i="1"/>
  <c r="RS72" i="1"/>
  <c r="RS80" i="1"/>
  <c r="RY80" i="1" s="1"/>
  <c r="SC80" i="1" s="1"/>
  <c r="TF80" i="1" s="1"/>
  <c r="RS88" i="1"/>
  <c r="RS96" i="1"/>
  <c r="RS104" i="1"/>
  <c r="RS112" i="1"/>
  <c r="RS25" i="1"/>
  <c r="RS33" i="1"/>
  <c r="RS41" i="1"/>
  <c r="RS49" i="1"/>
  <c r="RY49" i="1" s="1"/>
  <c r="SC49" i="1" s="1"/>
  <c r="TF49" i="1" s="1"/>
  <c r="RS57" i="1"/>
  <c r="RS65" i="1"/>
  <c r="RS73" i="1"/>
  <c r="RS81" i="1"/>
  <c r="RS89" i="1"/>
  <c r="RS97" i="1"/>
  <c r="RS105" i="1"/>
  <c r="RS113" i="1"/>
  <c r="RS26" i="1"/>
  <c r="RS34" i="1"/>
  <c r="RS42" i="1"/>
  <c r="RS50" i="1"/>
  <c r="RS58" i="1"/>
  <c r="RS66" i="1"/>
  <c r="RS74" i="1"/>
  <c r="RS82" i="1"/>
  <c r="RS90" i="1"/>
  <c r="RS98" i="1"/>
  <c r="RS106" i="1"/>
  <c r="RS114" i="1"/>
  <c r="RS27" i="1"/>
  <c r="RS35" i="1"/>
  <c r="RS43" i="1"/>
  <c r="RS51" i="1"/>
  <c r="RS59" i="1"/>
  <c r="RS67" i="1"/>
  <c r="RS75" i="1"/>
  <c r="RS83" i="1"/>
  <c r="RS91" i="1"/>
  <c r="RS99" i="1"/>
  <c r="RS107" i="1"/>
  <c r="RS115" i="1"/>
  <c r="RS20" i="1"/>
  <c r="RS28" i="1"/>
  <c r="RS36" i="1"/>
  <c r="RS44" i="1"/>
  <c r="RS52" i="1"/>
  <c r="RS60" i="1"/>
  <c r="RS68" i="1"/>
  <c r="RS76" i="1"/>
  <c r="RS84" i="1"/>
  <c r="RS92" i="1"/>
  <c r="RS100" i="1"/>
  <c r="RS108" i="1"/>
  <c r="RS116" i="1"/>
  <c r="WS23" i="1"/>
  <c r="WU23" i="1"/>
  <c r="XA27" i="1"/>
  <c r="XC23" i="1"/>
  <c r="XC27" i="1"/>
  <c r="WW23" i="1"/>
  <c r="XA23" i="1"/>
  <c r="WU27" i="1"/>
  <c r="WU29" i="1" s="1"/>
  <c r="WU31" i="1" s="1"/>
  <c r="WY23" i="1"/>
  <c r="RS19" i="1"/>
  <c r="WS27" i="1"/>
  <c r="WY27" i="1"/>
  <c r="WW27" i="1"/>
  <c r="YC257" i="1"/>
  <c r="XU261" i="1" s="1"/>
  <c r="YC262" i="1" s="1"/>
  <c r="XR152" i="1"/>
  <c r="XQ147" i="1"/>
  <c r="YC146" i="1" s="1"/>
  <c r="RY97" i="1" l="1"/>
  <c r="SC97" i="1" s="1"/>
  <c r="TF97" i="1" s="1"/>
  <c r="TQ97" i="1" s="1"/>
  <c r="XA29" i="1"/>
  <c r="XA31" i="1" s="1"/>
  <c r="XA43" i="1" s="1"/>
  <c r="XA49" i="1" s="1"/>
  <c r="WS29" i="1"/>
  <c r="WS35" i="1" s="1"/>
  <c r="WS39" i="1" s="1"/>
  <c r="RY99" i="1"/>
  <c r="SC99" i="1" s="1"/>
  <c r="RY35" i="1"/>
  <c r="SG35" i="1" s="1"/>
  <c r="WY29" i="1"/>
  <c r="WY33" i="1" s="1"/>
  <c r="XC29" i="1"/>
  <c r="XC31" i="1" s="1"/>
  <c r="XC43" i="1" s="1"/>
  <c r="XC49" i="1" s="1"/>
  <c r="RY114" i="1"/>
  <c r="SC114" i="1" s="1"/>
  <c r="RY61" i="1"/>
  <c r="SC61" i="1" s="1"/>
  <c r="RY64" i="1"/>
  <c r="SC64" i="1" s="1"/>
  <c r="RY108" i="1"/>
  <c r="SC108" i="1" s="1"/>
  <c r="RY44" i="1"/>
  <c r="SC44" i="1" s="1"/>
  <c r="RY83" i="1"/>
  <c r="SC83" i="1" s="1"/>
  <c r="RY81" i="1"/>
  <c r="SC81" i="1" s="1"/>
  <c r="RY73" i="1"/>
  <c r="SC73" i="1" s="1"/>
  <c r="RY109" i="1"/>
  <c r="SG109" i="1" s="1"/>
  <c r="RY45" i="1"/>
  <c r="SC45" i="1" s="1"/>
  <c r="RY50" i="1"/>
  <c r="SC50" i="1" s="1"/>
  <c r="RY79" i="1"/>
  <c r="SK79" i="1" s="1"/>
  <c r="RY118" i="1"/>
  <c r="SC118" i="1" s="1"/>
  <c r="RY54" i="1"/>
  <c r="SG54" i="1" s="1"/>
  <c r="RY85" i="1"/>
  <c r="SC85" i="1" s="1"/>
  <c r="RY21" i="1"/>
  <c r="SG21" i="1" s="1"/>
  <c r="RY112" i="1"/>
  <c r="SC112" i="1" s="1"/>
  <c r="RY48" i="1"/>
  <c r="SC48" i="1" s="1"/>
  <c r="RY71" i="1"/>
  <c r="SC71" i="1" s="1"/>
  <c r="RY110" i="1"/>
  <c r="SC110" i="1" s="1"/>
  <c r="RY46" i="1"/>
  <c r="SC46" i="1" s="1"/>
  <c r="RY76" i="1"/>
  <c r="SG76" i="1" s="1"/>
  <c r="RY33" i="1"/>
  <c r="SG33" i="1" s="1"/>
  <c r="WW29" i="1"/>
  <c r="WW31" i="1" s="1"/>
  <c r="WW43" i="1" s="1"/>
  <c r="WW49" i="1" s="1"/>
  <c r="RY93" i="1"/>
  <c r="SC93" i="1" s="1"/>
  <c r="RY29" i="1"/>
  <c r="SG29" i="1" s="1"/>
  <c r="RY100" i="1"/>
  <c r="SC100" i="1" s="1"/>
  <c r="RY36" i="1"/>
  <c r="SG36" i="1" s="1"/>
  <c r="RY75" i="1"/>
  <c r="SC75" i="1" s="1"/>
  <c r="RY104" i="1"/>
  <c r="SC104" i="1" s="1"/>
  <c r="RY57" i="1"/>
  <c r="SC57" i="1" s="1"/>
  <c r="RY66" i="1"/>
  <c r="SC66" i="1" s="1"/>
  <c r="RY95" i="1"/>
  <c r="SC95" i="1" s="1"/>
  <c r="RY31" i="1"/>
  <c r="SG31" i="1" s="1"/>
  <c r="RY70" i="1"/>
  <c r="SC70" i="1" s="1"/>
  <c r="RY37" i="1"/>
  <c r="SC37" i="1" s="1"/>
  <c r="TF37" i="1" s="1"/>
  <c r="RY40" i="1"/>
  <c r="SK40" i="1" s="1"/>
  <c r="RY32" i="1"/>
  <c r="SK32" i="1" s="1"/>
  <c r="RY47" i="1"/>
  <c r="SC47" i="1" s="1"/>
  <c r="TF47" i="1" s="1"/>
  <c r="RY22" i="1"/>
  <c r="RY60" i="1"/>
  <c r="SC60" i="1" s="1"/>
  <c r="TF60" i="1" s="1"/>
  <c r="RY116" i="1"/>
  <c r="SC116" i="1" s="1"/>
  <c r="TF116" i="1" s="1"/>
  <c r="RY52" i="1"/>
  <c r="SC52" i="1" s="1"/>
  <c r="TF52" i="1" s="1"/>
  <c r="RY91" i="1"/>
  <c r="SC91" i="1" s="1"/>
  <c r="TF91" i="1" s="1"/>
  <c r="RY27" i="1"/>
  <c r="SG27" i="1" s="1"/>
  <c r="RY58" i="1"/>
  <c r="SC58" i="1" s="1"/>
  <c r="TF58" i="1" s="1"/>
  <c r="RY89" i="1"/>
  <c r="SC89" i="1" s="1"/>
  <c r="TF89" i="1" s="1"/>
  <c r="RY25" i="1"/>
  <c r="SG25" i="1" s="1"/>
  <c r="RY56" i="1"/>
  <c r="SC56" i="1" s="1"/>
  <c r="TF56" i="1" s="1"/>
  <c r="RY87" i="1"/>
  <c r="SC87" i="1" s="1"/>
  <c r="TF87" i="1" s="1"/>
  <c r="RY23" i="1"/>
  <c r="SG23" i="1" s="1"/>
  <c r="RY62" i="1"/>
  <c r="SC62" i="1" s="1"/>
  <c r="TF62" i="1" s="1"/>
  <c r="RY101" i="1"/>
  <c r="SK101" i="1" s="1"/>
  <c r="RY106" i="1"/>
  <c r="SC106" i="1" s="1"/>
  <c r="TF106" i="1" s="1"/>
  <c r="RY42" i="1"/>
  <c r="SC42" i="1" s="1"/>
  <c r="TF42" i="1" s="1"/>
  <c r="RY92" i="1"/>
  <c r="SC92" i="1" s="1"/>
  <c r="TF92" i="1" s="1"/>
  <c r="RY28" i="1"/>
  <c r="SG28" i="1" s="1"/>
  <c r="RY67" i="1"/>
  <c r="SC67" i="1" s="1"/>
  <c r="TF67" i="1" s="1"/>
  <c r="RY98" i="1"/>
  <c r="SC98" i="1" s="1"/>
  <c r="TF98" i="1" s="1"/>
  <c r="RY34" i="1"/>
  <c r="SG34" i="1" s="1"/>
  <c r="RY65" i="1"/>
  <c r="SC65" i="1" s="1"/>
  <c r="TF65" i="1" s="1"/>
  <c r="RY96" i="1"/>
  <c r="SC96" i="1" s="1"/>
  <c r="TF96" i="1" s="1"/>
  <c r="RY63" i="1"/>
  <c r="SC63" i="1" s="1"/>
  <c r="TF63" i="1" s="1"/>
  <c r="RY102" i="1"/>
  <c r="SC102" i="1" s="1"/>
  <c r="TF102" i="1" s="1"/>
  <c r="RY38" i="1"/>
  <c r="SG38" i="1" s="1"/>
  <c r="RY77" i="1"/>
  <c r="SC77" i="1" s="1"/>
  <c r="TF77" i="1" s="1"/>
  <c r="RY84" i="1"/>
  <c r="SG84" i="1" s="1"/>
  <c r="RY20" i="1"/>
  <c r="SG20" i="1" s="1"/>
  <c r="RY59" i="1"/>
  <c r="SC59" i="1" s="1"/>
  <c r="TF59" i="1" s="1"/>
  <c r="RY90" i="1"/>
  <c r="SC90" i="1" s="1"/>
  <c r="TF90" i="1" s="1"/>
  <c r="RY26" i="1"/>
  <c r="SG26" i="1" s="1"/>
  <c r="RY88" i="1"/>
  <c r="SC88" i="1" s="1"/>
  <c r="TF88" i="1" s="1"/>
  <c r="RY24" i="1"/>
  <c r="SG24" i="1" s="1"/>
  <c r="RY55" i="1"/>
  <c r="SC55" i="1" s="1"/>
  <c r="TF55" i="1" s="1"/>
  <c r="RY94" i="1"/>
  <c r="SC94" i="1" s="1"/>
  <c r="TF94" i="1" s="1"/>
  <c r="RY30" i="1"/>
  <c r="SG30" i="1" s="1"/>
  <c r="RY69" i="1"/>
  <c r="SC69" i="1" s="1"/>
  <c r="TF69" i="1" s="1"/>
  <c r="RY19" i="1"/>
  <c r="SG19" i="1" s="1"/>
  <c r="RY115" i="1"/>
  <c r="SC115" i="1" s="1"/>
  <c r="TF115" i="1" s="1"/>
  <c r="RY51" i="1"/>
  <c r="SC51" i="1" s="1"/>
  <c r="TF51" i="1" s="1"/>
  <c r="RY82" i="1"/>
  <c r="SC82" i="1" s="1"/>
  <c r="TF82" i="1" s="1"/>
  <c r="RY113" i="1"/>
  <c r="SC113" i="1" s="1"/>
  <c r="TF113" i="1" s="1"/>
  <c r="RY111" i="1"/>
  <c r="SC111" i="1" s="1"/>
  <c r="TF111" i="1" s="1"/>
  <c r="RY86" i="1"/>
  <c r="SC86" i="1" s="1"/>
  <c r="TF86" i="1" s="1"/>
  <c r="RY68" i="1"/>
  <c r="SC68" i="1" s="1"/>
  <c r="TF68" i="1" s="1"/>
  <c r="RY107" i="1"/>
  <c r="SC107" i="1" s="1"/>
  <c r="TF107" i="1" s="1"/>
  <c r="RY43" i="1"/>
  <c r="SC43" i="1" s="1"/>
  <c r="TF43" i="1" s="1"/>
  <c r="RY74" i="1"/>
  <c r="SC74" i="1" s="1"/>
  <c r="TF74" i="1" s="1"/>
  <c r="RY105" i="1"/>
  <c r="SC105" i="1" s="1"/>
  <c r="TF105" i="1" s="1"/>
  <c r="RY41" i="1"/>
  <c r="SG41" i="1" s="1"/>
  <c r="RY72" i="1"/>
  <c r="SC72" i="1" s="1"/>
  <c r="TF72" i="1" s="1"/>
  <c r="RY103" i="1"/>
  <c r="SC103" i="1" s="1"/>
  <c r="TF103" i="1" s="1"/>
  <c r="RY39" i="1"/>
  <c r="SG39" i="1" s="1"/>
  <c r="RY78" i="1"/>
  <c r="SC78" i="1" s="1"/>
  <c r="TF78" i="1" s="1"/>
  <c r="RY117" i="1"/>
  <c r="SC117" i="1" s="1"/>
  <c r="TF117" i="1" s="1"/>
  <c r="RY53" i="1"/>
  <c r="SC53" i="1" s="1"/>
  <c r="TF53" i="1" s="1"/>
  <c r="TQ49" i="1"/>
  <c r="TQ80" i="1"/>
  <c r="ADL64" i="1"/>
  <c r="ADN64" i="1"/>
  <c r="ADT64" i="1"/>
  <c r="ADP64" i="1"/>
  <c r="YC151" i="1"/>
  <c r="XR283" i="1" s="1"/>
  <c r="XR302" i="1"/>
  <c r="YC305" i="1"/>
  <c r="XU313" i="1" s="1"/>
  <c r="YD314" i="1" s="1"/>
  <c r="ADV64" i="1"/>
  <c r="ADR64" i="1"/>
  <c r="SK49" i="1"/>
  <c r="ST49" i="1" s="1"/>
  <c r="XR284" i="1"/>
  <c r="XR290" i="1"/>
  <c r="YC290" i="1" s="1"/>
  <c r="SG49" i="1"/>
  <c r="SO49" i="1" s="1"/>
  <c r="WU35" i="1"/>
  <c r="WU39" i="1" s="1"/>
  <c r="WU33" i="1"/>
  <c r="WU37" i="1" s="1"/>
  <c r="SK97" i="1"/>
  <c r="ST97" i="1" s="1"/>
  <c r="SG97" i="1"/>
  <c r="SO97" i="1" s="1"/>
  <c r="SG80" i="1"/>
  <c r="SO80" i="1" s="1"/>
  <c r="SK80" i="1"/>
  <c r="ST80" i="1" s="1"/>
  <c r="YC294" i="1"/>
  <c r="WU43" i="1"/>
  <c r="WU49" i="1" s="1"/>
  <c r="TF45" i="1" l="1"/>
  <c r="TQ45" i="1" s="1"/>
  <c r="TF61" i="1"/>
  <c r="TQ61" i="1" s="1"/>
  <c r="TF95" i="1"/>
  <c r="TQ95" i="1" s="1"/>
  <c r="TF93" i="1"/>
  <c r="TQ93" i="1" s="1"/>
  <c r="TF112" i="1"/>
  <c r="TQ112" i="1" s="1"/>
  <c r="TF114" i="1"/>
  <c r="TQ114" i="1" s="1"/>
  <c r="TF66" i="1"/>
  <c r="TQ66" i="1" s="1"/>
  <c r="TF73" i="1"/>
  <c r="TQ73" i="1" s="1"/>
  <c r="TF57" i="1"/>
  <c r="TQ57" i="1" s="1"/>
  <c r="TF85" i="1"/>
  <c r="TQ85" i="1" s="1"/>
  <c r="TF81" i="1"/>
  <c r="TQ81" i="1" s="1"/>
  <c r="TF104" i="1"/>
  <c r="TQ104" i="1" s="1"/>
  <c r="TF83" i="1"/>
  <c r="TQ83" i="1" s="1"/>
  <c r="TF75" i="1"/>
  <c r="TQ75" i="1" s="1"/>
  <c r="TF46" i="1"/>
  <c r="TQ46" i="1" s="1"/>
  <c r="TF118" i="1"/>
  <c r="TQ118" i="1" s="1"/>
  <c r="TF44" i="1"/>
  <c r="TQ44" i="1" s="1"/>
  <c r="TF99" i="1"/>
  <c r="TQ99" i="1" s="1"/>
  <c r="TF110" i="1"/>
  <c r="TQ110" i="1" s="1"/>
  <c r="TF108" i="1"/>
  <c r="TQ108" i="1" s="1"/>
  <c r="TF48" i="1"/>
  <c r="TQ48" i="1" s="1"/>
  <c r="TF70" i="1"/>
  <c r="TQ70" i="1" s="1"/>
  <c r="TF100" i="1"/>
  <c r="TQ100" i="1" s="1"/>
  <c r="TF71" i="1"/>
  <c r="TQ71" i="1" s="1"/>
  <c r="TF50" i="1"/>
  <c r="TQ50" i="1" s="1"/>
  <c r="TF64" i="1"/>
  <c r="TQ64" i="1" s="1"/>
  <c r="WS31" i="1"/>
  <c r="WS43" i="1" s="1"/>
  <c r="WS49" i="1" s="1"/>
  <c r="SK83" i="1"/>
  <c r="ST83" i="1" s="1"/>
  <c r="WS33" i="1"/>
  <c r="XA33" i="1"/>
  <c r="XA37" i="1" s="1"/>
  <c r="XA45" i="1" s="1"/>
  <c r="XA35" i="1"/>
  <c r="XA39" i="1" s="1"/>
  <c r="SK54" i="1"/>
  <c r="SG112" i="1"/>
  <c r="SO112" i="1" s="1"/>
  <c r="SC76" i="1"/>
  <c r="SG104" i="1"/>
  <c r="SO104" i="1" s="1"/>
  <c r="SC54" i="1"/>
  <c r="SK76" i="1"/>
  <c r="SC109" i="1"/>
  <c r="SK114" i="1"/>
  <c r="ST114" i="1" s="1"/>
  <c r="SK99" i="1"/>
  <c r="ST99" i="1" s="1"/>
  <c r="SG114" i="1"/>
  <c r="SO114" i="1" s="1"/>
  <c r="SG83" i="1"/>
  <c r="SO83" i="1" s="1"/>
  <c r="SC35" i="1"/>
  <c r="SK104" i="1"/>
  <c r="ST104" i="1" s="1"/>
  <c r="SK35" i="1"/>
  <c r="WY31" i="1"/>
  <c r="WY43" i="1" s="1"/>
  <c r="WY49" i="1" s="1"/>
  <c r="WY35" i="1"/>
  <c r="WY39" i="1" s="1"/>
  <c r="SG61" i="1"/>
  <c r="SO61" i="1" s="1"/>
  <c r="SK61" i="1"/>
  <c r="ST61" i="1" s="1"/>
  <c r="SG99" i="1"/>
  <c r="SO99" i="1" s="1"/>
  <c r="SK64" i="1"/>
  <c r="ST64" i="1" s="1"/>
  <c r="SG50" i="1"/>
  <c r="SO50" i="1" s="1"/>
  <c r="SK71" i="1"/>
  <c r="ST71" i="1" s="1"/>
  <c r="SG79" i="1"/>
  <c r="SK108" i="1"/>
  <c r="ST108" i="1" s="1"/>
  <c r="SG72" i="1"/>
  <c r="SO72" i="1" s="1"/>
  <c r="SK94" i="1"/>
  <c r="ST94" i="1" s="1"/>
  <c r="SK98" i="1"/>
  <c r="ST98" i="1" s="1"/>
  <c r="SG111" i="1"/>
  <c r="SO111" i="1" s="1"/>
  <c r="SK33" i="1"/>
  <c r="SG66" i="1"/>
  <c r="SO66" i="1" s="1"/>
  <c r="SK111" i="1"/>
  <c r="ST111" i="1" s="1"/>
  <c r="XC33" i="1"/>
  <c r="XC37" i="1" s="1"/>
  <c r="XC45" i="1" s="1"/>
  <c r="SG98" i="1"/>
  <c r="SO98" i="1" s="1"/>
  <c r="SK72" i="1"/>
  <c r="ST72" i="1" s="1"/>
  <c r="SG94" i="1"/>
  <c r="SO94" i="1" s="1"/>
  <c r="SG52" i="1"/>
  <c r="SO52" i="1" s="1"/>
  <c r="SK52" i="1"/>
  <c r="ST52" i="1" s="1"/>
  <c r="XC35" i="1"/>
  <c r="XC39" i="1" s="1"/>
  <c r="SK23" i="1"/>
  <c r="SG68" i="1"/>
  <c r="SO68" i="1" s="1"/>
  <c r="SK27" i="1"/>
  <c r="SK68" i="1"/>
  <c r="ST68" i="1" s="1"/>
  <c r="SK81" i="1"/>
  <c r="ST81" i="1" s="1"/>
  <c r="SC33" i="1"/>
  <c r="SG81" i="1"/>
  <c r="SO81" i="1" s="1"/>
  <c r="SG85" i="1"/>
  <c r="SO85" i="1" s="1"/>
  <c r="SK85" i="1"/>
  <c r="ST85" i="1" s="1"/>
  <c r="SK109" i="1"/>
  <c r="SG73" i="1"/>
  <c r="SO73" i="1" s="1"/>
  <c r="SK73" i="1"/>
  <c r="ST73" i="1" s="1"/>
  <c r="SK69" i="1"/>
  <c r="ST69" i="1" s="1"/>
  <c r="SG93" i="1"/>
  <c r="SO93" i="1" s="1"/>
  <c r="SK112" i="1"/>
  <c r="ST112" i="1" s="1"/>
  <c r="SK50" i="1"/>
  <c r="ST50" i="1" s="1"/>
  <c r="SG64" i="1"/>
  <c r="SO64" i="1" s="1"/>
  <c r="SK65" i="1"/>
  <c r="ST65" i="1" s="1"/>
  <c r="SK26" i="1"/>
  <c r="SG117" i="1"/>
  <c r="SO117" i="1" s="1"/>
  <c r="SK63" i="1"/>
  <c r="ST63" i="1" s="1"/>
  <c r="SG115" i="1"/>
  <c r="SO115" i="1" s="1"/>
  <c r="SK45" i="1"/>
  <c r="ST45" i="1" s="1"/>
  <c r="SG45" i="1"/>
  <c r="SO45" i="1" s="1"/>
  <c r="SG63" i="1"/>
  <c r="SO63" i="1" s="1"/>
  <c r="SG42" i="1"/>
  <c r="SO42" i="1" s="1"/>
  <c r="SZ97" i="1"/>
  <c r="SK42" i="1"/>
  <c r="ST42" i="1" s="1"/>
  <c r="SK117" i="1"/>
  <c r="ST117" i="1" s="1"/>
  <c r="SC79" i="1"/>
  <c r="SK88" i="1"/>
  <c r="ST88" i="1" s="1"/>
  <c r="SG75" i="1"/>
  <c r="SO75" i="1" s="1"/>
  <c r="SK28" i="1"/>
  <c r="SG110" i="1"/>
  <c r="SO110" i="1" s="1"/>
  <c r="SK44" i="1"/>
  <c r="ST44" i="1" s="1"/>
  <c r="SG108" i="1"/>
  <c r="SO108" i="1" s="1"/>
  <c r="SK102" i="1"/>
  <c r="ST102" i="1" s="1"/>
  <c r="SK46" i="1"/>
  <c r="ST46" i="1" s="1"/>
  <c r="SK70" i="1"/>
  <c r="ST70" i="1" s="1"/>
  <c r="SK75" i="1"/>
  <c r="ST75" i="1" s="1"/>
  <c r="SK118" i="1"/>
  <c r="ST118" i="1" s="1"/>
  <c r="SZ49" i="1"/>
  <c r="SG44" i="1"/>
  <c r="SO44" i="1" s="1"/>
  <c r="SG118" i="1"/>
  <c r="SO118" i="1" s="1"/>
  <c r="SG46" i="1"/>
  <c r="SO46" i="1" s="1"/>
  <c r="SZ80" i="1"/>
  <c r="SK21" i="1"/>
  <c r="SG71" i="1"/>
  <c r="SO71" i="1" s="1"/>
  <c r="SG95" i="1"/>
  <c r="SO95" i="1" s="1"/>
  <c r="SG101" i="1"/>
  <c r="SC21" i="1"/>
  <c r="SK59" i="1"/>
  <c r="ST59" i="1" s="1"/>
  <c r="SG69" i="1"/>
  <c r="SO69" i="1" s="1"/>
  <c r="SG59" i="1"/>
  <c r="SO59" i="1" s="1"/>
  <c r="SC29" i="1"/>
  <c r="TF29" i="1" s="1"/>
  <c r="SK29" i="1"/>
  <c r="SK39" i="1"/>
  <c r="SG48" i="1"/>
  <c r="SO48" i="1" s="1"/>
  <c r="SG100" i="1"/>
  <c r="SO100" i="1" s="1"/>
  <c r="SK66" i="1"/>
  <c r="ST66" i="1" s="1"/>
  <c r="SG57" i="1"/>
  <c r="SO57" i="1" s="1"/>
  <c r="SK48" i="1"/>
  <c r="ST48" i="1" s="1"/>
  <c r="SK100" i="1"/>
  <c r="ST100" i="1" s="1"/>
  <c r="SK93" i="1"/>
  <c r="ST93" i="1" s="1"/>
  <c r="SK31" i="1"/>
  <c r="SC19" i="1"/>
  <c r="SK110" i="1"/>
  <c r="ST110" i="1" s="1"/>
  <c r="SK57" i="1"/>
  <c r="ST57" i="1" s="1"/>
  <c r="SC31" i="1"/>
  <c r="WW33" i="1"/>
  <c r="WW37" i="1" s="1"/>
  <c r="WW45" i="1" s="1"/>
  <c r="WW35" i="1"/>
  <c r="WW39" i="1" s="1"/>
  <c r="SK47" i="1"/>
  <c r="ST47" i="1" s="1"/>
  <c r="SC36" i="1"/>
  <c r="TF36" i="1" s="1"/>
  <c r="SG70" i="1"/>
  <c r="SO70" i="1" s="1"/>
  <c r="SK62" i="1"/>
  <c r="ST62" i="1" s="1"/>
  <c r="SK36" i="1"/>
  <c r="SG62" i="1"/>
  <c r="SO62" i="1" s="1"/>
  <c r="SK20" i="1"/>
  <c r="SG37" i="1"/>
  <c r="SO37" i="1" s="1"/>
  <c r="SK37" i="1"/>
  <c r="ST37" i="1" s="1"/>
  <c r="SK95" i="1"/>
  <c r="ST95" i="1" s="1"/>
  <c r="SG56" i="1"/>
  <c r="SO56" i="1" s="1"/>
  <c r="SG55" i="1"/>
  <c r="SO55" i="1" s="1"/>
  <c r="SK116" i="1"/>
  <c r="ST116" i="1" s="1"/>
  <c r="SK87" i="1"/>
  <c r="ST87" i="1" s="1"/>
  <c r="SK55" i="1"/>
  <c r="ST55" i="1" s="1"/>
  <c r="SG67" i="1"/>
  <c r="SO67" i="1" s="1"/>
  <c r="SK41" i="1"/>
  <c r="SG113" i="1"/>
  <c r="SO113" i="1" s="1"/>
  <c r="SK56" i="1"/>
  <c r="ST56" i="1" s="1"/>
  <c r="SK38" i="1"/>
  <c r="SG87" i="1"/>
  <c r="SO87" i="1" s="1"/>
  <c r="SK82" i="1"/>
  <c r="ST82" i="1" s="1"/>
  <c r="SK105" i="1"/>
  <c r="ST105" i="1" s="1"/>
  <c r="SG105" i="1"/>
  <c r="SO105" i="1" s="1"/>
  <c r="SK113" i="1"/>
  <c r="ST113" i="1" s="1"/>
  <c r="SK67" i="1"/>
  <c r="ST67" i="1" s="1"/>
  <c r="SG116" i="1"/>
  <c r="SO116" i="1" s="1"/>
  <c r="SG82" i="1"/>
  <c r="SO82" i="1" s="1"/>
  <c r="SG96" i="1"/>
  <c r="SO96" i="1" s="1"/>
  <c r="SG58" i="1"/>
  <c r="SO58" i="1" s="1"/>
  <c r="SK96" i="1"/>
  <c r="ST96" i="1" s="1"/>
  <c r="SG78" i="1"/>
  <c r="SO78" i="1" s="1"/>
  <c r="SK78" i="1"/>
  <c r="ST78" i="1" s="1"/>
  <c r="SG106" i="1"/>
  <c r="SO106" i="1" s="1"/>
  <c r="SG90" i="1"/>
  <c r="SO90" i="1" s="1"/>
  <c r="SK58" i="1"/>
  <c r="ST58" i="1" s="1"/>
  <c r="SG40" i="1"/>
  <c r="SC40" i="1"/>
  <c r="TF40" i="1" s="1"/>
  <c r="SG91" i="1"/>
  <c r="SO91" i="1" s="1"/>
  <c r="SK103" i="1"/>
  <c r="ST103" i="1" s="1"/>
  <c r="SK30" i="1"/>
  <c r="SG47" i="1"/>
  <c r="SO47" i="1" s="1"/>
  <c r="TQ47" i="1"/>
  <c r="SK91" i="1"/>
  <c r="ST91" i="1" s="1"/>
  <c r="SG86" i="1"/>
  <c r="SO86" i="1" s="1"/>
  <c r="SK86" i="1"/>
  <c r="ST86" i="1" s="1"/>
  <c r="TQ74" i="1"/>
  <c r="TQ51" i="1"/>
  <c r="SG22" i="1"/>
  <c r="SC22" i="1"/>
  <c r="TF22" i="1" s="1"/>
  <c r="SK25" i="1"/>
  <c r="SG51" i="1"/>
  <c r="SO51" i="1" s="1"/>
  <c r="TQ117" i="1"/>
  <c r="TQ43" i="1"/>
  <c r="TQ115" i="1"/>
  <c r="TQ63" i="1"/>
  <c r="TQ42" i="1"/>
  <c r="TQ89" i="1"/>
  <c r="TQ92" i="1"/>
  <c r="SK22" i="1"/>
  <c r="SG74" i="1"/>
  <c r="SO74" i="1" s="1"/>
  <c r="SK92" i="1"/>
  <c r="ST92" i="1" s="1"/>
  <c r="SG102" i="1"/>
  <c r="SO102" i="1" s="1"/>
  <c r="TQ78" i="1"/>
  <c r="TQ107" i="1"/>
  <c r="TQ90" i="1"/>
  <c r="TQ96" i="1"/>
  <c r="TQ106" i="1"/>
  <c r="TQ58" i="1"/>
  <c r="SG32" i="1"/>
  <c r="SC32" i="1"/>
  <c r="TF32" i="1" s="1"/>
  <c r="SG88" i="1"/>
  <c r="SO88" i="1" s="1"/>
  <c r="TQ68" i="1"/>
  <c r="TQ69" i="1"/>
  <c r="TQ59" i="1"/>
  <c r="TQ65" i="1"/>
  <c r="TQ53" i="1"/>
  <c r="SG53" i="1"/>
  <c r="SO53" i="1" s="1"/>
  <c r="SK51" i="1"/>
  <c r="ST51" i="1" s="1"/>
  <c r="TQ103" i="1"/>
  <c r="TQ86" i="1"/>
  <c r="TQ62" i="1"/>
  <c r="TQ91" i="1"/>
  <c r="SG65" i="1"/>
  <c r="SO65" i="1" s="1"/>
  <c r="TQ72" i="1"/>
  <c r="TQ111" i="1"/>
  <c r="TQ94" i="1"/>
  <c r="TQ98" i="1"/>
  <c r="TQ52" i="1"/>
  <c r="TQ102" i="1"/>
  <c r="SK74" i="1"/>
  <c r="ST74" i="1" s="1"/>
  <c r="TQ113" i="1"/>
  <c r="TQ55" i="1"/>
  <c r="TQ77" i="1"/>
  <c r="TQ67" i="1"/>
  <c r="TQ87" i="1"/>
  <c r="TQ116" i="1"/>
  <c r="TQ88" i="1"/>
  <c r="SK53" i="1"/>
  <c r="ST53" i="1" s="1"/>
  <c r="SG92" i="1"/>
  <c r="SO92" i="1" s="1"/>
  <c r="SK90" i="1"/>
  <c r="ST90" i="1" s="1"/>
  <c r="TQ105" i="1"/>
  <c r="TQ82" i="1"/>
  <c r="TQ56" i="1"/>
  <c r="TQ60" i="1"/>
  <c r="SC25" i="1"/>
  <c r="SC30" i="1"/>
  <c r="SG89" i="1"/>
  <c r="SO89" i="1" s="1"/>
  <c r="SG60" i="1"/>
  <c r="SO60" i="1" s="1"/>
  <c r="SK77" i="1"/>
  <c r="ST77" i="1" s="1"/>
  <c r="SK107" i="1"/>
  <c r="ST107" i="1" s="1"/>
  <c r="SK43" i="1"/>
  <c r="ST43" i="1" s="1"/>
  <c r="SK84" i="1"/>
  <c r="SG77" i="1"/>
  <c r="SO77" i="1" s="1"/>
  <c r="SC84" i="1"/>
  <c r="SK34" i="1"/>
  <c r="SK24" i="1"/>
  <c r="SG103" i="1"/>
  <c r="SO103" i="1" s="1"/>
  <c r="SG107" i="1"/>
  <c r="SO107" i="1" s="1"/>
  <c r="SK60" i="1"/>
  <c r="ST60" i="1" s="1"/>
  <c r="SK106" i="1"/>
  <c r="ST106" i="1" s="1"/>
  <c r="SK115" i="1"/>
  <c r="ST115" i="1" s="1"/>
  <c r="SC20" i="1"/>
  <c r="SC34" i="1"/>
  <c r="SK89" i="1"/>
  <c r="ST89" i="1" s="1"/>
  <c r="SG43" i="1"/>
  <c r="SO43" i="1" s="1"/>
  <c r="SC101" i="1"/>
  <c r="SC26" i="1"/>
  <c r="SC23" i="1"/>
  <c r="SC41" i="1"/>
  <c r="TF41" i="1" s="1"/>
  <c r="SK19" i="1"/>
  <c r="SC39" i="1"/>
  <c r="SC24" i="1"/>
  <c r="SC38" i="1"/>
  <c r="SC28" i="1"/>
  <c r="SC27" i="1"/>
  <c r="TI97" i="1"/>
  <c r="TI80" i="1"/>
  <c r="YC283" i="1"/>
  <c r="YA314" i="1"/>
  <c r="TI49" i="1"/>
  <c r="TQ37" i="1"/>
  <c r="WU45" i="1"/>
  <c r="WU41" i="1"/>
  <c r="WU51" i="1" s="1"/>
  <c r="SO23" i="1" l="1"/>
  <c r="TI23" i="1" s="1"/>
  <c r="TF23" i="1"/>
  <c r="TQ23" i="1" s="1"/>
  <c r="SO54" i="1"/>
  <c r="TI54" i="1" s="1"/>
  <c r="TF54" i="1"/>
  <c r="TQ54" i="1" s="1"/>
  <c r="SO27" i="1"/>
  <c r="TF27" i="1"/>
  <c r="TQ27" i="1" s="1"/>
  <c r="SO28" i="1"/>
  <c r="TF28" i="1"/>
  <c r="TQ28" i="1" s="1"/>
  <c r="ST79" i="1"/>
  <c r="TF79" i="1"/>
  <c r="TQ79" i="1" s="1"/>
  <c r="SO33" i="1"/>
  <c r="TI33" i="1" s="1"/>
  <c r="TF33" i="1"/>
  <c r="TQ33" i="1" s="1"/>
  <c r="SO35" i="1"/>
  <c r="TI35" i="1" s="1"/>
  <c r="TF35" i="1"/>
  <c r="TQ35" i="1" s="1"/>
  <c r="SO25" i="1"/>
  <c r="TI25" i="1" s="1"/>
  <c r="TF25" i="1"/>
  <c r="TQ25" i="1" s="1"/>
  <c r="SO109" i="1"/>
  <c r="TI109" i="1" s="1"/>
  <c r="TF109" i="1"/>
  <c r="TQ109" i="1" s="1"/>
  <c r="SO31" i="1"/>
  <c r="TI31" i="1" s="1"/>
  <c r="TF31" i="1"/>
  <c r="TQ31" i="1" s="1"/>
  <c r="SO76" i="1"/>
  <c r="TI76" i="1" s="1"/>
  <c r="TF76" i="1"/>
  <c r="TQ76" i="1" s="1"/>
  <c r="SO26" i="1"/>
  <c r="TF26" i="1"/>
  <c r="TQ26" i="1" s="1"/>
  <c r="TF101" i="1"/>
  <c r="TQ101" i="1" s="1"/>
  <c r="SO38" i="1"/>
  <c r="TI38" i="1" s="1"/>
  <c r="TF38" i="1"/>
  <c r="TQ38" i="1" s="1"/>
  <c r="SO24" i="1"/>
  <c r="TF24" i="1"/>
  <c r="TQ24" i="1" s="1"/>
  <c r="SO39" i="1"/>
  <c r="TF39" i="1"/>
  <c r="TQ39" i="1" s="1"/>
  <c r="SO34" i="1"/>
  <c r="TF34" i="1"/>
  <c r="TQ34" i="1" s="1"/>
  <c r="SO21" i="1"/>
  <c r="TI21" i="1" s="1"/>
  <c r="TF21" i="1"/>
  <c r="TQ21" i="1" s="1"/>
  <c r="SO20" i="1"/>
  <c r="TI20" i="1" s="1"/>
  <c r="TF20" i="1"/>
  <c r="TQ20" i="1" s="1"/>
  <c r="SO84" i="1"/>
  <c r="TF84" i="1"/>
  <c r="SO30" i="1"/>
  <c r="TI30" i="1" s="1"/>
  <c r="TF30" i="1"/>
  <c r="TQ30" i="1" s="1"/>
  <c r="SO19" i="1"/>
  <c r="TI19" i="1" s="1"/>
  <c r="TF19" i="1"/>
  <c r="TQ19" i="1" s="1"/>
  <c r="TI42" i="1"/>
  <c r="TI95" i="1"/>
  <c r="TI63" i="1"/>
  <c r="TI45" i="1"/>
  <c r="TI66" i="1"/>
  <c r="TI81" i="1"/>
  <c r="TI50" i="1"/>
  <c r="TI93" i="1"/>
  <c r="TI104" i="1"/>
  <c r="TI83" i="1"/>
  <c r="TI48" i="1"/>
  <c r="TI118" i="1"/>
  <c r="TI114" i="1"/>
  <c r="TI112" i="1"/>
  <c r="TI100" i="1"/>
  <c r="WS37" i="1"/>
  <c r="WS41" i="1" s="1"/>
  <c r="XA41" i="1"/>
  <c r="ST54" i="1"/>
  <c r="SZ112" i="1"/>
  <c r="TM112" i="1" s="1"/>
  <c r="SZ104" i="1"/>
  <c r="ST76" i="1"/>
  <c r="SZ83" i="1"/>
  <c r="TM83" i="1" s="1"/>
  <c r="SZ114" i="1"/>
  <c r="TM114" i="1" s="1"/>
  <c r="WY37" i="1"/>
  <c r="WY45" i="1" s="1"/>
  <c r="ST35" i="1"/>
  <c r="ST109" i="1"/>
  <c r="SZ99" i="1"/>
  <c r="SZ50" i="1"/>
  <c r="TM50" i="1" s="1"/>
  <c r="SZ93" i="1"/>
  <c r="TU93" i="1" s="1"/>
  <c r="SZ107" i="1"/>
  <c r="SZ61" i="1"/>
  <c r="SZ71" i="1"/>
  <c r="SZ85" i="1"/>
  <c r="TM85" i="1" s="1"/>
  <c r="SZ108" i="1"/>
  <c r="SZ44" i="1"/>
  <c r="TM44" i="1" s="1"/>
  <c r="SZ110" i="1"/>
  <c r="TM110" i="1" s="1"/>
  <c r="SZ64" i="1"/>
  <c r="TM64" i="1" s="1"/>
  <c r="TI85" i="1"/>
  <c r="ST19" i="1"/>
  <c r="SZ66" i="1"/>
  <c r="XC41" i="1"/>
  <c r="TI44" i="1"/>
  <c r="SZ73" i="1"/>
  <c r="SZ47" i="1"/>
  <c r="ST33" i="1"/>
  <c r="SZ81" i="1"/>
  <c r="TI64" i="1"/>
  <c r="SZ46" i="1"/>
  <c r="TM46" i="1" s="1"/>
  <c r="SZ75" i="1"/>
  <c r="SZ78" i="1"/>
  <c r="SZ92" i="1"/>
  <c r="SZ70" i="1"/>
  <c r="TM70" i="1" s="1"/>
  <c r="TI75" i="1"/>
  <c r="TI46" i="1"/>
  <c r="SZ45" i="1"/>
  <c r="TM45" i="1" s="1"/>
  <c r="SZ118" i="1"/>
  <c r="SO79" i="1"/>
  <c r="TI70" i="1"/>
  <c r="SZ103" i="1"/>
  <c r="SZ105" i="1"/>
  <c r="SZ48" i="1"/>
  <c r="TM48" i="1" s="1"/>
  <c r="SZ113" i="1"/>
  <c r="SZ77" i="1"/>
  <c r="SZ65" i="1"/>
  <c r="SZ100" i="1"/>
  <c r="TM100" i="1" s="1"/>
  <c r="SZ53" i="1"/>
  <c r="SZ96" i="1"/>
  <c r="SZ87" i="1"/>
  <c r="SZ82" i="1"/>
  <c r="SZ74" i="1"/>
  <c r="SZ102" i="1"/>
  <c r="TI55" i="1"/>
  <c r="SZ55" i="1"/>
  <c r="TM55" i="1" s="1"/>
  <c r="SZ69" i="1"/>
  <c r="SZ42" i="1"/>
  <c r="TM42" i="1" s="1"/>
  <c r="SZ57" i="1"/>
  <c r="SZ52" i="1"/>
  <c r="TI68" i="1"/>
  <c r="SZ68" i="1"/>
  <c r="TU68" i="1" s="1"/>
  <c r="SZ63" i="1"/>
  <c r="SZ98" i="1"/>
  <c r="TM98" i="1" s="1"/>
  <c r="TI115" i="1"/>
  <c r="SZ115" i="1"/>
  <c r="TI90" i="1"/>
  <c r="SZ90" i="1"/>
  <c r="SZ116" i="1"/>
  <c r="TM116" i="1" s="1"/>
  <c r="SZ56" i="1"/>
  <c r="SZ94" i="1"/>
  <c r="SZ117" i="1"/>
  <c r="SZ106" i="1"/>
  <c r="TM106" i="1" s="1"/>
  <c r="SZ88" i="1"/>
  <c r="SZ111" i="1"/>
  <c r="SZ95" i="1"/>
  <c r="SZ43" i="1"/>
  <c r="SZ72" i="1"/>
  <c r="TM72" i="1" s="1"/>
  <c r="TI67" i="1"/>
  <c r="SZ67" i="1"/>
  <c r="TM67" i="1" s="1"/>
  <c r="SZ37" i="1"/>
  <c r="SZ60" i="1"/>
  <c r="SZ86" i="1"/>
  <c r="SZ89" i="1"/>
  <c r="SZ51" i="1"/>
  <c r="TI59" i="1"/>
  <c r="SZ59" i="1"/>
  <c r="TM59" i="1" s="1"/>
  <c r="SZ91" i="1"/>
  <c r="SZ58" i="1"/>
  <c r="TI62" i="1"/>
  <c r="SZ62" i="1"/>
  <c r="ST29" i="1"/>
  <c r="ST31" i="1"/>
  <c r="SO29" i="1"/>
  <c r="TQ29" i="1"/>
  <c r="ST21" i="1"/>
  <c r="WW41" i="1"/>
  <c r="ST36" i="1"/>
  <c r="TQ84" i="1"/>
  <c r="SO36" i="1"/>
  <c r="TQ36" i="1"/>
  <c r="SO40" i="1"/>
  <c r="TQ40" i="1"/>
  <c r="ST40" i="1"/>
  <c r="TM80" i="1"/>
  <c r="TU80" i="1"/>
  <c r="TM49" i="1"/>
  <c r="TU49" i="1"/>
  <c r="TM97" i="1"/>
  <c r="TU97" i="1"/>
  <c r="TI53" i="1"/>
  <c r="TI86" i="1"/>
  <c r="TI65" i="1"/>
  <c r="TI47" i="1"/>
  <c r="SO22" i="1"/>
  <c r="ST41" i="1"/>
  <c r="SO41" i="1"/>
  <c r="SO32" i="1"/>
  <c r="ST101" i="1"/>
  <c r="SO101" i="1"/>
  <c r="TI60" i="1"/>
  <c r="TI96" i="1"/>
  <c r="TI52" i="1"/>
  <c r="TI98" i="1"/>
  <c r="TI94" i="1"/>
  <c r="TI103" i="1"/>
  <c r="TI92" i="1"/>
  <c r="ST27" i="1"/>
  <c r="TI74" i="1"/>
  <c r="ST28" i="1"/>
  <c r="ST34" i="1"/>
  <c r="TI91" i="1"/>
  <c r="TI108" i="1"/>
  <c r="ST38" i="1"/>
  <c r="TI116" i="1"/>
  <c r="TI69" i="1"/>
  <c r="TI105" i="1"/>
  <c r="TI71" i="1"/>
  <c r="ST24" i="1"/>
  <c r="TI77" i="1"/>
  <c r="TI56" i="1"/>
  <c r="TI61" i="1"/>
  <c r="ST26" i="1"/>
  <c r="TI110" i="1"/>
  <c r="TI57" i="1"/>
  <c r="TI73" i="1"/>
  <c r="TI58" i="1"/>
  <c r="TI82" i="1"/>
  <c r="TI89" i="1"/>
  <c r="TI117" i="1"/>
  <c r="TI87" i="1"/>
  <c r="TI113" i="1"/>
  <c r="TI106" i="1"/>
  <c r="TI72" i="1"/>
  <c r="TI107" i="1"/>
  <c r="TI88" i="1"/>
  <c r="TI102" i="1"/>
  <c r="TI51" i="1"/>
  <c r="ST22" i="1"/>
  <c r="TQ22" i="1"/>
  <c r="TI78" i="1"/>
  <c r="ST39" i="1"/>
  <c r="ST23" i="1"/>
  <c r="ST20" i="1"/>
  <c r="ST25" i="1"/>
  <c r="ST84" i="1"/>
  <c r="ST32" i="1"/>
  <c r="TQ32" i="1"/>
  <c r="ST30" i="1"/>
  <c r="TI111" i="1"/>
  <c r="TI43" i="1"/>
  <c r="XR301" i="1"/>
  <c r="YC300" i="1" s="1"/>
  <c r="TQ41" i="1"/>
  <c r="TI99" i="1"/>
  <c r="TI37" i="1"/>
  <c r="WU59" i="1"/>
  <c r="WU47" i="1"/>
  <c r="XA47" i="1" l="1"/>
  <c r="XA51" i="1"/>
  <c r="XA53" i="1" s="1"/>
  <c r="WS47" i="1"/>
  <c r="WS51" i="1"/>
  <c r="WS53" i="1" s="1"/>
  <c r="WW59" i="1"/>
  <c r="WW51" i="1"/>
  <c r="XC59" i="1"/>
  <c r="XC51" i="1"/>
  <c r="SZ84" i="1"/>
  <c r="SZ33" i="1"/>
  <c r="TM33" i="1" s="1"/>
  <c r="SZ28" i="1"/>
  <c r="SZ26" i="1"/>
  <c r="SZ25" i="1"/>
  <c r="TM25" i="1" s="1"/>
  <c r="SZ39" i="1"/>
  <c r="TM39" i="1" s="1"/>
  <c r="SZ21" i="1"/>
  <c r="TU21" i="1" s="1"/>
  <c r="SZ19" i="1"/>
  <c r="TM19" i="1" s="1"/>
  <c r="SZ31" i="1"/>
  <c r="TM31" i="1" s="1"/>
  <c r="SZ76" i="1"/>
  <c r="TU76" i="1" s="1"/>
  <c r="SZ54" i="1"/>
  <c r="TU54" i="1" s="1"/>
  <c r="XA59" i="1"/>
  <c r="SZ24" i="1"/>
  <c r="SZ20" i="1"/>
  <c r="TM20" i="1" s="1"/>
  <c r="US49" i="1"/>
  <c r="SZ38" i="1"/>
  <c r="SZ109" i="1"/>
  <c r="TU109" i="1" s="1"/>
  <c r="SZ34" i="1"/>
  <c r="SZ35" i="1"/>
  <c r="TU35" i="1" s="1"/>
  <c r="SZ23" i="1"/>
  <c r="SZ27" i="1"/>
  <c r="SZ30" i="1"/>
  <c r="TU30" i="1" s="1"/>
  <c r="WS59" i="1"/>
  <c r="TI79" i="1"/>
  <c r="WS45" i="1"/>
  <c r="TU104" i="1"/>
  <c r="TM104" i="1"/>
  <c r="TU112" i="1"/>
  <c r="TU83" i="1"/>
  <c r="TU114" i="1"/>
  <c r="TU85" i="1"/>
  <c r="WY41" i="1"/>
  <c r="TM66" i="1"/>
  <c r="TM93" i="1"/>
  <c r="TU50" i="1"/>
  <c r="TU44" i="1"/>
  <c r="TU81" i="1"/>
  <c r="XC47" i="1"/>
  <c r="TU66" i="1"/>
  <c r="TU110" i="1"/>
  <c r="TU75" i="1"/>
  <c r="TU64" i="1"/>
  <c r="TM75" i="1"/>
  <c r="TU95" i="1"/>
  <c r="TM81" i="1"/>
  <c r="TU46" i="1"/>
  <c r="TU70" i="1"/>
  <c r="TU48" i="1"/>
  <c r="TU45" i="1"/>
  <c r="TU100" i="1"/>
  <c r="TM95" i="1"/>
  <c r="TU118" i="1"/>
  <c r="TM118" i="1"/>
  <c r="SZ79" i="1"/>
  <c r="WW47" i="1"/>
  <c r="TU37" i="1"/>
  <c r="TM68" i="1"/>
  <c r="TM37" i="1"/>
  <c r="SZ41" i="1"/>
  <c r="SZ40" i="1"/>
  <c r="TI101" i="1"/>
  <c r="SZ101" i="1"/>
  <c r="SZ32" i="1"/>
  <c r="TI22" i="1"/>
  <c r="SZ22" i="1"/>
  <c r="SZ36" i="1"/>
  <c r="SZ29" i="1"/>
  <c r="TU55" i="1"/>
  <c r="TI29" i="1"/>
  <c r="TU116" i="1"/>
  <c r="TU106" i="1"/>
  <c r="TU98" i="1"/>
  <c r="TU59" i="1"/>
  <c r="TI36" i="1"/>
  <c r="TU94" i="1"/>
  <c r="TM94" i="1"/>
  <c r="TU67" i="1"/>
  <c r="TI40" i="1"/>
  <c r="TU42" i="1"/>
  <c r="TU72" i="1"/>
  <c r="TU73" i="1"/>
  <c r="TM117" i="1"/>
  <c r="TU117" i="1"/>
  <c r="TM51" i="1"/>
  <c r="TU51" i="1"/>
  <c r="TM107" i="1"/>
  <c r="TU107" i="1"/>
  <c r="TM58" i="1"/>
  <c r="TU58" i="1"/>
  <c r="TM115" i="1"/>
  <c r="TU115" i="1"/>
  <c r="TU99" i="1"/>
  <c r="TM113" i="1"/>
  <c r="TU113" i="1"/>
  <c r="TM74" i="1"/>
  <c r="TU74" i="1"/>
  <c r="TM52" i="1"/>
  <c r="TU52" i="1"/>
  <c r="TM102" i="1"/>
  <c r="TU102" i="1"/>
  <c r="TM92" i="1"/>
  <c r="TU92" i="1"/>
  <c r="TM53" i="1"/>
  <c r="TU53" i="1"/>
  <c r="TM47" i="1"/>
  <c r="TU47" i="1"/>
  <c r="TM77" i="1"/>
  <c r="TU77" i="1"/>
  <c r="TM103" i="1"/>
  <c r="TU103" i="1"/>
  <c r="TM82" i="1"/>
  <c r="TU82" i="1"/>
  <c r="TM89" i="1"/>
  <c r="TU89" i="1"/>
  <c r="TM60" i="1"/>
  <c r="TU60" i="1"/>
  <c r="TM96" i="1"/>
  <c r="TU96" i="1"/>
  <c r="TU61" i="1"/>
  <c r="TM90" i="1"/>
  <c r="TU90" i="1"/>
  <c r="TM87" i="1"/>
  <c r="TU87" i="1"/>
  <c r="TM105" i="1"/>
  <c r="TU105" i="1"/>
  <c r="TM88" i="1"/>
  <c r="TU88" i="1"/>
  <c r="TM111" i="1"/>
  <c r="TU111" i="1"/>
  <c r="TM69" i="1"/>
  <c r="TU69" i="1"/>
  <c r="TU57" i="1"/>
  <c r="TU108" i="1"/>
  <c r="TM43" i="1"/>
  <c r="TU43" i="1"/>
  <c r="TM62" i="1"/>
  <c r="TU62" i="1"/>
  <c r="TM65" i="1"/>
  <c r="TU65" i="1"/>
  <c r="TM56" i="1"/>
  <c r="TU56" i="1"/>
  <c r="TM91" i="1"/>
  <c r="TU91" i="1"/>
  <c r="TU71" i="1"/>
  <c r="TM63" i="1"/>
  <c r="TU63" i="1"/>
  <c r="TM78" i="1"/>
  <c r="TU78" i="1"/>
  <c r="TM86" i="1"/>
  <c r="TU86" i="1"/>
  <c r="TM108" i="1"/>
  <c r="TM71" i="1"/>
  <c r="TM61" i="1"/>
  <c r="TM57" i="1"/>
  <c r="TM99" i="1"/>
  <c r="TM73" i="1"/>
  <c r="TI84" i="1"/>
  <c r="TI39" i="1"/>
  <c r="TI24" i="1"/>
  <c r="TI28" i="1"/>
  <c r="TI26" i="1"/>
  <c r="TI27" i="1"/>
  <c r="TI32" i="1"/>
  <c r="TI34" i="1"/>
  <c r="TI41" i="1"/>
  <c r="WU53" i="1"/>
  <c r="WY59" i="1" l="1"/>
  <c r="WY51" i="1"/>
  <c r="TU19" i="1"/>
  <c r="TU33" i="1"/>
  <c r="TU39" i="1"/>
  <c r="TU25" i="1"/>
  <c r="TM76" i="1"/>
  <c r="TU31" i="1"/>
  <c r="TM21" i="1"/>
  <c r="TU20" i="1"/>
  <c r="TM30" i="1"/>
  <c r="US68" i="1"/>
  <c r="TM54" i="1"/>
  <c r="US101" i="1"/>
  <c r="US117" i="1"/>
  <c r="US61" i="1"/>
  <c r="US114" i="1"/>
  <c r="US55" i="1"/>
  <c r="US83" i="1"/>
  <c r="US109" i="1"/>
  <c r="US91" i="1"/>
  <c r="US87" i="1"/>
  <c r="US118" i="1"/>
  <c r="US90" i="1"/>
  <c r="US40" i="1"/>
  <c r="US98" i="1"/>
  <c r="US44" i="1"/>
  <c r="US71" i="1"/>
  <c r="US21" i="1"/>
  <c r="US57" i="1"/>
  <c r="US77" i="1"/>
  <c r="US111" i="1"/>
  <c r="TM109" i="1"/>
  <c r="US29" i="1"/>
  <c r="US41" i="1"/>
  <c r="US79" i="1"/>
  <c r="US59" i="1"/>
  <c r="US70" i="1"/>
  <c r="US66" i="1"/>
  <c r="US88" i="1"/>
  <c r="US51" i="1"/>
  <c r="US116" i="1"/>
  <c r="US33" i="1"/>
  <c r="US36" i="1"/>
  <c r="US72" i="1"/>
  <c r="US64" i="1"/>
  <c r="US76" i="1"/>
  <c r="US108" i="1"/>
  <c r="US96" i="1"/>
  <c r="US23" i="1"/>
  <c r="US31" i="1"/>
  <c r="US19" i="1"/>
  <c r="US42" i="1"/>
  <c r="US85" i="1"/>
  <c r="US99" i="1"/>
  <c r="US103" i="1"/>
  <c r="US115" i="1"/>
  <c r="US25" i="1"/>
  <c r="US84" i="1"/>
  <c r="US104" i="1"/>
  <c r="US50" i="1"/>
  <c r="US93" i="1"/>
  <c r="US97" i="1"/>
  <c r="US53" i="1"/>
  <c r="US37" i="1"/>
  <c r="US89" i="1"/>
  <c r="US73" i="1"/>
  <c r="US75" i="1"/>
  <c r="US32" i="1"/>
  <c r="US110" i="1"/>
  <c r="US46" i="1"/>
  <c r="US100" i="1"/>
  <c r="US80" i="1"/>
  <c r="US69" i="1"/>
  <c r="US27" i="1"/>
  <c r="US34" i="1"/>
  <c r="US95" i="1"/>
  <c r="US43" i="1"/>
  <c r="US38" i="1"/>
  <c r="US28" i="1"/>
  <c r="US26" i="1"/>
  <c r="US82" i="1"/>
  <c r="US20" i="1"/>
  <c r="TM23" i="1"/>
  <c r="US58" i="1"/>
  <c r="US60" i="1"/>
  <c r="US24" i="1"/>
  <c r="US52" i="1"/>
  <c r="US67" i="1"/>
  <c r="US113" i="1"/>
  <c r="US86" i="1"/>
  <c r="US48" i="1"/>
  <c r="US45" i="1"/>
  <c r="US54" i="1"/>
  <c r="US47" i="1"/>
  <c r="US39" i="1"/>
  <c r="US81" i="1"/>
  <c r="US102" i="1"/>
  <c r="US78" i="1"/>
  <c r="US65" i="1"/>
  <c r="US22" i="1"/>
  <c r="US112" i="1"/>
  <c r="US106" i="1"/>
  <c r="US107" i="1"/>
  <c r="US92" i="1"/>
  <c r="US30" i="1"/>
  <c r="US105" i="1"/>
  <c r="US74" i="1"/>
  <c r="US56" i="1"/>
  <c r="US94" i="1"/>
  <c r="US62" i="1"/>
  <c r="US63" i="1"/>
  <c r="TU23" i="1"/>
  <c r="US35" i="1"/>
  <c r="TM35" i="1"/>
  <c r="WY47" i="1"/>
  <c r="XC53" i="1"/>
  <c r="XC57" i="1" s="1"/>
  <c r="TU79" i="1"/>
  <c r="TM79" i="1"/>
  <c r="WW53" i="1"/>
  <c r="WW57" i="1" s="1"/>
  <c r="TU22" i="1"/>
  <c r="TM22" i="1"/>
  <c r="TU29" i="1"/>
  <c r="TM29" i="1"/>
  <c r="TU36" i="1"/>
  <c r="TM36" i="1"/>
  <c r="TM40" i="1"/>
  <c r="TU40" i="1"/>
  <c r="TM101" i="1"/>
  <c r="TU101" i="1"/>
  <c r="TU34" i="1"/>
  <c r="TU24" i="1"/>
  <c r="TM41" i="1"/>
  <c r="TU41" i="1"/>
  <c r="TU26" i="1"/>
  <c r="TU27" i="1"/>
  <c r="TU84" i="1"/>
  <c r="TU28" i="1"/>
  <c r="TU38" i="1"/>
  <c r="TU32" i="1"/>
  <c r="TM24" i="1"/>
  <c r="TM34" i="1"/>
  <c r="TM26" i="1"/>
  <c r="TM27" i="1"/>
  <c r="TM84" i="1"/>
  <c r="TM28" i="1"/>
  <c r="TM38" i="1"/>
  <c r="TM32" i="1"/>
  <c r="WU55" i="1"/>
  <c r="WU57" i="1"/>
  <c r="WS57" i="1"/>
  <c r="WS55" i="1"/>
  <c r="XA57" i="1"/>
  <c r="XA55" i="1"/>
  <c r="UI16" i="1" l="1"/>
  <c r="UI15" i="1" s="1"/>
  <c r="WY53" i="1"/>
  <c r="WY55" i="1" s="1"/>
  <c r="AJA143" i="1"/>
  <c r="AJA131" i="1" s="1"/>
  <c r="AJA127" i="1" s="1"/>
  <c r="AJA159" i="1" s="1"/>
  <c r="XC55" i="1"/>
  <c r="WW55" i="1"/>
  <c r="UD53" i="1" l="1"/>
  <c r="UD103" i="1"/>
  <c r="UD50" i="1"/>
  <c r="UD68" i="1"/>
  <c r="UD88" i="1"/>
  <c r="UD25" i="1"/>
  <c r="UD36" i="1"/>
  <c r="UD20" i="1"/>
  <c r="UD41" i="1"/>
  <c r="UD55" i="1"/>
  <c r="UD52" i="1"/>
  <c r="UD26" i="1"/>
  <c r="UD86" i="1"/>
  <c r="UD71" i="1"/>
  <c r="UD109" i="1"/>
  <c r="UD45" i="1"/>
  <c r="UD40" i="1"/>
  <c r="UD113" i="1"/>
  <c r="UD58" i="1"/>
  <c r="UD70" i="1"/>
  <c r="UD87" i="1"/>
  <c r="UD100" i="1"/>
  <c r="UD104" i="1"/>
  <c r="UD32" i="1"/>
  <c r="UD107" i="1"/>
  <c r="UD33" i="1"/>
  <c r="UD105" i="1"/>
  <c r="UD23" i="1"/>
  <c r="UD48" i="1"/>
  <c r="UD79" i="1"/>
  <c r="UD92" i="1"/>
  <c r="UD74" i="1"/>
  <c r="UD64" i="1"/>
  <c r="UD81" i="1"/>
  <c r="UD89" i="1"/>
  <c r="UD38" i="1"/>
  <c r="UD72" i="1"/>
  <c r="UD43" i="1"/>
  <c r="UD37" i="1"/>
  <c r="UD61" i="1"/>
  <c r="UD60" i="1"/>
  <c r="UD54" i="1"/>
  <c r="UD67" i="1"/>
  <c r="UD51" i="1"/>
  <c r="UD80" i="1"/>
  <c r="UD44" i="1"/>
  <c r="UD39" i="1"/>
  <c r="UD102" i="1"/>
  <c r="UD59" i="1"/>
  <c r="UD96" i="1"/>
  <c r="UD84" i="1"/>
  <c r="UD78" i="1"/>
  <c r="UD116" i="1"/>
  <c r="UD22" i="1"/>
  <c r="UD35" i="1"/>
  <c r="UD76" i="1"/>
  <c r="UD111" i="1"/>
  <c r="UD117" i="1"/>
  <c r="UD101" i="1"/>
  <c r="UD73" i="1"/>
  <c r="UD90" i="1"/>
  <c r="UD49" i="1"/>
  <c r="UD91" i="1"/>
  <c r="UD106" i="1"/>
  <c r="UD46" i="1"/>
  <c r="UD98" i="1"/>
  <c r="UD34" i="1"/>
  <c r="UD24" i="1"/>
  <c r="UD118" i="1"/>
  <c r="UD108" i="1"/>
  <c r="UD28" i="1"/>
  <c r="UD19" i="1"/>
  <c r="UD97" i="1"/>
  <c r="UD110" i="1"/>
  <c r="UD63" i="1"/>
  <c r="UD94" i="1"/>
  <c r="UD30" i="1"/>
  <c r="UD115" i="1"/>
  <c r="UD56" i="1"/>
  <c r="UD31" i="1"/>
  <c r="UD99" i="1"/>
  <c r="UD29" i="1"/>
  <c r="UD42" i="1"/>
  <c r="UD65" i="1"/>
  <c r="UD69" i="1"/>
  <c r="UD27" i="1"/>
  <c r="UD112" i="1"/>
  <c r="UD21" i="1"/>
  <c r="UD95" i="1"/>
  <c r="UD82" i="1"/>
  <c r="UD47" i="1"/>
  <c r="UD75" i="1"/>
  <c r="UD93" i="1"/>
  <c r="UD57" i="1"/>
  <c r="UD77" i="1"/>
  <c r="UD114" i="1"/>
  <c r="UD83" i="1"/>
  <c r="UD66" i="1"/>
  <c r="UD85" i="1"/>
  <c r="UD62" i="1"/>
  <c r="WY57" i="1"/>
  <c r="AJA135" i="1"/>
  <c r="AJA166" i="1" s="1"/>
  <c r="AJA170" i="1"/>
  <c r="UK19" i="1" l="1"/>
  <c r="UO19" i="1"/>
  <c r="UO27" i="1"/>
  <c r="UO45" i="1"/>
  <c r="UK60" i="1"/>
  <c r="UK95" i="1"/>
  <c r="UO28" i="1"/>
  <c r="UO88" i="1"/>
  <c r="UK51" i="1"/>
  <c r="UK90" i="1"/>
  <c r="UO54" i="1"/>
  <c r="UK23" i="1"/>
  <c r="UK112" i="1"/>
  <c r="UO89" i="1"/>
  <c r="UK99" i="1"/>
  <c r="UO98" i="1"/>
  <c r="UK26" i="1"/>
  <c r="UO97" i="1" l="1"/>
  <c r="UK97" i="1"/>
  <c r="UO26" i="1"/>
  <c r="UK98" i="1"/>
  <c r="UO99" i="1"/>
  <c r="UK89" i="1"/>
  <c r="UO112" i="1"/>
  <c r="UO23" i="1"/>
  <c r="UK54" i="1"/>
  <c r="UO90" i="1"/>
  <c r="UO51" i="1"/>
  <c r="UK88" i="1"/>
  <c r="UK28" i="1"/>
  <c r="UO95" i="1"/>
  <c r="UO60" i="1"/>
  <c r="UK45" i="1"/>
  <c r="UK27" i="1"/>
  <c r="VG13" i="1"/>
  <c r="UO79" i="1" l="1"/>
  <c r="UK79" i="1"/>
  <c r="UO66" i="1"/>
  <c r="UK66" i="1"/>
  <c r="UO22" i="1"/>
  <c r="UK22" i="1"/>
  <c r="UK75" i="1"/>
  <c r="UO75" i="1"/>
  <c r="UO43" i="1"/>
  <c r="UK43" i="1"/>
  <c r="UO106" i="1"/>
  <c r="UK106" i="1"/>
  <c r="UO67" i="1"/>
  <c r="UK67" i="1"/>
  <c r="UO30" i="1"/>
  <c r="UK30" i="1"/>
  <c r="UO59" i="1"/>
  <c r="UK59" i="1"/>
  <c r="UK107" i="1"/>
  <c r="UO107" i="1"/>
  <c r="UO31" i="1"/>
  <c r="UK31" i="1"/>
  <c r="UK39" i="1"/>
  <c r="UO39" i="1"/>
  <c r="UO52" i="1"/>
  <c r="UK52" i="1"/>
  <c r="UK81" i="1"/>
  <c r="UO81" i="1"/>
  <c r="UO118" i="1"/>
  <c r="UK118" i="1"/>
  <c r="UO74" i="1"/>
  <c r="UK74" i="1"/>
  <c r="UO85" i="1"/>
  <c r="UK85" i="1"/>
  <c r="UO82" i="1"/>
  <c r="UK82" i="1"/>
  <c r="UK25" i="1"/>
  <c r="UO25" i="1"/>
  <c r="UO37" i="1"/>
  <c r="UK37" i="1"/>
  <c r="UK69" i="1"/>
  <c r="UO69" i="1"/>
  <c r="UO87" i="1"/>
  <c r="UK87" i="1"/>
  <c r="UO55" i="1"/>
  <c r="UK55" i="1"/>
  <c r="UO84" i="1"/>
  <c r="UK84" i="1"/>
  <c r="UK34" i="1"/>
  <c r="UO34" i="1"/>
  <c r="UO100" i="1"/>
  <c r="UK100" i="1"/>
  <c r="UK41" i="1"/>
  <c r="UO41" i="1"/>
  <c r="UO72" i="1"/>
  <c r="UK72" i="1"/>
  <c r="UK109" i="1"/>
  <c r="UO109" i="1"/>
  <c r="UK50" i="1"/>
  <c r="UO50" i="1"/>
  <c r="UK33" i="1"/>
  <c r="UO33" i="1"/>
  <c r="UK80" i="1"/>
  <c r="UO80" i="1"/>
  <c r="UK71" i="1"/>
  <c r="UO71" i="1"/>
  <c r="UO63" i="1"/>
  <c r="UK63" i="1"/>
  <c r="UK108" i="1"/>
  <c r="UO108" i="1"/>
  <c r="UK21" i="1"/>
  <c r="UO21" i="1"/>
  <c r="UO29" i="1"/>
  <c r="UK29" i="1"/>
  <c r="UO105" i="1"/>
  <c r="UK105" i="1"/>
  <c r="UO104" i="1"/>
  <c r="UK104" i="1"/>
  <c r="UO94" i="1"/>
  <c r="UK94" i="1"/>
  <c r="UO61" i="1"/>
  <c r="UK61" i="1"/>
  <c r="UO53" i="1"/>
  <c r="UK53" i="1"/>
  <c r="UO101" i="1"/>
  <c r="UK101" i="1"/>
  <c r="UK42" i="1"/>
  <c r="UO42" i="1"/>
  <c r="UO62" i="1"/>
  <c r="UK62" i="1"/>
  <c r="UK76" i="1"/>
  <c r="UO76" i="1"/>
  <c r="UO35" i="1"/>
  <c r="UK35" i="1"/>
  <c r="UK70" i="1"/>
  <c r="UO70" i="1"/>
  <c r="UO38" i="1"/>
  <c r="UK38" i="1"/>
  <c r="UO103" i="1"/>
  <c r="UK103" i="1"/>
  <c r="UK102" i="1"/>
  <c r="UO102" i="1"/>
  <c r="UO57" i="1"/>
  <c r="UK57" i="1"/>
  <c r="UO44" i="1"/>
  <c r="UK44" i="1"/>
  <c r="UO91" i="1"/>
  <c r="UK91" i="1"/>
  <c r="UK36" i="1"/>
  <c r="UO36" i="1"/>
  <c r="UK56" i="1"/>
  <c r="UO56" i="1"/>
  <c r="UO92" i="1"/>
  <c r="UK92" i="1"/>
  <c r="UK20" i="1"/>
  <c r="UO20" i="1"/>
  <c r="UO114" i="1"/>
  <c r="UK114" i="1"/>
  <c r="UK110" i="1"/>
  <c r="UO110" i="1"/>
  <c r="UK40" i="1"/>
  <c r="UO40" i="1"/>
  <c r="UO48" i="1"/>
  <c r="UK48" i="1"/>
  <c r="UK113" i="1"/>
  <c r="UO113" i="1"/>
  <c r="UK49" i="1"/>
  <c r="UO49" i="1"/>
  <c r="UK58" i="1"/>
  <c r="UO58" i="1"/>
  <c r="UO93" i="1"/>
  <c r="UK93" i="1"/>
  <c r="UK117" i="1"/>
  <c r="UO117" i="1"/>
  <c r="UO68" i="1"/>
  <c r="UK68" i="1"/>
  <c r="UO24" i="1"/>
  <c r="UK24" i="1"/>
  <c r="UO116" i="1"/>
  <c r="UK116" i="1"/>
  <c r="UK65" i="1"/>
  <c r="UO65" i="1"/>
  <c r="UO115" i="1"/>
  <c r="UK115" i="1"/>
  <c r="UK64" i="1"/>
  <c r="UO64" i="1"/>
  <c r="UK96" i="1"/>
  <c r="UO96" i="1"/>
  <c r="UK78" i="1"/>
  <c r="UO78" i="1"/>
  <c r="UK83" i="1"/>
  <c r="UO83" i="1"/>
  <c r="UK47" i="1"/>
  <c r="UO47" i="1"/>
  <c r="UO111" i="1"/>
  <c r="UK111" i="1"/>
  <c r="UO46" i="1"/>
  <c r="UK46" i="1"/>
  <c r="UK73" i="1"/>
  <c r="UO73" i="1"/>
  <c r="UK86" i="1"/>
  <c r="UO86" i="1"/>
  <c r="UK32" i="1"/>
  <c r="UO32" i="1"/>
  <c r="UK77" i="1"/>
  <c r="UO77" i="1"/>
</calcChain>
</file>

<file path=xl/comments1.xml><?xml version="1.0" encoding="utf-8"?>
<comments xmlns="http://schemas.openxmlformats.org/spreadsheetml/2006/main">
  <authors>
    <author>volpo</author>
  </authors>
  <commentList>
    <comment ref="AIX114" authorId="0">
      <text>
        <r>
          <rPr>
            <b/>
            <sz val="20"/>
            <color indexed="81"/>
            <rFont val="Tahoma"/>
            <family val="2"/>
            <charset val="204"/>
          </rPr>
          <t>23</t>
        </r>
      </text>
    </comment>
    <comment ref="AIY114" authorId="0">
      <text>
        <r>
          <rPr>
            <b/>
            <sz val="20"/>
            <color indexed="81"/>
            <rFont val="Tahoma"/>
            <family val="2"/>
            <charset val="204"/>
          </rPr>
          <t>24</t>
        </r>
      </text>
    </comment>
    <comment ref="AIX118" authorId="0">
      <text>
        <r>
          <rPr>
            <b/>
            <sz val="20"/>
            <color indexed="81"/>
            <rFont val="Tahoma"/>
            <family val="2"/>
            <charset val="204"/>
          </rPr>
          <t>23</t>
        </r>
      </text>
    </comment>
    <comment ref="AIY118" authorId="0">
      <text>
        <r>
          <rPr>
            <b/>
            <sz val="20"/>
            <color indexed="81"/>
            <rFont val="Tahoma"/>
            <family val="2"/>
            <charset val="204"/>
          </rPr>
          <t>24</t>
        </r>
      </text>
    </comment>
  </commentList>
</comments>
</file>

<file path=xl/sharedStrings.xml><?xml version="1.0" encoding="utf-8"?>
<sst xmlns="http://schemas.openxmlformats.org/spreadsheetml/2006/main" count="7330" uniqueCount="1822">
  <si>
    <t>Исходные данные</t>
  </si>
  <si>
    <t>Номинальная мощность</t>
  </si>
  <si>
    <t>Фазное напряжение</t>
  </si>
  <si>
    <t>Вт</t>
  </si>
  <si>
    <t>об/мин</t>
  </si>
  <si>
    <t>В</t>
  </si>
  <si>
    <t>2.7</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</si>
  <si>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</si>
  <si>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</si>
  <si>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</si>
  <si>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</si>
  <si>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</si>
  <si>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</si>
  <si>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</si>
  <si>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</si>
  <si>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</si>
  <si>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</si>
  <si>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</si>
  <si>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</si>
  <si>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</si>
  <si>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</si>
  <si>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</si>
  <si>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</si>
  <si>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</si>
  <si>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</si>
  <si>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</si>
  <si>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</si>
  <si>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</si>
  <si>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</si>
  <si>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</si>
  <si>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Предварительное число эффективных проводников в пазу</t>
  </si>
  <si>
    <t>Номинальный ток обмотки статора</t>
  </si>
  <si>
    <t>Допустимое число а</t>
  </si>
  <si>
    <t>Окончательное число витков фазы обмотки статора</t>
  </si>
  <si>
    <t>Окончательное значение линейной нагрузки</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</si>
  <si>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</si>
  <si>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</si>
  <si>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</si>
  <si>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</si>
  <si>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</si>
  <si>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</si>
  <si>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</si>
  <si>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</si>
  <si>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</si>
  <si>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</si>
  <si>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</si>
  <si>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</si>
  <si>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</si>
  <si>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Значение допустимой индукции в ярме статора Ba по таблице 5</t>
  </si>
  <si>
    <t>Значение допустимой индукции в зубцах статора Bz1 по таблице 5</t>
  </si>
  <si>
    <t>мм</t>
  </si>
  <si>
    <t>Значение h1</t>
  </si>
  <si>
    <t>Sиз</t>
  </si>
  <si>
    <t>Высота ярма статора ha</t>
  </si>
  <si>
    <t>D внутриенний диаметр статора</t>
  </si>
  <si>
    <t>Воздушный зазор по рисунку 11</t>
  </si>
  <si>
    <t>Зубцовое деление</t>
  </si>
  <si>
    <t>Наружний диаметр статора Da</t>
  </si>
  <si>
    <t>Kв по таблице 9</t>
  </si>
  <si>
    <t>Ток в стержне ротора</t>
  </si>
  <si>
    <t>коэффициент приведения токов в двигателе</t>
  </si>
  <si>
    <t>Внешний диаметр ротора D2</t>
  </si>
  <si>
    <t>Полная высота паза hп2</t>
  </si>
  <si>
    <t>Уточненная площадь сечения стержня qc</t>
  </si>
  <si>
    <t>Площадь поперечного сечения короткозамыкающих колец qкл</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</si>
  <si>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</si>
  <si>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</si>
  <si>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</si>
  <si>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</si>
  <si>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</si>
  <si>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</si>
  <si>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</si>
  <si>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</si>
  <si>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</si>
  <si>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</si>
  <si>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</si>
  <si>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</si>
  <si>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</si>
  <si>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Lj длина средней магнитной линии ярма ротора кроме двухполюсных</t>
  </si>
  <si>
    <t>Суммарное магнитное напряжение магнитной цепи</t>
  </si>
  <si>
    <t>Коэффициент насыщения магнитной цепи</t>
  </si>
  <si>
    <t>Намагничивающий ток</t>
  </si>
  <si>
    <t>Lj длина средней магнитной линии ярма ротора для двигателей 2p=2</t>
  </si>
  <si>
    <t>La длина средней магнитной линии ярма статора</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</si>
  <si>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</si>
  <si>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</si>
  <si>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</si>
  <si>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</si>
  <si>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</si>
  <si>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</si>
  <si>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</si>
  <si>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</si>
  <si>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</si>
  <si>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</si>
  <si>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</si>
  <si>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</si>
  <si>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</si>
  <si>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</si>
  <si>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</si>
  <si>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</si>
  <si>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</si>
  <si>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</si>
  <si>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</si>
  <si>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</si>
  <si>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</si>
  <si>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</si>
  <si>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</si>
  <si>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</si>
  <si>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</si>
  <si>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</si>
  <si>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</si>
  <si>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</si>
  <si>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</si>
  <si>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</si>
  <si>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</si>
  <si>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</si>
  <si>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</si>
  <si>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</si>
  <si>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</si>
  <si>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</si>
  <si>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</si>
  <si>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</si>
  <si>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</si>
  <si>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</si>
  <si>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</si>
  <si>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</si>
  <si>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</si>
  <si>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</si>
  <si>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Значение E</t>
  </si>
  <si>
    <t>Приведение x2 к числу витков статора</t>
  </si>
  <si>
    <t>Относительное значение</t>
  </si>
  <si>
    <t>г</t>
  </si>
  <si>
    <t>д</t>
  </si>
  <si>
    <t>е</t>
  </si>
  <si>
    <t>ж</t>
  </si>
  <si>
    <t>Потери в стали основные</t>
  </si>
  <si>
    <t>Пульсационные потери в зубцах ротора</t>
  </si>
  <si>
    <t>Сумма добавочных потерь в стали</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</si>
  <si>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</si>
  <si>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</si>
  <si>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</si>
  <si>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</si>
  <si>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</si>
  <si>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</si>
  <si>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</si>
  <si>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</si>
  <si>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Коэффициент общего увеличения сопротивления фазы ротора</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</si>
  <si>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</si>
  <si>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</si>
  <si>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</si>
  <si>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</si>
  <si>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</si>
  <si>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</si>
  <si>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</si>
  <si>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</si>
  <si>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</si>
  <si>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</si>
  <si>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</si>
  <si>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</si>
  <si>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</si>
  <si>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</si>
  <si>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</si>
  <si>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</si>
  <si>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</si>
  <si>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</si>
  <si>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</si>
  <si>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</si>
  <si>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</si>
  <si>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</si>
  <si>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</si>
  <si>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</si>
  <si>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</si>
  <si>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</si>
  <si>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</si>
  <si>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</si>
  <si>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</si>
  <si>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</si>
  <si>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</si>
  <si>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</si>
  <si>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</si>
  <si>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</si>
  <si>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</si>
  <si>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</si>
  <si>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</si>
  <si>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</si>
  <si>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</si>
  <si>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</si>
  <si>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</si>
  <si>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</si>
  <si>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</si>
  <si>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</si>
  <si>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</si>
  <si>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</si>
  <si>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</si>
  <si>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</si>
  <si>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</si>
  <si>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</si>
  <si>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</si>
  <si>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</si>
  <si>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</si>
  <si>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</si>
  <si>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</si>
  <si>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</si>
  <si>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</si>
  <si>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</si>
  <si>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</si>
  <si>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</si>
  <si>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</si>
  <si>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</si>
  <si>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</si>
  <si>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</si>
  <si>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</si>
  <si>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</si>
  <si>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</si>
  <si>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</si>
  <si>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</si>
  <si>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</si>
  <si>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</si>
  <si>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</si>
  <si>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</si>
  <si>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</si>
  <si>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</si>
  <si>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</si>
  <si>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</si>
  <si>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</si>
  <si>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</si>
  <si>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</si>
  <si>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</si>
  <si>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</si>
  <si>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</si>
  <si>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</si>
  <si>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</si>
  <si>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</si>
  <si>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</si>
  <si>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</si>
  <si>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</si>
  <si>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</si>
  <si>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</si>
  <si>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</si>
  <si>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</si>
  <si>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</si>
  <si>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</si>
  <si>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</si>
  <si>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</si>
  <si>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</si>
  <si>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</si>
  <si>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</si>
  <si>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</si>
  <si>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</si>
  <si>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</si>
  <si>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</si>
  <si>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</si>
  <si>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</si>
  <si>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</si>
  <si>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</si>
  <si>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</si>
  <si>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</si>
  <si>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</si>
  <si>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</si>
  <si>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</si>
  <si>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</si>
  <si>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</si>
  <si>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</si>
  <si>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</si>
  <si>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</si>
  <si>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</si>
  <si>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</si>
  <si>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</si>
  <si>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</si>
  <si>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</si>
  <si>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</si>
  <si>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</si>
  <si>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</si>
  <si>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</si>
  <si>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</si>
  <si>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</si>
  <si>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</si>
  <si>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</si>
  <si>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</si>
  <si>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</si>
  <si>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</si>
  <si>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</si>
  <si>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</si>
  <si>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</si>
  <si>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</si>
  <si>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</si>
  <si>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</si>
  <si>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</si>
  <si>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</si>
  <si>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</si>
  <si>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</si>
  <si>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</si>
  <si>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</si>
  <si>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</si>
  <si>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</si>
  <si>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</si>
  <si>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</si>
  <si>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</si>
  <si>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</si>
  <si>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</si>
  <si>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</si>
  <si>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</si>
  <si>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</si>
  <si>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</si>
  <si>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</si>
  <si>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</si>
  <si>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</si>
  <si>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</si>
  <si>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</si>
  <si>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</si>
  <si>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</si>
  <si>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</si>
  <si>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</si>
  <si>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</si>
  <si>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</si>
  <si>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</si>
  <si>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</si>
  <si>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</si>
  <si>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</si>
  <si>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</si>
  <si>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</si>
  <si>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</si>
  <si>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</si>
  <si>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</si>
  <si>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</si>
  <si>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</si>
  <si>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</si>
  <si>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</si>
  <si>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</si>
  <si>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</si>
  <si>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</si>
  <si>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</si>
  <si>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</si>
  <si>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</si>
  <si>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</si>
  <si>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</si>
  <si>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</si>
  <si>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</si>
  <si>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</si>
  <si>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</si>
  <si>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</si>
  <si>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</si>
  <si>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</si>
  <si>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</si>
  <si>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</si>
  <si>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</si>
  <si>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</si>
  <si>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</si>
  <si>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</si>
  <si>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</si>
  <si>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</si>
  <si>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</si>
  <si>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</si>
  <si>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</si>
  <si>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</si>
  <si>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</si>
  <si>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</si>
  <si>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</si>
  <si>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</si>
  <si>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</si>
  <si>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</si>
  <si>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</si>
  <si>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</si>
  <si>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</si>
  <si>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</si>
  <si>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</si>
  <si>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</si>
  <si>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</si>
  <si>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</si>
  <si>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</si>
  <si>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</si>
  <si>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</si>
  <si>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</si>
  <si>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</si>
  <si>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</si>
  <si>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</si>
  <si>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</si>
  <si>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</si>
  <si>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</si>
  <si>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</si>
  <si>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</si>
  <si>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</si>
  <si>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</si>
  <si>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</si>
  <si>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</si>
  <si>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</si>
  <si>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</si>
  <si>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</si>
  <si>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</si>
  <si>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</si>
  <si>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</si>
  <si>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</si>
  <si>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</si>
  <si>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</si>
  <si>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</si>
  <si>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</si>
  <si>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</si>
  <si>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</si>
  <si>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</si>
  <si>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</si>
  <si>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</si>
  <si>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</si>
  <si>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Коэффициент K для обмоток изоляции класса нагревостойкоси В</t>
  </si>
  <si>
    <t>Коэффициент K для обмоток изоляции класса нагревостойкоси F</t>
  </si>
  <si>
    <t>Коэффициент K для обмоток изоляции класса нагревостойкоси H</t>
  </si>
  <si>
    <t>Значение коэффициента K</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</si>
  <si>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</si>
  <si>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</si>
  <si>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</si>
  <si>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</si>
  <si>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</si>
  <si>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</si>
  <si>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</si>
  <si>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</si>
  <si>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</si>
  <si>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</si>
  <si>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</si>
  <si>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Число парралельных ветвей (предварительно)</t>
  </si>
  <si>
    <t>Значение Bz2 по таблице 5</t>
  </si>
  <si>
    <t>коэффициент ki по рисунку 12</t>
  </si>
  <si>
    <t>Вz2ср</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</si>
  <si>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</si>
  <si>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</si>
  <si>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</si>
  <si>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</si>
  <si>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</si>
  <si>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</si>
  <si>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</si>
  <si>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</si>
  <si>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</si>
  <si>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</si>
  <si>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</si>
  <si>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</si>
  <si>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</si>
  <si>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</si>
  <si>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</si>
  <si>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</si>
  <si>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</si>
  <si>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</si>
  <si>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</si>
  <si>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</si>
  <si>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</si>
  <si>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</si>
  <si>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</si>
  <si>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</si>
  <si>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</si>
  <si>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</si>
  <si>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</si>
  <si>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</si>
  <si>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</si>
  <si>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</si>
  <si>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</si>
  <si>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</si>
  <si>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</si>
  <si>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</si>
  <si>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</si>
  <si>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</si>
  <si>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</si>
  <si>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</si>
  <si>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</si>
  <si>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</si>
  <si>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</si>
  <si>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</si>
  <si>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</si>
  <si>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</si>
  <si>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</si>
  <si>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</si>
  <si>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</si>
  <si>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</si>
  <si>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</si>
  <si>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</si>
  <si>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</si>
  <si>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</si>
  <si>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</si>
  <si>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</si>
  <si>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</si>
  <si>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</si>
  <si>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</si>
  <si>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</si>
  <si>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</si>
  <si>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</si>
  <si>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</si>
  <si>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</si>
  <si>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</si>
  <si>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</si>
  <si>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</si>
  <si>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</si>
  <si>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</si>
  <si>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</si>
  <si>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</si>
  <si>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</si>
  <si>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</si>
  <si>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</si>
  <si>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</si>
  <si>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</si>
  <si>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</si>
  <si>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</si>
  <si>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при по- луоткры- тых пазах</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</si>
  <si>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</si>
  <si>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</si>
  <si>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</si>
  <si>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</si>
  <si>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</si>
  <si>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</si>
  <si>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</si>
  <si>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</si>
  <si>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</si>
  <si>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</si>
  <si>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</si>
  <si>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</si>
  <si>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</si>
  <si>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</si>
  <si>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</si>
  <si>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</si>
  <si>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</si>
  <si>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</si>
  <si>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</si>
  <si>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</si>
  <si>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</si>
  <si>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</si>
  <si>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</si>
  <si>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</si>
  <si>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</si>
  <si>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</si>
  <si>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</si>
  <si>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</si>
  <si>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</si>
  <si>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</si>
  <si>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</si>
  <si>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</si>
  <si>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</si>
  <si>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</si>
  <si>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</si>
  <si>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</si>
  <si>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</si>
  <si>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</si>
  <si>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</si>
  <si>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</si>
  <si>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</si>
  <si>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</si>
  <si>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</si>
  <si>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</si>
  <si>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</si>
  <si>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</si>
  <si>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</si>
  <si>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</si>
  <si>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</si>
  <si>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</si>
  <si>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</si>
  <si>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</si>
  <si>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</si>
  <si>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</si>
  <si>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</si>
  <si>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</si>
  <si>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</si>
  <si>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</si>
  <si>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</si>
  <si>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</si>
  <si>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</si>
  <si>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</si>
  <si>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</si>
  <si>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</si>
  <si>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</si>
  <si>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</si>
  <si>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</si>
  <si>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</si>
  <si>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</si>
  <si>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</si>
  <si>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</si>
  <si>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</si>
  <si>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</si>
  <si>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</si>
  <si>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</si>
  <si>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</si>
  <si>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</si>
  <si>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</si>
  <si>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</si>
  <si>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</si>
  <si>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</si>
  <si>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</si>
  <si>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</si>
  <si>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</si>
  <si>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</si>
  <si>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</si>
  <si>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</si>
  <si>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</si>
  <si>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</si>
  <si>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</si>
  <si>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</si>
  <si>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</si>
  <si>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</si>
  <si>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</si>
  <si>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</si>
  <si>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</si>
  <si>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</si>
  <si>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</si>
  <si>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</si>
  <si>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</si>
  <si>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</si>
  <si>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</si>
  <si>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</si>
  <si>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</si>
  <si>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</si>
  <si>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</si>
  <si>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</si>
  <si>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</si>
  <si>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</si>
  <si>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</si>
  <si>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</si>
  <si>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</si>
  <si>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</si>
  <si>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</si>
  <si>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</si>
  <si>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</si>
  <si>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</si>
  <si>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</si>
  <si>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</si>
  <si>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</si>
  <si>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</si>
  <si>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</si>
  <si>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</si>
  <si>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</si>
  <si>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</si>
  <si>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</si>
  <si>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</si>
  <si>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</si>
  <si>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</si>
  <si>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</si>
  <si>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</si>
  <si>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</si>
  <si>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</si>
  <si>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</si>
  <si>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</si>
  <si>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</si>
  <si>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</si>
  <si>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</si>
  <si>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</si>
  <si>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</si>
  <si>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</si>
  <si>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</si>
  <si>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</si>
  <si>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</si>
  <si>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</si>
  <si>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</si>
  <si>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</si>
  <si>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</si>
  <si>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</si>
  <si>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</si>
  <si>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</si>
  <si>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</si>
  <si>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</si>
  <si>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</si>
  <si>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</si>
  <si>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</si>
  <si>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</si>
  <si>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</si>
  <si>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</si>
  <si>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</si>
  <si>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</si>
  <si>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</si>
  <si>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</si>
  <si>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</si>
  <si>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</si>
  <si>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</si>
  <si>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</si>
  <si>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</si>
  <si>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</si>
  <si>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</si>
  <si>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</si>
  <si>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</si>
  <si>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</si>
  <si>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</si>
  <si>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</si>
  <si>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</si>
  <si>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</si>
  <si>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</si>
  <si>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</si>
  <si>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</si>
  <si>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</si>
  <si>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</si>
  <si>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</si>
  <si>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</si>
  <si>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</si>
  <si>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</si>
  <si>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</si>
  <si>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</si>
  <si>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</si>
  <si>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</si>
  <si>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</si>
  <si>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</si>
  <si>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</si>
  <si>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</si>
  <si>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</si>
  <si>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</si>
  <si>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</si>
  <si>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</si>
  <si>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</si>
  <si>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</si>
  <si>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</si>
  <si>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</si>
  <si>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</si>
  <si>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</si>
  <si>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</si>
  <si>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</si>
  <si>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</si>
  <si>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</si>
  <si>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</si>
  <si>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</si>
  <si>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</si>
  <si>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</si>
  <si>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</si>
  <si>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</si>
  <si>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</si>
  <si>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</si>
  <si>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</si>
  <si>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</si>
  <si>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</si>
  <si>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</si>
  <si>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</si>
  <si>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</si>
  <si>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</si>
  <si>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</si>
  <si>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</si>
  <si>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</si>
  <si>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</si>
  <si>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</si>
  <si>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</si>
  <si>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</si>
  <si>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</si>
  <si>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</si>
  <si>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</si>
  <si>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</si>
  <si>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2.5.1</t>
  </si>
  <si>
    <t>2.5.2</t>
  </si>
  <si>
    <t>2.5.3</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</si>
  <si>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</si>
  <si>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</si>
  <si>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</si>
  <si>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</si>
  <si>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</si>
  <si>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</si>
  <si>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</si>
  <si>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</si>
  <si>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</si>
  <si>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</si>
  <si>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</si>
  <si>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</si>
  <si>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</si>
  <si>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</si>
  <si>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</si>
  <si>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</si>
  <si>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</si>
  <si>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</si>
  <si>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2.6.1</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</si>
  <si>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</si>
  <si>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</si>
  <si>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</si>
  <si>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</si>
  <si>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</si>
  <si>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</si>
  <si>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</si>
  <si>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Рисунок 8 - Зубцовое деление статора асинхронных двигателей со всыпной обмоткой
1 - при h ≤ 90 мм;
2 - при 90 &lt; h ≤ 250 мм;
3 - при h &gt; 250 мм;</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</si>
  <si>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</si>
  <si>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</si>
  <si>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</si>
  <si>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</si>
  <si>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</si>
  <si>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</si>
  <si>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</si>
  <si>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</si>
  <si>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</si>
  <si>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</si>
  <si>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Z</t>
  </si>
  <si>
    <t>3</t>
  </si>
  <si>
    <t>a</t>
  </si>
  <si>
    <r>
      <rPr>
        <i/>
        <sz val="48"/>
        <color theme="1"/>
        <rFont val="Times New Roman"/>
        <family val="1"/>
        <charset val="204"/>
      </rPr>
      <t xml:space="preserve"> u</t>
    </r>
    <r>
      <rPr>
        <i/>
        <vertAlign val="subscript"/>
        <sz val="36"/>
        <color theme="1"/>
        <rFont val="Times New Roman"/>
        <family val="1"/>
        <charset val="204"/>
      </rPr>
      <t>П(предв)</t>
    </r>
  </si>
  <si>
    <t>1; 2</t>
  </si>
  <si>
    <t>1; 2; 3</t>
  </si>
  <si>
    <t>1; 2; 4</t>
  </si>
  <si>
    <t>1; 2; 5</t>
  </si>
  <si>
    <t>Величина λ это отношение является критерием правильности выбора
главных размеров указанных на рисунке 7</t>
  </si>
  <si>
    <t>Синхронная углавая скорость асинхронного двигателя</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</si>
  <si>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</si>
  <si>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</si>
  <si>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</si>
  <si>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</si>
  <si>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</si>
  <si>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</si>
  <si>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Число парралельных ветвей, округленное до целого числа</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</si>
  <si>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</si>
  <si>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</si>
  <si>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</si>
  <si>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r>
      <t>А/м</t>
    </r>
    <r>
      <rPr>
        <vertAlign val="superscript"/>
        <sz val="28"/>
        <color theme="1"/>
        <rFont val="Times New Roman"/>
        <family val="1"/>
        <charset val="204"/>
      </rPr>
      <t>2</t>
    </r>
  </si>
  <si>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</si>
  <si>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</si>
  <si>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</si>
  <si>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</si>
  <si>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</si>
  <si>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</si>
  <si>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</si>
  <si>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</si>
  <si>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</si>
  <si>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В - значение индукции выбирается по рисунку 5 графику электромагнитных нагрузок предварительно</t>
  </si>
  <si>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</si>
  <si>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</si>
  <si>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</si>
  <si>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</si>
  <si>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</si>
  <si>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</si>
  <si>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</si>
  <si>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</si>
  <si>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</si>
  <si>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</si>
  <si>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t>I</t>
    </r>
    <r>
      <rPr>
        <i/>
        <vertAlign val="subscript"/>
        <sz val="36"/>
        <color theme="1"/>
        <rFont val="Times New Roman"/>
        <family val="1"/>
        <charset val="204"/>
      </rPr>
      <t>1H</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</si>
  <si>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</si>
  <si>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</si>
  <si>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</si>
  <si>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</si>
  <si>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</si>
  <si>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</si>
  <si>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</si>
  <si>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</si>
  <si>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</si>
  <si>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</si>
  <si>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</si>
  <si>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</si>
  <si>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</si>
  <si>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</si>
  <si>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</si>
  <si>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</si>
  <si>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</si>
  <si>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</si>
  <si>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</si>
  <si>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</si>
  <si>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t>Iкл ток короткозамыкающих кольцец</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</si>
  <si>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</si>
  <si>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</si>
  <si>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</si>
  <si>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</si>
  <si>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</si>
  <si>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</si>
  <si>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</si>
  <si>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</si>
  <si>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</si>
  <si>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</si>
  <si>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</si>
  <si>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</si>
  <si>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</si>
  <si>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</si>
  <si>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</si>
  <si>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</si>
  <si>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</si>
  <si>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</si>
  <si>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</si>
  <si>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</si>
  <si>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</si>
  <si>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</si>
  <si>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</si>
  <si>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</si>
  <si>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</si>
  <si>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</si>
  <si>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</si>
  <si>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</si>
  <si>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</si>
  <si>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</si>
  <si>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</si>
  <si>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</si>
  <si>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</si>
  <si>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</si>
  <si>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</si>
  <si>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</si>
  <si>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</si>
  <si>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</si>
  <si>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</si>
  <si>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</si>
  <si>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</si>
  <si>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r>
      <t>h</t>
    </r>
    <r>
      <rPr>
        <i/>
        <vertAlign val="subscript"/>
        <sz val="36"/>
        <color theme="1"/>
        <rFont val="Times New Roman"/>
        <family val="1"/>
        <charset val="204"/>
      </rPr>
      <t>1</t>
    </r>
  </si>
  <si>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</si>
  <si>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</si>
  <si>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</si>
  <si>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</si>
  <si>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</si>
  <si>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</si>
  <si>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</si>
  <si>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</si>
  <si>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</si>
  <si>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</si>
  <si>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</si>
  <si>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</si>
  <si>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</si>
  <si>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</si>
  <si>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</si>
  <si>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</si>
  <si>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r>
      <t>h</t>
    </r>
    <r>
      <rPr>
        <i/>
        <vertAlign val="subscript"/>
        <sz val="36"/>
        <color theme="1"/>
        <rFont val="Times New Roman"/>
        <family val="1"/>
        <charset val="204"/>
      </rPr>
      <t>j</t>
    </r>
  </si>
  <si>
    <t>Значение Lj выборочное окончательное</t>
  </si>
  <si>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</si>
  <si>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</si>
  <si>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</si>
  <si>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</si>
  <si>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</si>
  <si>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</si>
  <si>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</si>
  <si>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</si>
  <si>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</si>
  <si>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</si>
  <si>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</si>
  <si>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</si>
  <si>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7.2</t>
  </si>
  <si>
    <t>7.3</t>
  </si>
  <si>
    <t>7.4</t>
  </si>
  <si>
    <t>7.5</t>
  </si>
  <si>
    <t>7.6</t>
  </si>
  <si>
    <t>7.7</t>
  </si>
  <si>
    <t>7.8</t>
  </si>
  <si>
    <t>7.9</t>
  </si>
  <si>
    <t>7.10</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</si>
  <si>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</si>
  <si>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</si>
  <si>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</si>
  <si>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</si>
  <si>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</si>
  <si>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</si>
  <si>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</si>
  <si>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</si>
  <si>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</si>
  <si>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</si>
  <si>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</si>
  <si>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</si>
  <si>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</si>
  <si>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</si>
  <si>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</si>
  <si>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</si>
  <si>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</si>
  <si>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</si>
  <si>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</si>
  <si>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</si>
  <si>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</si>
  <si>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</si>
  <si>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</si>
  <si>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</si>
  <si>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</si>
  <si>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</si>
  <si>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</si>
  <si>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</si>
  <si>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</si>
  <si>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</si>
  <si>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10.25</t>
  </si>
  <si>
    <t>10.26</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</si>
  <si>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</si>
  <si>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</si>
  <si>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</si>
  <si>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</si>
  <si>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</si>
  <si>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</si>
  <si>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</si>
  <si>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</si>
  <si>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</si>
  <si>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</si>
  <si>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</si>
  <si>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</si>
  <si>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</si>
  <si>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</si>
  <si>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</si>
  <si>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</si>
  <si>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</si>
  <si>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</si>
  <si>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</si>
  <si>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</si>
  <si>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</si>
  <si>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</si>
  <si>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</si>
  <si>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</si>
  <si>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</si>
  <si>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</si>
  <si>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</si>
  <si>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</si>
  <si>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</si>
  <si>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</si>
  <si>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</si>
  <si>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</si>
  <si>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</si>
  <si>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</si>
  <si>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</si>
  <si>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</si>
  <si>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</si>
  <si>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t>Значение коэффициента Квыл определяется по таблице 13</t>
  </si>
  <si>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</si>
  <si>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</si>
  <si>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</si>
  <si>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</si>
  <si>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</si>
  <si>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</si>
  <si>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</si>
  <si>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</si>
  <si>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</si>
  <si>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</si>
  <si>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</si>
  <si>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</si>
  <si>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B,F,H</t>
    </r>
  </si>
  <si>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</si>
  <si>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</si>
  <si>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</si>
  <si>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</si>
  <si>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</si>
  <si>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</si>
  <si>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</si>
  <si>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</si>
  <si>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</si>
  <si>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</si>
  <si>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</si>
  <si>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</si>
  <si>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</si>
  <si>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</si>
  <si>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</si>
  <si>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</si>
  <si>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</si>
  <si>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</si>
  <si>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</si>
  <si>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</si>
  <si>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</si>
  <si>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</si>
  <si>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</si>
  <si>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</si>
  <si>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</si>
  <si>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</si>
  <si>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</si>
  <si>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</si>
  <si>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</si>
  <si>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</si>
  <si>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r>
      <t>U</t>
    </r>
    <r>
      <rPr>
        <i/>
        <vertAlign val="subscript"/>
        <sz val="28"/>
        <color theme="1"/>
        <rFont val="Times New Roman"/>
        <family val="1"/>
        <charset val="204"/>
      </rPr>
      <t>1H</t>
    </r>
  </si>
  <si>
    <r>
      <t>P</t>
    </r>
    <r>
      <rPr>
        <i/>
        <vertAlign val="subscript"/>
        <sz val="28"/>
        <color theme="1"/>
        <rFont val="Times New Roman"/>
        <family val="1"/>
        <charset val="204"/>
      </rPr>
      <t>2H</t>
    </r>
  </si>
  <si>
    <t></t>
  </si>
  <si>
    <t></t>
  </si>
  <si>
    <t>X</t>
  </si>
  <si>
    <t>R</t>
  </si>
  <si>
    <r>
      <t>I</t>
    </r>
    <r>
      <rPr>
        <i/>
        <vertAlign val="subscript"/>
        <sz val="22"/>
        <color theme="1"/>
        <rFont val="Times New Roman"/>
        <family val="1"/>
        <charset val="204"/>
      </rPr>
      <t>2</t>
    </r>
  </si>
  <si>
    <r>
      <t>cosφ</t>
    </r>
    <r>
      <rPr>
        <i/>
        <vertAlign val="subscript"/>
        <sz val="22"/>
        <color theme="1"/>
        <rFont val="Times New Roman"/>
        <family val="1"/>
        <charset val="204"/>
      </rPr>
      <t>2</t>
    </r>
  </si>
  <si>
    <r>
      <t>sinφ</t>
    </r>
    <r>
      <rPr>
        <i/>
        <vertAlign val="subscript"/>
        <sz val="22"/>
        <color theme="1"/>
        <rFont val="Times New Roman"/>
        <family val="1"/>
        <charset val="204"/>
      </rPr>
      <t>2</t>
    </r>
  </si>
  <si>
    <r>
      <t>I</t>
    </r>
    <r>
      <rPr>
        <i/>
        <vertAlign val="subscript"/>
        <sz val="22"/>
        <color theme="1"/>
        <rFont val="Times New Roman"/>
        <family val="1"/>
        <charset val="204"/>
      </rPr>
      <t>1A</t>
    </r>
  </si>
  <si>
    <r>
      <t>I</t>
    </r>
    <r>
      <rPr>
        <i/>
        <vertAlign val="subscript"/>
        <sz val="22"/>
        <color theme="1"/>
        <rFont val="Times New Roman"/>
        <family val="1"/>
        <charset val="204"/>
      </rPr>
      <t>1P</t>
    </r>
  </si>
  <si>
    <r>
      <t>I</t>
    </r>
    <r>
      <rPr>
        <i/>
        <vertAlign val="subscript"/>
        <sz val="22"/>
        <color theme="1"/>
        <rFont val="Times New Roman"/>
        <family val="1"/>
        <charset val="204"/>
      </rPr>
      <t>1</t>
    </r>
  </si>
  <si>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</si>
  <si>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t>Сопротивление  b</t>
  </si>
  <si>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</si>
  <si>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</si>
  <si>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</si>
  <si>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</si>
  <si>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</si>
  <si>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t>Сумма механических потерь</t>
  </si>
  <si>
    <r>
      <rPr>
        <sz val="36"/>
        <color theme="1"/>
        <rFont val="Times New Roman"/>
        <family val="1"/>
        <charset val="204"/>
      </rPr>
      <t>Σ</t>
    </r>
    <r>
      <rPr>
        <sz val="28"/>
        <color theme="1"/>
        <rFont val="Times New Roman"/>
        <family val="1"/>
        <charset val="204"/>
      </rPr>
      <t>P</t>
    </r>
    <r>
      <rPr>
        <vertAlign val="subscript"/>
        <sz val="28"/>
        <color theme="1"/>
        <rFont val="Times New Roman"/>
        <family val="1"/>
        <charset val="204"/>
      </rPr>
      <t>мех</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</si>
  <si>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</si>
  <si>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</si>
  <si>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</si>
  <si>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</si>
  <si>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</si>
  <si>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c</t>
    </r>
    <r>
      <rPr>
        <i/>
        <vertAlign val="subscript"/>
        <sz val="36"/>
        <color theme="1"/>
        <rFont val="Times New Roman"/>
        <family val="1"/>
        <charset val="204"/>
      </rPr>
      <t>1</t>
    </r>
  </si>
  <si>
    <r>
      <t>a</t>
    </r>
    <r>
      <rPr>
        <i/>
        <vertAlign val="superscript"/>
        <sz val="36"/>
        <color theme="1"/>
        <rFont val="Times New Roman"/>
        <family val="1"/>
        <charset val="204"/>
      </rPr>
      <t>/</t>
    </r>
  </si>
  <si>
    <r>
      <t>I</t>
    </r>
    <r>
      <rPr>
        <i/>
        <vertAlign val="subscript"/>
        <sz val="36"/>
        <color theme="1"/>
        <rFont val="Times New Roman"/>
        <family val="1"/>
        <charset val="204"/>
      </rPr>
      <t>op</t>
    </r>
  </si>
  <si>
    <r>
      <t>I</t>
    </r>
    <r>
      <rPr>
        <i/>
        <vertAlign val="subscript"/>
        <sz val="18"/>
        <color theme="1"/>
        <rFont val="Times New Roman"/>
        <family val="1"/>
        <charset val="204"/>
      </rPr>
      <t>op</t>
    </r>
    <r>
      <rPr>
        <i/>
        <sz val="18"/>
        <color theme="1"/>
        <rFont val="Times New Roman"/>
        <family val="1"/>
        <charset val="204"/>
      </rPr>
      <t xml:space="preserve"> ≈ I</t>
    </r>
    <r>
      <rPr>
        <i/>
        <vertAlign val="subscript"/>
        <sz val="18"/>
        <color theme="1"/>
        <rFont val="Times New Roman"/>
        <family val="1"/>
        <charset val="204"/>
      </rPr>
      <t>μ</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</si>
  <si>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</si>
  <si>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</si>
  <si>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</si>
  <si>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</si>
  <si>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</si>
  <si>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A, E</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</si>
  <si>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</si>
  <si>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</si>
  <si>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</si>
  <si>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</si>
  <si>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</si>
  <si>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</si>
  <si>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</si>
  <si>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Тип конструктивного исполнения корпуса асинхронного двигателя</t>
  </si>
  <si>
    <t>Класс нагевостойкости пазовой изоляции и изоляции обмоток</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</si>
  <si>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</si>
  <si>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</si>
  <si>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</si>
  <si>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</si>
  <si>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</si>
  <si>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</si>
  <si>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</si>
  <si>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</si>
  <si>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</si>
  <si>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</si>
  <si>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</si>
  <si>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S</t>
    </r>
    <r>
      <rPr>
        <i/>
        <vertAlign val="subscript"/>
        <sz val="20"/>
        <color theme="1"/>
        <rFont val="Times New Roman"/>
        <family val="1"/>
        <charset val="204"/>
      </rPr>
      <t>пр</t>
    </r>
    <r>
      <rPr>
        <sz val="20"/>
        <color theme="1"/>
        <rFont val="Times New Roman"/>
        <family val="1"/>
        <charset val="204"/>
      </rPr>
      <t xml:space="preserve"> в этом расчете копылова принимаетя равным 0</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</si>
  <si>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</si>
  <si>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</si>
  <si>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</si>
  <si>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</si>
  <si>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r>
      <t>S</t>
    </r>
    <r>
      <rPr>
        <vertAlign val="subscript"/>
        <sz val="20"/>
        <color theme="1"/>
        <rFont val="Times New Roman"/>
        <family val="1"/>
        <charset val="204"/>
      </rPr>
      <t>п</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</si>
  <si>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</si>
  <si>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</si>
  <si>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</si>
  <si>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</si>
  <si>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</si>
  <si>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</si>
  <si>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</si>
  <si>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</si>
  <si>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</si>
  <si>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</si>
  <si>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</si>
  <si>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</si>
  <si>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</si>
  <si>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</si>
  <si>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</si>
  <si>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</si>
  <si>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</si>
  <si>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</si>
  <si>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</si>
  <si>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</si>
  <si>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</si>
  <si>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</si>
  <si>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</si>
  <si>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</si>
  <si>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</si>
  <si>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</si>
  <si>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</si>
  <si>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</si>
  <si>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</si>
  <si>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</si>
  <si>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</si>
  <si>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</si>
  <si>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</si>
  <si>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</si>
  <si>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</si>
  <si>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</si>
  <si>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</si>
  <si>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</si>
  <si>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</si>
  <si>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</si>
  <si>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</si>
  <si>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</si>
  <si>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</si>
  <si>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</si>
  <si>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</si>
  <si>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</si>
  <si>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</si>
  <si>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</si>
  <si>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</si>
  <si>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</si>
  <si>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</si>
  <si>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</si>
  <si>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</si>
  <si>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</si>
  <si>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</si>
  <si>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</si>
  <si>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</si>
  <si>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</si>
  <si>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</si>
  <si>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</si>
  <si>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</si>
  <si>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</si>
  <si>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</si>
  <si>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</si>
  <si>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</si>
  <si>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</si>
  <si>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</si>
  <si>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</si>
  <si>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</si>
  <si>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</si>
  <si>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</si>
  <si>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</si>
  <si>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</si>
  <si>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</si>
  <si>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</si>
  <si>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</si>
  <si>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</si>
  <si>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</si>
  <si>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</si>
  <si>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</si>
  <si>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</si>
  <si>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</si>
  <si>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</si>
  <si>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</si>
  <si>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</si>
  <si>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</si>
  <si>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</si>
  <si>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</si>
  <si>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</si>
  <si>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</si>
  <si>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</si>
  <si>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</si>
  <si>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</si>
  <si>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i/>
        <vertAlign val="subscript"/>
        <sz val="24"/>
        <color theme="1"/>
        <rFont val="Times New Roman"/>
        <family val="1"/>
        <charset val="204"/>
      </rPr>
      <t>2РТР</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</si>
  <si>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</si>
  <si>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</si>
  <si>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</si>
  <si>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</si>
  <si>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</si>
  <si>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</si>
  <si>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</si>
  <si>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</si>
  <si>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</si>
  <si>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</si>
  <si>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</si>
  <si>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</si>
  <si>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</si>
  <si>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</si>
  <si>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</si>
  <si>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</si>
  <si>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</si>
  <si>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</si>
  <si>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h</t>
    </r>
    <r>
      <rPr>
        <i/>
        <vertAlign val="subscript"/>
        <sz val="36"/>
        <color theme="1"/>
        <rFont val="Times New Roman"/>
        <family val="1"/>
        <charset val="204"/>
      </rPr>
      <t>П2 |СТТР</t>
    </r>
  </si>
  <si>
    <r>
      <t xml:space="preserve">Промежуток между пазами статора </t>
    </r>
    <r>
      <rPr>
        <i/>
        <sz val="20"/>
        <color theme="1"/>
        <rFont val="Times New Roman"/>
        <family val="1"/>
        <charset val="204"/>
      </rPr>
      <t>b</t>
    </r>
    <r>
      <rPr>
        <i/>
        <vertAlign val="subscript"/>
        <sz val="20"/>
        <color theme="1"/>
        <rFont val="Times New Roman"/>
        <family val="1"/>
        <charset val="204"/>
      </rPr>
      <t>Z1</t>
    </r>
  </si>
  <si>
    <r>
      <t xml:space="preserve">Значение </t>
    </r>
    <r>
      <rPr>
        <i/>
        <sz val="20"/>
        <color theme="1"/>
        <rFont val="Times New Roman"/>
        <family val="1"/>
        <charset val="204"/>
      </rPr>
      <t>h</t>
    </r>
    <r>
      <rPr>
        <i/>
        <vertAlign val="subscript"/>
        <sz val="20"/>
        <color theme="1"/>
        <rFont val="Times New Roman"/>
        <family val="1"/>
        <charset val="204"/>
      </rPr>
      <t>П2|СТТР</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</si>
  <si>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t>
    </r>
    <r>
      <rPr>
        <i/>
        <sz val="20"/>
        <color theme="1"/>
        <rFont val="Times New Roman"/>
        <family val="1"/>
        <charset val="204"/>
      </rPr>
      <t xml:space="preserve"> </t>
    </r>
    <r>
      <rPr>
        <sz val="20"/>
        <color theme="1"/>
        <rFont val="Times New Roman"/>
        <family val="1"/>
        <charset val="204"/>
      </rPr>
      <t>высота паза статора</t>
    </r>
  </si>
  <si>
    <r>
      <t>b</t>
    </r>
    <r>
      <rPr>
        <i/>
        <vertAlign val="subscript"/>
        <sz val="20"/>
        <color theme="1"/>
        <rFont val="Times New Roman"/>
        <family val="1"/>
        <charset val="204"/>
      </rPr>
      <t>1</t>
    </r>
  </si>
  <si>
    <r>
      <t>b</t>
    </r>
    <r>
      <rPr>
        <i/>
        <vertAlign val="subscript"/>
        <sz val="20"/>
        <color theme="1"/>
        <rFont val="Times New Roman"/>
        <family val="1"/>
        <charset val="204"/>
      </rPr>
      <t>2СТТР</t>
    </r>
    <r>
      <rPr>
        <i/>
        <sz val="20"/>
        <color theme="1"/>
        <rFont val="Times New Roman"/>
        <family val="1"/>
        <charset val="204"/>
      </rPr>
      <t xml:space="preserve"> </t>
    </r>
    <r>
      <rPr>
        <sz val="16"/>
        <color theme="1"/>
        <rFont val="Times New Roman"/>
        <family val="1"/>
        <charset val="204"/>
      </rPr>
      <t>ширина паза с припуском</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</si>
  <si>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</si>
  <si>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</si>
  <si>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</si>
  <si>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</si>
  <si>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</si>
  <si>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</si>
  <si>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</si>
  <si>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</si>
  <si>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</si>
  <si>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</si>
  <si>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</si>
  <si>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</si>
  <si>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</si>
  <si>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</si>
  <si>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t>Высота ярма статора</t>
  </si>
  <si>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</si>
  <si>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</si>
  <si>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</si>
  <si>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</si>
  <si>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расстояние между центрами окружностей сопряжений пазов</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</si>
  <si>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</si>
  <si>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</si>
  <si>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</si>
  <si>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</si>
  <si>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</si>
  <si>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z2</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</si>
  <si>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</si>
  <si>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</si>
  <si>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</si>
  <si>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</si>
  <si>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</si>
  <si>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</si>
  <si>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</si>
  <si>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</si>
  <si>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</si>
  <si>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</si>
  <si>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</si>
  <si>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</si>
  <si>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</si>
  <si>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</si>
  <si>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</si>
  <si>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</si>
  <si>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</si>
  <si>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</si>
  <si>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</si>
  <si>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</si>
  <si>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</si>
  <si>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</si>
  <si>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</si>
  <si>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</si>
  <si>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</si>
  <si>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</si>
  <si>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</si>
  <si>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</si>
  <si>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</si>
  <si>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t xml:space="preserve">2p = 2 </t>
  </si>
  <si>
    <t>2p = 2</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</si>
  <si>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</si>
  <si>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</si>
  <si>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</si>
  <si>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</si>
  <si>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</si>
  <si>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</si>
  <si>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</si>
  <si>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</si>
  <si>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</si>
  <si>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</si>
  <si>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</si>
  <si>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</si>
  <si>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</si>
  <si>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</si>
  <si>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</si>
  <si>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</si>
  <si>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</si>
  <si>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</si>
  <si>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</si>
  <si>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</si>
  <si>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</si>
  <si>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</si>
  <si>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</si>
  <si>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</si>
  <si>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</si>
  <si>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</si>
  <si>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</si>
  <si>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</si>
  <si>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</si>
  <si>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</si>
  <si>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</si>
  <si>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</si>
  <si>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</si>
  <si>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</si>
  <si>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</si>
  <si>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</si>
  <si>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</si>
  <si>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hz2 высота зуба для расчета магнитного напряжения зубцовой зоны ротора</t>
  </si>
  <si>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</si>
  <si>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</si>
  <si>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</si>
  <si>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</si>
  <si>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</si>
  <si>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</si>
  <si>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</si>
  <si>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</si>
  <si>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</si>
  <si>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</si>
  <si>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</si>
  <si>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</si>
  <si>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</si>
  <si>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</si>
  <si>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</si>
  <si>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</si>
  <si>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</si>
  <si>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</si>
  <si>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r>
      <rPr>
        <sz val="16"/>
        <color theme="1"/>
        <rFont val="Times New Roman"/>
        <family val="1"/>
        <charset val="204"/>
      </rPr>
      <t>Значение</t>
    </r>
    <r>
      <rPr>
        <i/>
        <sz val="16"/>
        <color theme="1"/>
        <rFont val="Times New Roman"/>
        <family val="1"/>
        <charset val="204"/>
      </rPr>
      <t xml:space="preserve"> </t>
    </r>
    <r>
      <rPr>
        <i/>
        <sz val="20"/>
        <color theme="1"/>
        <rFont val="Times New Roman"/>
        <family val="1"/>
        <charset val="204"/>
      </rPr>
      <t>b</t>
    </r>
    <r>
      <rPr>
        <i/>
        <vertAlign val="subscript"/>
        <sz val="20"/>
        <color theme="1"/>
        <rFont val="Times New Roman"/>
        <family val="1"/>
        <charset val="204"/>
      </rPr>
      <t xml:space="preserve">1СТТР </t>
    </r>
    <r>
      <rPr>
        <sz val="16"/>
        <color theme="1"/>
        <rFont val="Times New Roman"/>
        <family val="1"/>
        <charset val="204"/>
      </rPr>
      <t>для статора</t>
    </r>
  </si>
  <si>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</si>
  <si>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</si>
  <si>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</si>
  <si>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</si>
  <si>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</si>
  <si>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</si>
  <si>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</si>
  <si>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</si>
  <si>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</si>
  <si>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</si>
  <si>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</si>
  <si>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</si>
  <si>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</si>
  <si>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</si>
  <si>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</si>
  <si>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</si>
  <si>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</si>
  <si>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</si>
  <si>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</si>
  <si>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</si>
  <si>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</si>
  <si>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</si>
  <si>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</si>
  <si>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</si>
  <si>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</si>
  <si>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</si>
  <si>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</si>
  <si>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</si>
  <si>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</si>
  <si>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</si>
  <si>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</si>
  <si>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</si>
  <si>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</si>
  <si>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t>Удельное сопротивление материала стержня 
(алюминиевые шины)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</si>
  <si>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</si>
  <si>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</si>
  <si>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</si>
  <si>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</si>
  <si>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</si>
  <si>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</si>
  <si>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</si>
  <si>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</si>
  <si>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</si>
  <si>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</si>
  <si>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</si>
  <si>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</si>
  <si>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</si>
  <si>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</si>
  <si>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</si>
  <si>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</si>
  <si>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</si>
  <si>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</si>
  <si>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</si>
  <si>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</si>
  <si>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</si>
  <si>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</si>
  <si>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</si>
  <si>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</si>
  <si>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</si>
  <si>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</si>
  <si>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</si>
  <si>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</si>
  <si>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</si>
  <si>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</si>
  <si>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</si>
  <si>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</si>
  <si>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r>
      <t xml:space="preserve"> </t>
    </r>
    <r>
      <rPr>
        <sz val="48"/>
        <color rgb="FF333333"/>
        <rFont val="Arial"/>
        <family val="2"/>
        <charset val="204"/>
      </rPr>
      <t> </t>
    </r>
  </si>
  <si>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</si>
  <si>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</si>
  <si>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</si>
  <si>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</si>
  <si>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</si>
  <si>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</si>
  <si>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</si>
  <si>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</si>
  <si>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</si>
  <si>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</si>
  <si>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</si>
  <si>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</si>
  <si>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</si>
  <si>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</si>
  <si>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</si>
  <si>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</si>
  <si>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</si>
  <si>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</si>
  <si>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</si>
  <si>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</si>
  <si>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</si>
  <si>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</si>
  <si>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</si>
  <si>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</si>
  <si>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</si>
  <si>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</si>
  <si>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</si>
  <si>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Введите значение укорочения шага обмотки β из предложенного диапозона</t>
  </si>
  <si>
    <t>УКР - 2</t>
  </si>
  <si>
    <t>УКР - 1</t>
  </si>
  <si>
    <r>
      <t>K</t>
    </r>
    <r>
      <rPr>
        <i/>
        <vertAlign val="subscript"/>
        <sz val="36"/>
        <color theme="1"/>
        <rFont val="Times New Roman"/>
        <family val="1"/>
        <charset val="204"/>
      </rPr>
      <t>β</t>
    </r>
  </si>
  <si>
    <t>Статус введеного значения</t>
  </si>
  <si>
    <t>значение укорочения шага обмотки β принимается от 1/3 до 1</t>
  </si>
  <si>
    <t>Возможные типы укорочения</t>
  </si>
  <si>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</si>
  <si>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</si>
  <si>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</si>
  <si>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</si>
  <si>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</si>
  <si>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</si>
  <si>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</si>
  <si>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</si>
  <si>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</si>
  <si>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</si>
  <si>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t>Значение Lп2 выбирается формула по буквенной маркировке из таблицы</t>
  </si>
  <si>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</si>
  <si>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</si>
  <si>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</si>
  <si>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</si>
  <si>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</si>
  <si>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</si>
  <si>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</si>
  <si>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</si>
  <si>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</si>
  <si>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</si>
  <si>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</si>
  <si>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</si>
  <si>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</si>
  <si>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</si>
  <si>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</si>
  <si>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</si>
  <si>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</si>
  <si>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</si>
  <si>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</si>
  <si>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</si>
  <si>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</si>
  <si>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</si>
  <si>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</si>
  <si>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</si>
  <si>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</si>
  <si>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</si>
  <si>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</si>
  <si>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</si>
  <si>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</si>
  <si>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</si>
  <si>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</si>
  <si>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t>🗙</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</si>
  <si>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</si>
  <si>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</si>
  <si>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</si>
  <si>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</si>
  <si>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</si>
  <si>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</si>
  <si>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</si>
  <si>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</si>
  <si>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</si>
  <si>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</si>
  <si>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</si>
  <si>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</si>
  <si>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</si>
  <si>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</si>
  <si>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</si>
  <si>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</si>
  <si>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</si>
  <si>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</si>
  <si>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</si>
  <si>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</si>
  <si>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</si>
  <si>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</si>
  <si>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</si>
  <si>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</si>
  <si>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</si>
  <si>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</si>
  <si>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</si>
  <si>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</si>
  <si>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</si>
  <si>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</si>
  <si>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</si>
  <si>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</si>
  <si>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</si>
  <si>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</si>
  <si>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</si>
  <si>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</si>
  <si>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</si>
  <si>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</si>
  <si>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</si>
  <si>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</si>
  <si>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</si>
  <si>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</si>
  <si>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</si>
  <si>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</si>
  <si>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</si>
  <si>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</si>
  <si>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</si>
  <si>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</si>
  <si>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</si>
  <si>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</si>
  <si>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K</t>
    </r>
    <r>
      <rPr>
        <i/>
        <vertAlign val="subscript"/>
        <sz val="24"/>
        <color theme="1"/>
        <rFont val="Times New Roman"/>
        <family val="1"/>
        <charset val="204"/>
      </rPr>
      <t>g</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</si>
  <si>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</si>
  <si>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</si>
  <si>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</si>
  <si>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</si>
  <si>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</si>
  <si>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</si>
  <si>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</si>
  <si>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</si>
  <si>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</si>
  <si>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</si>
  <si>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</si>
  <si>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</si>
  <si>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</si>
  <si>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</si>
  <si>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</si>
  <si>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</si>
  <si>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</si>
  <si>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</si>
  <si>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</si>
  <si>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</si>
  <si>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</si>
  <si>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</si>
  <si>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</si>
  <si>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</si>
  <si>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</si>
  <si>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</si>
  <si>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</si>
  <si>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</si>
  <si>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</si>
  <si>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</si>
  <si>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</si>
  <si>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</si>
  <si>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</si>
  <si>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r>
      <t>x</t>
    </r>
    <r>
      <rPr>
        <i/>
        <vertAlign val="subscript"/>
        <sz val="28"/>
        <color theme="1"/>
        <rFont val="Times New Roman"/>
        <family val="1"/>
        <charset val="204"/>
      </rPr>
      <t>2|ПРВ|ВТСН</t>
    </r>
  </si>
  <si>
    <r>
      <t>r</t>
    </r>
    <r>
      <rPr>
        <i/>
        <vertAlign val="subscript"/>
        <sz val="28"/>
        <color theme="1"/>
        <rFont val="Times New Roman"/>
        <family val="1"/>
        <charset val="204"/>
      </rPr>
      <t>2|ПРВ|ВТСН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</si>
  <si>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</si>
  <si>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</si>
  <si>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</si>
  <si>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</si>
  <si>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</si>
  <si>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</si>
  <si>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</si>
  <si>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</si>
  <si>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</si>
  <si>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</si>
  <si>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</si>
  <si>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</si>
  <si>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</si>
  <si>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</si>
  <si>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</si>
  <si>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</si>
  <si>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</si>
  <si>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</si>
  <si>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</si>
  <si>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</si>
  <si>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</si>
  <si>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</si>
  <si>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</si>
  <si>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φ</t>
    </r>
    <r>
      <rPr>
        <vertAlign val="subscript"/>
        <sz val="20"/>
        <color theme="1"/>
        <rFont val="Times New Roman"/>
        <family val="1"/>
        <charset val="204"/>
      </rPr>
      <t>кр</t>
    </r>
  </si>
  <si>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</si>
  <si>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</si>
  <si>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</si>
  <si>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</si>
  <si>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</si>
  <si>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</si>
  <si>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</si>
  <si>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</si>
  <si>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</si>
  <si>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</si>
  <si>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</si>
  <si>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</si>
  <si>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</si>
  <si>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</si>
  <si>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</si>
  <si>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</si>
  <si>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</si>
  <si>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</si>
  <si>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2|ПРВ|ВТСН</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</si>
  <si>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</si>
  <si>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</si>
  <si>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</si>
  <si>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</si>
  <si>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</si>
  <si>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</si>
  <si>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</si>
  <si>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</si>
  <si>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</si>
  <si>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</si>
  <si>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</si>
  <si>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</si>
  <si>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</si>
  <si>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</si>
  <si>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</si>
  <si>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</si>
  <si>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</si>
  <si>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</si>
  <si>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x</t>
    </r>
    <r>
      <rPr>
        <i/>
        <vertAlign val="subscript"/>
        <sz val="24"/>
        <color theme="1"/>
        <rFont val="Times New Roman"/>
        <family val="1"/>
        <charset val="204"/>
      </rPr>
      <t>2|ПРВ|НАС</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</si>
  <si>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</si>
  <si>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</si>
  <si>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</si>
  <si>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</si>
  <si>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</si>
  <si>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</si>
  <si>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</si>
  <si>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</si>
  <si>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</si>
  <si>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</si>
  <si>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</si>
  <si>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</si>
  <si>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</si>
  <si>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</si>
  <si>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</si>
  <si>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</si>
  <si>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</si>
  <si>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</si>
  <si>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</si>
  <si>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</si>
  <si>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</si>
  <si>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</si>
  <si>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</si>
  <si>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</si>
  <si>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I</t>
    </r>
    <r>
      <rPr>
        <b/>
        <vertAlign val="subscript"/>
        <sz val="24"/>
        <color rgb="FF006600"/>
        <rFont val="Times New Roman"/>
        <family val="1"/>
        <charset val="204"/>
      </rPr>
      <t>П</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</si>
  <si>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</si>
  <si>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</si>
  <si>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</si>
  <si>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</si>
  <si>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</si>
  <si>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</si>
  <si>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</si>
  <si>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</si>
  <si>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</si>
  <si>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</si>
  <si>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</si>
  <si>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</si>
  <si>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</si>
  <si>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</si>
  <si>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</si>
  <si>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</si>
  <si>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8.1</t>
  </si>
  <si>
    <t>8.2</t>
  </si>
  <si>
    <t>8.3</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</si>
  <si>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</si>
  <si>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</si>
  <si>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</si>
  <si>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</si>
  <si>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</si>
  <si>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</si>
  <si>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</si>
  <si>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</si>
  <si>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</si>
  <si>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</si>
  <si>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</si>
  <si>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</si>
  <si>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</si>
  <si>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</si>
  <si>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</si>
  <si>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t>Потери в стали основные для двигателей меньше 250 кВт</t>
  </si>
  <si>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</si>
  <si>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</si>
  <si>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</si>
  <si>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</si>
  <si>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</si>
  <si>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4"/>
        <color theme="1"/>
        <rFont val="Times New Roman"/>
        <family val="1"/>
        <charset val="204"/>
      </rPr>
      <t>Z2|СР</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</si>
  <si>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</si>
  <si>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</si>
  <si>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</si>
  <si>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</si>
  <si>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</si>
  <si>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</si>
  <si>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</si>
  <si>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</si>
  <si>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</si>
  <si>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</si>
  <si>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Механические потери для
двигателей со степенью защиты IP23</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</si>
  <si>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</si>
  <si>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</si>
  <si>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</si>
  <si>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</si>
  <si>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</si>
  <si>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</si>
  <si>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</si>
  <si>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</si>
  <si>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</si>
  <si>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</si>
  <si>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</si>
  <si>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</si>
  <si>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</si>
  <si>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</si>
  <si>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</si>
  <si>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</si>
  <si>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</si>
  <si>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</si>
  <si>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</si>
  <si>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</si>
  <si>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</si>
  <si>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</si>
  <si>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Режим</t>
  </si>
  <si>
    <t>присвоение</t>
  </si>
  <si>
    <t>АВТО</t>
  </si>
  <si>
    <t>РУЧНОЙ</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</si>
  <si>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</si>
  <si>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</si>
  <si>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</si>
  <si>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</si>
  <si>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</si>
  <si>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</si>
  <si>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</si>
  <si>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</si>
  <si>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</si>
  <si>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</si>
  <si>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</si>
  <si>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</si>
  <si>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</si>
  <si>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</si>
  <si>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</si>
  <si>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</si>
  <si>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</si>
  <si>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φ</t>
    </r>
    <r>
      <rPr>
        <vertAlign val="subscript"/>
        <sz val="20"/>
        <color theme="1"/>
        <rFont val="Times New Roman"/>
        <family val="1"/>
        <charset val="204"/>
      </rPr>
      <t>21</t>
    </r>
    <r>
      <rPr>
        <sz val="20"/>
        <color theme="1"/>
        <rFont val="Times New Roman"/>
        <family val="1"/>
        <charset val="204"/>
      </rPr>
      <t xml:space="preserve"> = k</t>
    </r>
    <r>
      <rPr>
        <vertAlign val="subscript"/>
        <sz val="20"/>
        <color theme="1"/>
        <rFont val="Times New Roman"/>
        <family val="1"/>
        <charset val="204"/>
      </rPr>
      <t>д</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</si>
  <si>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</si>
  <si>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</si>
  <si>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</si>
  <si>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</si>
  <si>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</si>
  <si>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</si>
  <si>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</si>
  <si>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</si>
  <si>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</si>
  <si>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</si>
  <si>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</si>
  <si>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</si>
  <si>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</si>
  <si>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</si>
  <si>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</si>
  <si>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</si>
  <si>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</si>
  <si>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</si>
  <si>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</si>
  <si>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</si>
  <si>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</si>
  <si>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</si>
  <si>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t>kд = 1 для рабочего режима kд можно найти по рискнку 21 φ(ξH|РТР|ПРВ)</t>
  </si>
  <si>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</si>
  <si>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</si>
  <si>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</si>
  <si>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</si>
  <si>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</si>
  <si>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</si>
  <si>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</si>
  <si>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</si>
  <si>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</si>
  <si>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</si>
  <si>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</si>
  <si>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</si>
  <si>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a</t>
    </r>
    <r>
      <rPr>
        <i/>
        <vertAlign val="subscript"/>
        <sz val="24"/>
        <color theme="1"/>
        <rFont val="Times New Roman"/>
        <family val="1"/>
        <charset val="204"/>
      </rPr>
      <t>КЦТ</t>
    </r>
    <r>
      <rPr>
        <i/>
        <sz val="24"/>
        <color theme="1"/>
        <rFont val="Times New Roman"/>
        <family val="1"/>
        <charset val="204"/>
      </rPr>
      <t>r</t>
    </r>
    <r>
      <rPr>
        <i/>
        <vertAlign val="subscript"/>
        <sz val="24"/>
        <color theme="1"/>
        <rFont val="Times New Roman"/>
        <family val="1"/>
        <charset val="204"/>
      </rPr>
      <t>2ПРВ</t>
    </r>
    <r>
      <rPr>
        <i/>
        <sz val="24"/>
        <color theme="1"/>
        <rFont val="Times New Roman"/>
        <family val="1"/>
        <charset val="204"/>
      </rPr>
      <t>/S</t>
    </r>
  </si>
  <si>
    <r>
      <t>P</t>
    </r>
    <r>
      <rPr>
        <i/>
        <vertAlign val="subscript"/>
        <sz val="22"/>
        <color theme="1"/>
        <rFont val="Times New Roman"/>
        <family val="1"/>
        <charset val="204"/>
      </rPr>
      <t>1</t>
    </r>
  </si>
  <si>
    <r>
      <t>P</t>
    </r>
    <r>
      <rPr>
        <i/>
        <vertAlign val="subscript"/>
        <sz val="22"/>
        <color theme="1"/>
        <rFont val="Times New Roman"/>
        <family val="1"/>
        <charset val="204"/>
      </rPr>
      <t>Э1</t>
    </r>
  </si>
  <si>
    <r>
      <t>P</t>
    </r>
    <r>
      <rPr>
        <i/>
        <vertAlign val="subscript"/>
        <sz val="22"/>
        <color theme="1"/>
        <rFont val="Times New Roman"/>
        <family val="1"/>
        <charset val="204"/>
      </rPr>
      <t>Э2</t>
    </r>
  </si>
  <si>
    <r>
      <t>P</t>
    </r>
    <r>
      <rPr>
        <vertAlign val="subscript"/>
        <sz val="22"/>
        <color theme="1"/>
        <rFont val="Times New Roman"/>
        <family val="1"/>
        <charset val="204"/>
      </rPr>
      <t>Э2</t>
    </r>
  </si>
  <si>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</si>
  <si>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</si>
  <si>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</si>
  <si>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r>
      <t>P</t>
    </r>
    <r>
      <rPr>
        <vertAlign val="subscript"/>
        <sz val="24"/>
        <color theme="1"/>
        <rFont val="Times New Roman"/>
        <family val="1"/>
        <charset val="204"/>
      </rPr>
      <t>1Н</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</si>
  <si>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</si>
  <si>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</si>
  <si>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</si>
  <si>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</si>
  <si>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</si>
  <si>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</si>
  <si>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</si>
  <si>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</si>
  <si>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</si>
  <si>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</si>
  <si>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</si>
  <si>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</si>
  <si>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Площадь заполнения проводником это разность между полной площадью паза и площадью прокладок</t>
  </si>
  <si>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</si>
  <si>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</si>
  <si>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</si>
  <si>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</si>
  <si>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</si>
  <si>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Внутренний диаметр ротора Dj</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</si>
  <si>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</si>
  <si>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</si>
  <si>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</si>
  <si>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</si>
  <si>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</si>
  <si>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</si>
  <si>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Выберите предлагаемое значение наружнего диаметра или выпишите значение пользуясь таблицой</t>
  </si>
  <si>
    <t>Выберите предлагаемое значение высоты оси h или выпишите значение пользуясь таблицой</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</si>
  <si>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</si>
  <si>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</si>
  <si>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</si>
  <si>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</si>
  <si>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</si>
  <si>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</si>
  <si>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</si>
  <si>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</si>
  <si>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</si>
  <si>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</si>
  <si>
    <r>
      <t>x</t>
    </r>
    <r>
      <rPr>
        <vertAlign val="subscript"/>
        <sz val="20"/>
        <color theme="1"/>
        <rFont val="Times New Roman"/>
        <family val="1"/>
        <charset val="204"/>
      </rPr>
      <t>δ</t>
    </r>
    <r>
      <rPr>
        <sz val="20"/>
        <color theme="1"/>
        <rFont val="Times New Roman"/>
        <family val="1"/>
        <charset val="204"/>
      </rPr>
      <t xml:space="preserve"> = B</t>
    </r>
    <r>
      <rPr>
        <vertAlign val="subscript"/>
        <sz val="20"/>
        <color theme="1"/>
        <rFont val="Times New Roman"/>
        <family val="1"/>
      </rPr>
      <t>фδ</t>
    </r>
  </si>
  <si>
    <r>
      <t>B</t>
    </r>
    <r>
      <rPr>
        <i/>
        <vertAlign val="subscript"/>
        <sz val="20"/>
        <color theme="1"/>
        <rFont val="Times New Roman"/>
        <family val="1"/>
      </rPr>
      <t>фδ</t>
    </r>
  </si>
  <si>
    <r>
      <t>P</t>
    </r>
    <r>
      <rPr>
        <vertAlign val="subscript"/>
        <sz val="16"/>
        <color theme="1"/>
        <rFont val="Times New Roman"/>
        <family val="1"/>
      </rPr>
      <t>Н</t>
    </r>
  </si>
  <si>
    <t>Высота оси вращения соответствующая номинальной мощности асинхронного электродвигателя</t>
  </si>
  <si>
    <r>
      <t>h</t>
    </r>
    <r>
      <rPr>
        <i/>
        <vertAlign val="subscript"/>
        <sz val="36"/>
        <color theme="1"/>
        <rFont val="Times New Roman"/>
        <family val="1"/>
        <charset val="204"/>
      </rPr>
      <t>П2|СТТР</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</si>
</sst>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24">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i/>
      <vertAlign val="superscript"/>
      <sz val="36"/>
      <color theme="1"/>
      <name val="Times New Roman"/>
      <family val="1"/>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b/>
      <sz val="20"/>
      <color indexed="81"/>
      <name val="Tahoma"/>
      <family val="2"/>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b/>
      <sz val="28"/>
      <color rgb="FF800080"/>
      <name val="fontello"/>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sz val="22"/>
      <color theme="1"/>
      <name val="Bahnschrift"/>
      <family val="2"/>
      <charset val="204"/>
    </font>
    <font>
      <b/>
      <sz val="22"/>
      <color rgb="FF006600"/>
      <name val="Calibri"/>
      <family val="2"/>
      <charset val="204"/>
      <scheme val="minor"/>
    </font>
    <font>
      <sz val="18"/>
      <color theme="1"/>
      <name val="Myriad Pro"/>
    </font>
    <font>
      <vertAlign val="subscript"/>
      <sz val="20"/>
      <color theme="1"/>
      <name val="Times New Roman"/>
      <family val="1"/>
    </font>
    <font>
      <i/>
      <vertAlign val="subscript"/>
      <sz val="20"/>
      <color theme="1"/>
      <name val="Times New Roman"/>
      <family val="1"/>
    </font>
    <font>
      <vertAlign val="subscript"/>
      <sz val="16"/>
      <color theme="1"/>
      <name val="Times New Roman"/>
      <family val="1"/>
    </font>
    <font>
      <sz val="22"/>
      <color rgb="FF800080"/>
      <name val="fontello"/>
    </font>
  </fonts>
  <fills count="28">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solid">
        <fgColor rgb="FFFFFF00"/>
        <bgColor auto="1"/>
      </patternFill>
    </fill>
    <fill>
      <patternFill patternType="lightUp">
        <bgColor theme="0" tint="-0.14990691854609822"/>
      </patternFill>
    </fill>
    <fill>
      <patternFill patternType="solid">
        <fgColor theme="6" tint="0.59999389629810485"/>
        <bgColor indexed="64"/>
      </patternFill>
    </fill>
    <fill>
      <patternFill patternType="solid">
        <fgColor theme="4" tint="0.59999389629810485"/>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045">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164" fontId="1" fillId="0" borderId="0" xfId="0" applyNumberFormat="1" applyFont="1" applyAlignment="1">
      <alignment horizont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4" fillId="0" borderId="0" xfId="0" applyFont="1" applyFill="1" applyBorder="1" applyAlignment="1">
      <alignment horizontal="center" vertical="center"/>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21" fillId="0" borderId="0" xfId="0" applyFont="1" applyFill="1" applyBorder="1" applyAlignment="1">
      <alignment vertical="center"/>
    </xf>
    <xf numFmtId="2" fontId="4" fillId="0" borderId="0" xfId="0" applyNumberFormat="1" applyFont="1" applyFill="1"/>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0" borderId="0" xfId="0" applyFont="1" applyFill="1" applyBorder="1" applyAlignment="1">
      <alignment horizontal="center" vertical="center"/>
    </xf>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2" fontId="4" fillId="0" borderId="0" xfId="0" applyNumberFormat="1" applyFont="1" applyFill="1"/>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Border="1" applyAlignment="1">
      <alignment vertical="center"/>
    </xf>
    <xf numFmtId="0" fontId="36" fillId="0" borderId="1"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3" fillId="0" borderId="1" xfId="0"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164" fontId="2" fillId="0" borderId="0" xfId="0" applyNumberFormat="1" applyFont="1" applyBorder="1" applyAlignment="1">
      <alignment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164" fontId="2" fillId="0" borderId="38" xfId="0" applyNumberFormat="1" applyFont="1" applyBorder="1"/>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164" fontId="65" fillId="12" borderId="2" xfId="1" applyNumberFormat="1" applyFont="1" applyFill="1" applyBorder="1" applyAlignment="1">
      <alignment vertical="center" wrapText="1"/>
    </xf>
    <xf numFmtId="164" fontId="65" fillId="12" borderId="21" xfId="1" applyNumberFormat="1" applyFont="1" applyFill="1" applyBorder="1" applyAlignment="1">
      <alignment vertical="center" wrapText="1"/>
    </xf>
    <xf numFmtId="164" fontId="65" fillId="12" borderId="19" xfId="1" applyNumberFormat="1" applyFont="1" applyFill="1" applyBorder="1" applyAlignment="1">
      <alignment vertical="center" wrapText="1"/>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xf numFmtId="1" fontId="2" fillId="0" borderId="0" xfId="0" applyNumberFormat="1" applyFont="1" applyBorder="1" applyAlignment="1">
      <alignment vertical="center"/>
    </xf>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9" fillId="0" borderId="0" xfId="0" applyNumberFormat="1" applyFont="1"/>
    <xf numFmtId="0" fontId="4" fillId="6" borderId="1" xfId="0" applyFont="1" applyFill="1" applyBorder="1" applyAlignment="1">
      <alignment horizontal="center" vertical="center"/>
    </xf>
    <xf numFmtId="0" fontId="81"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1" fillId="0" borderId="1" xfId="0" applyNumberFormat="1" applyFont="1" applyBorder="1"/>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vertical="center" wrapText="1"/>
    </xf>
    <xf numFmtId="164" fontId="83" fillId="8" borderId="4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0"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3"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2" fillId="3" borderId="1" xfId="1" applyFont="1" applyFill="1" applyBorder="1" applyAlignment="1">
      <alignment horizontal="center" vertical="center"/>
    </xf>
    <xf numFmtId="2" fontId="2" fillId="0" borderId="0" xfId="0" applyNumberFormat="1" applyFont="1"/>
    <xf numFmtId="0" fontId="2" fillId="0" borderId="0" xfId="0" applyFont="1" applyAlignment="1"/>
    <xf numFmtId="0" fontId="92"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3"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5"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2" fontId="2" fillId="0" borderId="0" xfId="0" applyNumberFormat="1" applyFont="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7" fillId="3" borderId="1" xfId="1" applyFont="1" applyFill="1" applyBorder="1" applyAlignment="1">
      <alignment horizontal="center" vertical="center"/>
    </xf>
    <xf numFmtId="0" fontId="97"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3" fillId="8" borderId="1"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1" xfId="0" applyFont="1" applyBorder="1" applyAlignment="1">
      <alignment vertical="center"/>
    </xf>
    <xf numFmtId="0" fontId="2" fillId="0" borderId="19" xfId="0" applyFont="1" applyBorder="1" applyAlignment="1">
      <alignment vertical="center"/>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1" fontId="2" fillId="0" borderId="41" xfId="0" applyNumberFormat="1" applyFont="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8"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91" fillId="12" borderId="0" xfId="1" applyNumberFormat="1" applyFont="1" applyFill="1" applyBorder="1" applyAlignment="1">
      <alignment vertical="center" wrapText="1"/>
    </xf>
    <xf numFmtId="164" fontId="91" fillId="12" borderId="36" xfId="1" applyNumberFormat="1" applyFont="1" applyFill="1" applyBorder="1" applyAlignment="1">
      <alignment vertical="center" wrapText="1"/>
    </xf>
    <xf numFmtId="164" fontId="91" fillId="12" borderId="38" xfId="1" applyNumberFormat="1" applyFont="1" applyFill="1" applyBorder="1" applyAlignment="1">
      <alignment vertical="center" wrapText="1"/>
    </xf>
    <xf numFmtId="164" fontId="91" fillId="12" borderId="39" xfId="1" applyNumberFormat="1" applyFont="1" applyFill="1" applyBorder="1" applyAlignment="1">
      <alignment vertical="center" wrapText="1"/>
    </xf>
    <xf numFmtId="164" fontId="91" fillId="12" borderId="18" xfId="1" applyNumberFormat="1" applyFont="1" applyFill="1" applyBorder="1" applyAlignment="1">
      <alignment vertical="center" wrapText="1"/>
    </xf>
    <xf numFmtId="164" fontId="91" fillId="12" borderId="37" xfId="1" applyNumberFormat="1" applyFont="1" applyFill="1" applyBorder="1" applyAlignment="1">
      <alignment vertical="center" wrapText="1"/>
    </xf>
    <xf numFmtId="164" fontId="91" fillId="12" borderId="22" xfId="1" applyNumberFormat="1" applyFont="1" applyFill="1" applyBorder="1" applyAlignment="1">
      <alignment vertical="center" wrapText="1"/>
    </xf>
    <xf numFmtId="164" fontId="91" fillId="12" borderId="20" xfId="1" applyNumberFormat="1" applyFont="1" applyFill="1" applyBorder="1" applyAlignment="1">
      <alignment vertical="center" wrapText="1"/>
    </xf>
    <xf numFmtId="49" fontId="2" fillId="0" borderId="37" xfId="0" applyNumberFormat="1" applyFont="1" applyBorder="1" applyAlignment="1">
      <alignment vertical="center"/>
    </xf>
    <xf numFmtId="0" fontId="103" fillId="9" borderId="1" xfId="0" applyFont="1" applyFill="1" applyBorder="1" applyAlignment="1">
      <alignment horizontal="center" vertical="center" wrapText="1"/>
    </xf>
    <xf numFmtId="0" fontId="105" fillId="9" borderId="1" xfId="0" applyFont="1" applyFill="1" applyBorder="1" applyAlignment="1">
      <alignment horizontal="center" vertical="center" wrapText="1"/>
    </xf>
    <xf numFmtId="0" fontId="4" fillId="6" borderId="19" xfId="0" applyFont="1" applyFill="1" applyBorder="1" applyAlignment="1">
      <alignment vertical="center"/>
    </xf>
    <xf numFmtId="164" fontId="83" fillId="8" borderId="23"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3" fillId="8" borderId="19" xfId="1" applyNumberFormat="1" applyFont="1" applyFill="1" applyBorder="1" applyAlignment="1">
      <alignment horizontal="center" vertical="center" wrapText="1"/>
    </xf>
    <xf numFmtId="0" fontId="108" fillId="3" borderId="1" xfId="1" applyFont="1" applyFill="1" applyBorder="1" applyAlignment="1">
      <alignment horizontal="center" vertical="top"/>
    </xf>
    <xf numFmtId="166" fontId="83" fillId="8" borderId="4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3" fillId="8" borderId="41" xfId="1" applyNumberFormat="1" applyFont="1" applyFill="1" applyBorder="1" applyAlignment="1">
      <alignment vertical="center" wrapText="1"/>
    </xf>
    <xf numFmtId="168" fontId="83"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11" fillId="8" borderId="29" xfId="1" applyNumberFormat="1" applyFont="1" applyFill="1" applyBorder="1" applyAlignment="1">
      <alignment horizontal="center" vertical="center" wrapText="1"/>
    </xf>
    <xf numFmtId="0" fontId="5" fillId="0" borderId="0" xfId="0" applyFont="1" applyAlignment="1"/>
    <xf numFmtId="164" fontId="112" fillId="12" borderId="0" xfId="1" applyNumberFormat="1" applyFont="1" applyFill="1" applyBorder="1" applyAlignment="1">
      <alignment vertical="center" wrapText="1"/>
    </xf>
    <xf numFmtId="164" fontId="112" fillId="12" borderId="13" xfId="1" applyNumberFormat="1" applyFont="1" applyFill="1" applyBorder="1" applyAlignment="1">
      <alignment vertical="center" wrapText="1"/>
    </xf>
    <xf numFmtId="164" fontId="112" fillId="12" borderId="11" xfId="1" applyNumberFormat="1" applyFont="1" applyFill="1" applyBorder="1" applyAlignment="1">
      <alignment vertical="center" wrapText="1"/>
    </xf>
    <xf numFmtId="164" fontId="112" fillId="12" borderId="14" xfId="1" applyNumberFormat="1" applyFont="1" applyFill="1" applyBorder="1" applyAlignment="1">
      <alignment vertical="center" wrapText="1"/>
    </xf>
    <xf numFmtId="164" fontId="112" fillId="12" borderId="9" xfId="1" applyNumberFormat="1" applyFont="1" applyFill="1" applyBorder="1" applyAlignment="1">
      <alignment vertical="center" wrapText="1"/>
    </xf>
    <xf numFmtId="164" fontId="112" fillId="12" borderId="12" xfId="1" applyNumberFormat="1" applyFont="1" applyFill="1" applyBorder="1" applyAlignment="1">
      <alignment vertical="center" wrapText="1"/>
    </xf>
    <xf numFmtId="164" fontId="111"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12"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0" fontId="2" fillId="0" borderId="18" xfId="0" applyFont="1" applyBorder="1" applyAlignment="1"/>
    <xf numFmtId="0" fontId="2" fillId="0" borderId="36" xfId="0" applyFont="1" applyBorder="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 fontId="83" fillId="8" borderId="42"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7" fontId="83" fillId="8" borderId="17" xfId="1" applyNumberFormat="1" applyFont="1" applyFill="1" applyBorder="1" applyAlignment="1">
      <alignment horizontal="center" vertical="center" wrapText="1"/>
    </xf>
    <xf numFmtId="164" fontId="83" fillId="8" borderId="69"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3" fillId="8" borderId="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23" fillId="8" borderId="1" xfId="1" applyNumberFormat="1" applyFont="1" applyFill="1" applyBorder="1" applyAlignment="1">
      <alignment vertical="center" wrapText="1"/>
    </xf>
    <xf numFmtId="164" fontId="2" fillId="0" borderId="1" xfId="0"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164" fontId="2" fillId="0" borderId="1" xfId="0" applyNumberFormat="1" applyFont="1" applyBorder="1" applyAlignment="1">
      <alignment horizontal="center" vertical="center"/>
    </xf>
    <xf numFmtId="0" fontId="4" fillId="6" borderId="41" xfId="0" applyFont="1" applyFill="1" applyBorder="1" applyAlignment="1">
      <alignment horizontal="center" vertical="center"/>
    </xf>
    <xf numFmtId="1"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1" fillId="0" borderId="36" xfId="0" applyNumberFormat="1" applyFont="1" applyBorder="1" applyAlignment="1"/>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19" xfId="1" applyNumberFormat="1" applyFont="1" applyFill="1" applyBorder="1" applyAlignment="1">
      <alignment horizontal="center" vertical="center" wrapText="1"/>
    </xf>
    <xf numFmtId="1" fontId="2" fillId="3" borderId="30" xfId="0" applyNumberFormat="1" applyFont="1" applyFill="1" applyBorder="1" applyAlignment="1">
      <alignment vertical="center"/>
    </xf>
    <xf numFmtId="1" fontId="2" fillId="0" borderId="37" xfId="0" applyNumberFormat="1" applyFont="1" applyBorder="1" applyAlignment="1">
      <alignment horizontal="center" vertical="center"/>
    </xf>
    <xf numFmtId="164" fontId="83" fillId="8" borderId="4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91" fillId="12" borderId="23" xfId="1" applyNumberFormat="1" applyFont="1" applyFill="1" applyBorder="1" applyAlignment="1">
      <alignment vertical="center" wrapText="1"/>
    </xf>
    <xf numFmtId="166" fontId="83" fillId="8" borderId="1" xfId="1" applyNumberFormat="1" applyFont="1" applyFill="1" applyBorder="1" applyAlignment="1">
      <alignment horizontal="center" vertical="center" wrapText="1"/>
    </xf>
    <xf numFmtId="1" fontId="2" fillId="3" borderId="2" xfId="0" applyNumberFormat="1" applyFont="1" applyFill="1" applyBorder="1" applyAlignment="1">
      <alignment horizontal="center" vertical="center"/>
    </xf>
    <xf numFmtId="167" fontId="83"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6" fontId="83"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91" fillId="12" borderId="11"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0" fontId="4" fillId="6" borderId="1" xfId="0" applyFont="1" applyFill="1" applyBorder="1" applyAlignment="1">
      <alignment horizontal="center" vertical="center"/>
    </xf>
    <xf numFmtId="2" fontId="2" fillId="3" borderId="30" xfId="0" applyNumberFormat="1" applyFont="1" applyFill="1" applyBorder="1" applyAlignment="1">
      <alignment vertical="center"/>
    </xf>
    <xf numFmtId="1" fontId="83"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11" fillId="8" borderId="41" xfId="1" applyNumberFormat="1" applyFont="1" applyFill="1" applyBorder="1" applyAlignment="1">
      <alignment vertical="center" wrapText="1"/>
    </xf>
    <xf numFmtId="164" fontId="111" fillId="8" borderId="29" xfId="1" applyNumberFormat="1" applyFont="1" applyFill="1" applyBorder="1" applyAlignment="1">
      <alignment vertical="center" wrapText="1"/>
    </xf>
    <xf numFmtId="164" fontId="111"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2"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2" fontId="2" fillId="3" borderId="41" xfId="0" applyNumberFormat="1" applyFont="1" applyFill="1" applyBorder="1" applyAlignment="1">
      <alignment horizontal="center" vertical="center"/>
    </xf>
    <xf numFmtId="165" fontId="2"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0" fontId="2" fillId="0" borderId="1" xfId="0" applyFont="1" applyBorder="1" applyAlignment="1">
      <alignment horizontal="center" vertical="center"/>
    </xf>
    <xf numFmtId="164"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1" fontId="2" fillId="26" borderId="1" xfId="0" applyNumberFormat="1" applyFont="1" applyFill="1" applyBorder="1" applyAlignment="1">
      <alignment horizontal="center" vertical="center"/>
    </xf>
    <xf numFmtId="1" fontId="2" fillId="27" borderId="1" xfId="0" applyNumberFormat="1" applyFont="1" applyFill="1" applyBorder="1" applyAlignment="1">
      <alignment horizontal="center" vertical="center"/>
    </xf>
    <xf numFmtId="1" fontId="98" fillId="13" borderId="1" xfId="1" applyNumberFormat="1" applyFont="1" applyFill="1" applyBorder="1" applyAlignment="1">
      <alignment horizontal="center" vertical="center" wrapText="1"/>
    </xf>
    <xf numFmtId="0" fontId="123"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49" fontId="2" fillId="0" borderId="29" xfId="0" applyNumberFormat="1" applyFont="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5" fontId="2" fillId="0" borderId="19" xfId="0" applyNumberFormat="1" applyFont="1" applyBorder="1" applyAlignment="1">
      <alignment horizontal="center" vertical="center"/>
    </xf>
    <xf numFmtId="167" fontId="2" fillId="0" borderId="1" xfId="0" applyNumberFormat="1" applyFont="1" applyBorder="1" applyAlignment="1">
      <alignment horizontal="center" vertical="center"/>
    </xf>
    <xf numFmtId="2" fontId="2" fillId="3" borderId="24" xfId="0" applyNumberFormat="1" applyFont="1" applyFill="1" applyBorder="1" applyAlignment="1">
      <alignment horizontal="center" vertical="center"/>
    </xf>
    <xf numFmtId="164" fontId="83" fillId="8" borderId="23" xfId="1" applyNumberFormat="1" applyFont="1" applyFill="1" applyBorder="1" applyAlignment="1">
      <alignment horizontal="center" vertical="center" wrapText="1"/>
    </xf>
    <xf numFmtId="164" fontId="83" fillId="8" borderId="20" xfId="1" applyNumberFormat="1" applyFont="1" applyFill="1" applyBorder="1" applyAlignment="1">
      <alignment horizontal="center" vertical="center" wrapText="1"/>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6" fontId="2" fillId="0" borderId="29" xfId="0" applyNumberFormat="1" applyFont="1" applyBorder="1" applyAlignment="1">
      <alignment horizontal="center" vertical="center"/>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5" fontId="2" fillId="0" borderId="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2" fillId="0" borderId="29" xfId="0" applyNumberFormat="1" applyFont="1" applyBorder="1" applyAlignment="1">
      <alignment horizontal="center" vertical="center"/>
    </xf>
    <xf numFmtId="165" fontId="2" fillId="0" borderId="30"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41" xfId="0" applyNumberFormat="1" applyFont="1" applyBorder="1" applyAlignment="1">
      <alignment horizontal="center" vertical="center"/>
    </xf>
    <xf numFmtId="168" fontId="2" fillId="0" borderId="29" xfId="0" applyNumberFormat="1" applyFont="1" applyBorder="1" applyAlignment="1">
      <alignment horizontal="center" vertical="center"/>
    </xf>
    <xf numFmtId="168" fontId="2" fillId="0" borderId="30" xfId="0" applyNumberFormat="1" applyFont="1" applyBorder="1" applyAlignment="1">
      <alignment horizontal="center" vertical="center"/>
    </xf>
    <xf numFmtId="165" fontId="2" fillId="0" borderId="37" xfId="0" applyNumberFormat="1" applyFont="1" applyBorder="1" applyAlignment="1">
      <alignment horizontal="center" vertical="center"/>
    </xf>
    <xf numFmtId="165" fontId="2" fillId="0" borderId="38" xfId="0" applyNumberFormat="1" applyFont="1" applyBorder="1" applyAlignment="1">
      <alignment horizontal="center" vertical="center"/>
    </xf>
    <xf numFmtId="165" fontId="2" fillId="0" borderId="39" xfId="0" applyNumberFormat="1" applyFont="1" applyBorder="1" applyAlignment="1">
      <alignment horizontal="center" vertical="center"/>
    </xf>
    <xf numFmtId="49" fontId="2" fillId="0" borderId="1" xfId="0" applyNumberFormat="1" applyFont="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29" xfId="0" applyNumberFormat="1"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3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9"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30" xfId="0" applyFont="1" applyBorder="1" applyAlignment="1">
      <alignment horizontal="center" vertical="center" wrapText="1"/>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64" fontId="83" fillId="8" borderId="29" xfId="1" applyNumberFormat="1" applyFont="1" applyFill="1" applyBorder="1" applyAlignment="1">
      <alignment horizontal="center" vertical="center" wrapText="1"/>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164" fontId="2" fillId="0" borderId="24"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0"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12"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6" fontId="2" fillId="3" borderId="1" xfId="0" applyNumberFormat="1" applyFont="1" applyFill="1" applyBorder="1" applyAlignment="1">
      <alignment horizontal="center" vertical="center"/>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0" fontId="21" fillId="0" borderId="1" xfId="0" applyFont="1" applyFill="1" applyBorder="1" applyAlignment="1">
      <alignment horizontal="center" vertical="center"/>
    </xf>
    <xf numFmtId="164" fontId="64" fillId="0" borderId="1" xfId="0" applyNumberFormat="1" applyFont="1" applyBorder="1" applyAlignment="1">
      <alignment horizontal="center" vertical="center"/>
    </xf>
    <xf numFmtId="164" fontId="64" fillId="0" borderId="54" xfId="0" applyNumberFormat="1" applyFont="1" applyBorder="1" applyAlignment="1">
      <alignment horizontal="center" vertical="center"/>
    </xf>
    <xf numFmtId="164" fontId="64" fillId="0" borderId="24" xfId="0" applyNumberFormat="1" applyFont="1" applyBorder="1" applyAlignment="1">
      <alignment horizontal="center" vertical="center"/>
    </xf>
    <xf numFmtId="164" fontId="64" fillId="0" borderId="49" xfId="0" applyNumberFormat="1" applyFont="1" applyBorder="1" applyAlignment="1">
      <alignment horizontal="center" vertical="center"/>
    </xf>
    <xf numFmtId="164" fontId="34" fillId="10" borderId="53"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64" fontId="80" fillId="14" borderId="23" xfId="1" applyNumberFormat="1" applyFont="1" applyFill="1" applyBorder="1" applyAlignment="1">
      <alignment horizontal="center" vertical="center" wrapText="1"/>
    </xf>
    <xf numFmtId="164" fontId="80" fillId="14" borderId="22" xfId="1" applyNumberFormat="1" applyFont="1" applyFill="1" applyBorder="1" applyAlignment="1">
      <alignment horizontal="center" vertical="center" wrapText="1"/>
    </xf>
    <xf numFmtId="164" fontId="80" fillId="14" borderId="20" xfId="1" applyNumberFormat="1" applyFont="1" applyFill="1" applyBorder="1" applyAlignment="1">
      <alignment horizontal="center" vertical="center" wrapText="1"/>
    </xf>
    <xf numFmtId="164" fontId="80" fillId="14" borderId="18" xfId="1" applyNumberFormat="1" applyFont="1" applyFill="1" applyBorder="1" applyAlignment="1">
      <alignment horizontal="center" vertical="center" wrapText="1"/>
    </xf>
    <xf numFmtId="164" fontId="80" fillId="14" borderId="0" xfId="1" applyNumberFormat="1" applyFont="1" applyFill="1" applyBorder="1" applyAlignment="1">
      <alignment horizontal="center" vertical="center" wrapText="1"/>
    </xf>
    <xf numFmtId="164" fontId="80" fillId="14" borderId="36" xfId="1" applyNumberFormat="1" applyFont="1" applyFill="1" applyBorder="1" applyAlignment="1">
      <alignment horizontal="center" vertical="center" wrapText="1"/>
    </xf>
    <xf numFmtId="164" fontId="80" fillId="14" borderId="40" xfId="1" applyNumberFormat="1" applyFont="1" applyFill="1" applyBorder="1" applyAlignment="1">
      <alignment horizontal="center" vertical="center" wrapText="1"/>
    </xf>
    <xf numFmtId="164" fontId="80" fillId="14" borderId="12" xfId="1" applyNumberFormat="1" applyFont="1" applyFill="1" applyBorder="1" applyAlignment="1">
      <alignment horizontal="center" vertical="center" wrapText="1"/>
    </xf>
    <xf numFmtId="164" fontId="80" fillId="14" borderId="31" xfId="1"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2" fillId="0" borderId="1" xfId="0" applyNumberFormat="1" applyFont="1" applyBorder="1" applyAlignment="1">
      <alignment horizontal="center" vertical="center"/>
    </xf>
    <xf numFmtId="164" fontId="2" fillId="0" borderId="54" xfId="0" applyNumberFormat="1" applyFont="1" applyBorder="1" applyAlignment="1">
      <alignment horizontal="center" vertical="center"/>
    </xf>
    <xf numFmtId="164" fontId="2" fillId="0" borderId="24" xfId="0" applyNumberFormat="1" applyFont="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164" fontId="23" fillId="11" borderId="21"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167" fontId="2" fillId="3" borderId="24" xfId="0" applyNumberFormat="1" applyFont="1" applyFill="1" applyBorder="1" applyAlignment="1">
      <alignment horizontal="center" vertical="center"/>
    </xf>
    <xf numFmtId="164" fontId="62" fillId="0" borderId="1" xfId="0" applyNumberFormat="1" applyFont="1" applyBorder="1" applyAlignment="1">
      <alignment horizontal="center" vertical="center"/>
    </xf>
    <xf numFmtId="164" fontId="62" fillId="0" borderId="54" xfId="0" applyNumberFormat="1" applyFont="1" applyBorder="1" applyAlignment="1">
      <alignment horizontal="center" vertical="center"/>
    </xf>
    <xf numFmtId="164" fontId="62" fillId="0" borderId="24" xfId="0" applyNumberFormat="1" applyFont="1" applyBorder="1" applyAlignment="1">
      <alignment horizontal="center" vertical="center"/>
    </xf>
    <xf numFmtId="164" fontId="62" fillId="0" borderId="49" xfId="0" applyNumberFormat="1" applyFont="1" applyBorder="1" applyAlignment="1">
      <alignment horizontal="center" vertical="center"/>
    </xf>
    <xf numFmtId="2" fontId="2" fillId="3" borderId="19" xfId="0" applyNumberFormat="1" applyFont="1" applyFill="1" applyBorder="1" applyAlignment="1">
      <alignment horizontal="center" vertical="center"/>
    </xf>
    <xf numFmtId="165" fontId="71" fillId="0" borderId="23" xfId="0" applyNumberFormat="1" applyFont="1" applyBorder="1" applyAlignment="1">
      <alignment horizontal="center" vertical="center"/>
    </xf>
    <xf numFmtId="165" fontId="71" fillId="0" borderId="22" xfId="0" applyNumberFormat="1" applyFont="1" applyBorder="1" applyAlignment="1">
      <alignment horizontal="center" vertical="center"/>
    </xf>
    <xf numFmtId="165" fontId="71" fillId="0" borderId="20" xfId="0" applyNumberFormat="1" applyFont="1" applyBorder="1" applyAlignment="1">
      <alignment horizontal="center" vertical="center"/>
    </xf>
    <xf numFmtId="165" fontId="71" fillId="0" borderId="37" xfId="0" applyNumberFormat="1" applyFont="1" applyBorder="1" applyAlignment="1">
      <alignment horizontal="center" vertical="center"/>
    </xf>
    <xf numFmtId="165" fontId="71" fillId="0" borderId="38" xfId="0" applyNumberFormat="1" applyFont="1" applyBorder="1" applyAlignment="1">
      <alignment horizontal="center" vertical="center"/>
    </xf>
    <xf numFmtId="165" fontId="71" fillId="0" borderId="39" xfId="0" applyNumberFormat="1" applyFont="1" applyBorder="1" applyAlignment="1">
      <alignment horizontal="center" vertical="center"/>
    </xf>
    <xf numFmtId="0" fontId="4" fillId="6" borderId="22" xfId="0" applyFont="1" applyFill="1" applyBorder="1" applyAlignment="1">
      <alignment horizontal="center" vertical="center"/>
    </xf>
    <xf numFmtId="0" fontId="4" fillId="6" borderId="0" xfId="0" applyFont="1" applyFill="1" applyBorder="1" applyAlignment="1">
      <alignment horizontal="center" vertical="center"/>
    </xf>
    <xf numFmtId="165" fontId="71" fillId="0" borderId="1"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8" fontId="83" fillId="8" borderId="30" xfId="1" applyNumberFormat="1" applyFont="1" applyFill="1" applyBorder="1" applyAlignment="1">
      <alignment horizontal="center" vertical="center" wrapText="1"/>
    </xf>
    <xf numFmtId="168" fontId="83" fillId="8" borderId="37" xfId="1" applyNumberFormat="1" applyFont="1" applyFill="1" applyBorder="1" applyAlignment="1">
      <alignment horizontal="center" vertical="center" wrapText="1"/>
    </xf>
    <xf numFmtId="168" fontId="83" fillId="8" borderId="39" xfId="1" applyNumberFormat="1" applyFont="1" applyFill="1" applyBorder="1" applyAlignment="1">
      <alignment horizontal="center" vertical="center" wrapText="1"/>
    </xf>
    <xf numFmtId="167" fontId="2" fillId="3" borderId="34" xfId="0" applyNumberFormat="1" applyFont="1" applyFill="1" applyBorder="1" applyAlignment="1">
      <alignment horizontal="center" vertical="center"/>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4" fontId="118" fillId="14" borderId="37" xfId="1" applyNumberFormat="1" applyFont="1" applyFill="1" applyBorder="1" applyAlignment="1">
      <alignment horizontal="center" vertical="center" wrapText="1"/>
    </xf>
    <xf numFmtId="164" fontId="118" fillId="14" borderId="39" xfId="1" applyNumberFormat="1" applyFont="1" applyFill="1" applyBorder="1" applyAlignment="1">
      <alignment horizontal="center" vertical="center" wrapText="1"/>
    </xf>
    <xf numFmtId="164" fontId="118" fillId="14" borderId="41" xfId="1" applyNumberFormat="1" applyFont="1" applyFill="1" applyBorder="1" applyAlignment="1">
      <alignment horizontal="center" vertical="center" wrapText="1"/>
    </xf>
    <xf numFmtId="164" fontId="118" fillId="14" borderId="30" xfId="1" applyNumberFormat="1"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118" fillId="14" borderId="1" xfId="1" applyNumberFormat="1" applyFont="1" applyFill="1" applyBorder="1" applyAlignment="1">
      <alignment horizontal="center" vertical="center" wrapText="1"/>
    </xf>
    <xf numFmtId="168" fontId="2" fillId="0" borderId="1" xfId="0" applyNumberFormat="1" applyFont="1" applyBorder="1" applyAlignment="1">
      <alignment horizontal="center" vertical="center"/>
    </xf>
    <xf numFmtId="166" fontId="2" fillId="0" borderId="1" xfId="0" applyNumberFormat="1" applyFont="1" applyBorder="1" applyAlignment="1">
      <alignment horizontal="center" vertical="center"/>
    </xf>
    <xf numFmtId="168" fontId="2" fillId="0" borderId="19" xfId="0" applyNumberFormat="1" applyFont="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5" fontId="71" fillId="0" borderId="18" xfId="0" applyNumberFormat="1" applyFont="1" applyBorder="1" applyAlignment="1">
      <alignment horizontal="center" vertical="center"/>
    </xf>
    <xf numFmtId="165" fontId="71" fillId="0" borderId="0" xfId="0" applyNumberFormat="1" applyFont="1" applyBorder="1" applyAlignment="1">
      <alignment horizontal="center" vertical="center"/>
    </xf>
    <xf numFmtId="165" fontId="71" fillId="0" borderId="36" xfId="0" applyNumberFormat="1" applyFont="1" applyBorder="1" applyAlignment="1">
      <alignment horizontal="center" vertical="center"/>
    </xf>
    <xf numFmtId="168" fontId="2" fillId="0" borderId="37" xfId="0" applyNumberFormat="1" applyFont="1" applyBorder="1" applyAlignment="1">
      <alignment horizontal="center" vertical="center"/>
    </xf>
    <xf numFmtId="168" fontId="2" fillId="0" borderId="38" xfId="0" applyNumberFormat="1" applyFont="1" applyBorder="1" applyAlignment="1">
      <alignment horizontal="center" vertical="center"/>
    </xf>
    <xf numFmtId="168" fontId="2" fillId="0" borderId="39" xfId="0" applyNumberFormat="1" applyFont="1" applyBorder="1" applyAlignment="1">
      <alignment horizontal="center" vertical="center"/>
    </xf>
    <xf numFmtId="165" fontId="71" fillId="0" borderId="2" xfId="0" applyNumberFormat="1" applyFont="1" applyBorder="1" applyAlignment="1">
      <alignment horizontal="center" vertical="center"/>
    </xf>
    <xf numFmtId="164" fontId="83" fillId="8" borderId="37" xfId="1" applyNumberFormat="1" applyFont="1" applyFill="1" applyBorder="1" applyAlignment="1">
      <alignment horizontal="center" vertical="center" wrapText="1"/>
    </xf>
    <xf numFmtId="164" fontId="83" fillId="8" borderId="39"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8" fontId="83" fillId="8" borderId="42" xfId="1" applyNumberFormat="1" applyFont="1" applyFill="1" applyBorder="1" applyAlignment="1">
      <alignment horizontal="center" vertical="center" wrapText="1"/>
    </xf>
    <xf numFmtId="168" fontId="83" fillId="8" borderId="33" xfId="1" applyNumberFormat="1" applyFont="1" applyFill="1" applyBorder="1" applyAlignment="1">
      <alignment horizontal="center" vertical="center" wrapText="1"/>
    </xf>
    <xf numFmtId="166" fontId="2" fillId="3" borderId="24" xfId="0" applyNumberFormat="1" applyFont="1" applyFill="1" applyBorder="1" applyAlignment="1">
      <alignment horizontal="center" vertical="center"/>
    </xf>
    <xf numFmtId="168" fontId="2" fillId="3" borderId="1" xfId="0" applyNumberFormat="1" applyFont="1" applyFill="1" applyBorder="1" applyAlignment="1">
      <alignment horizontal="center" vertical="center"/>
    </xf>
    <xf numFmtId="164" fontId="83" fillId="8" borderId="19" xfId="1" applyNumberFormat="1" applyFont="1" applyFill="1" applyBorder="1" applyAlignment="1">
      <alignment horizontal="center" vertical="center" wrapText="1"/>
    </xf>
    <xf numFmtId="166" fontId="2" fillId="3" borderId="37" xfId="0" applyNumberFormat="1" applyFont="1" applyFill="1" applyBorder="1" applyAlignment="1">
      <alignment horizontal="center" vertical="center"/>
    </xf>
    <xf numFmtId="166" fontId="2" fillId="3" borderId="39" xfId="0" applyNumberFormat="1" applyFont="1" applyFill="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0" fontId="4" fillId="6" borderId="18"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26" fillId="0" borderId="11"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26" fillId="0" borderId="10" xfId="0" applyNumberFormat="1" applyFont="1" applyBorder="1" applyAlignment="1">
      <alignment horizontal="center" vertical="center"/>
    </xf>
    <xf numFmtId="164" fontId="23" fillId="8" borderId="50" xfId="1" applyNumberFormat="1" applyFont="1" applyFill="1" applyBorder="1" applyAlignment="1">
      <alignment horizontal="center" vertical="center" wrapText="1"/>
    </xf>
    <xf numFmtId="164" fontId="65" fillId="12" borderId="0"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xf>
    <xf numFmtId="164" fontId="2" fillId="0" borderId="37" xfId="0" applyNumberFormat="1" applyFont="1" applyBorder="1" applyAlignment="1">
      <alignment horizontal="center" vertical="center"/>
    </xf>
    <xf numFmtId="164" fontId="2" fillId="0" borderId="38" xfId="0" applyNumberFormat="1" applyFont="1" applyBorder="1" applyAlignment="1">
      <alignment horizontal="center" vertical="center"/>
    </xf>
    <xf numFmtId="164" fontId="2" fillId="0" borderId="39" xfId="0" applyNumberFormat="1" applyFont="1" applyBorder="1" applyAlignment="1">
      <alignment horizontal="center" vertical="center"/>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15" xfId="0" applyNumberFormat="1" applyFont="1" applyBorder="1" applyAlignment="1">
      <alignment horizontal="center" vertical="center"/>
    </xf>
    <xf numFmtId="0" fontId="4" fillId="6" borderId="23"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4" fontId="98" fillId="10" borderId="41" xfId="1" applyNumberFormat="1" applyFont="1" applyFill="1" applyBorder="1" applyAlignment="1">
      <alignment horizontal="center" vertical="center" wrapText="1"/>
    </xf>
    <xf numFmtId="164" fontId="98" fillId="10" borderId="29" xfId="1" applyNumberFormat="1" applyFont="1" applyFill="1" applyBorder="1" applyAlignment="1">
      <alignment horizontal="center" vertical="center" wrapText="1"/>
    </xf>
    <xf numFmtId="164" fontId="98" fillId="10" borderId="30" xfId="1" applyNumberFormat="1" applyFont="1" applyFill="1" applyBorder="1" applyAlignment="1">
      <alignment horizontal="center" vertical="center" wrapText="1"/>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98" fillId="10" borderId="1"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2" fontId="98" fillId="10" borderId="1"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169" fontId="1" fillId="0" borderId="1" xfId="0" applyNumberFormat="1" applyFont="1" applyBorder="1" applyAlignment="1">
      <alignment horizontal="center" vertical="center"/>
    </xf>
    <xf numFmtId="167" fontId="2" fillId="3" borderId="41" xfId="0" applyNumberFormat="1"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43" xfId="1" applyNumberFormat="1" applyFont="1" applyFill="1" applyBorder="1" applyAlignment="1">
      <alignment horizontal="center" vertical="center" wrapText="1"/>
    </xf>
    <xf numFmtId="0" fontId="4" fillId="22" borderId="33" xfId="0" applyFont="1" applyFill="1" applyBorder="1" applyAlignment="1">
      <alignment horizontal="center" vertical="center"/>
    </xf>
    <xf numFmtId="164" fontId="51" fillId="0" borderId="23"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31" xfId="1"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83" fillId="8" borderId="33" xfId="1" applyNumberFormat="1" applyFont="1" applyFill="1" applyBorder="1" applyAlignment="1">
      <alignment horizontal="center" vertical="center" wrapText="1"/>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62" fillId="0" borderId="23" xfId="0" applyNumberFormat="1" applyFont="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70" fontId="2" fillId="0" borderId="1" xfId="0" applyNumberFormat="1" applyFont="1" applyBorder="1" applyAlignment="1">
      <alignment horizontal="center" vertical="center"/>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4" fontId="23" fillId="8" borderId="29"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2" fontId="83" fillId="8" borderId="42" xfId="1" applyNumberFormat="1" applyFont="1" applyFill="1" applyBorder="1" applyAlignment="1">
      <alignment horizontal="center" vertical="center" wrapText="1"/>
    </xf>
    <xf numFmtId="2" fontId="83" fillId="8" borderId="33" xfId="1" applyNumberFormat="1" applyFont="1" applyFill="1" applyBorder="1" applyAlignment="1">
      <alignment horizontal="center" vertical="center" wrapText="1"/>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4" fontId="2" fillId="0" borderId="3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27"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2" fillId="0" borderId="9" xfId="0" applyNumberFormat="1" applyFont="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0" fontId="2" fillId="6" borderId="22"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8" xfId="0" applyFont="1" applyFill="1" applyBorder="1" applyAlignment="1">
      <alignment horizontal="center" vertical="center"/>
    </xf>
    <xf numFmtId="164" fontId="2" fillId="3" borderId="24" xfId="0" applyNumberFormat="1" applyFont="1" applyFill="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6" fontId="83" fillId="8" borderId="1" xfId="1" applyNumberFormat="1" applyFont="1" applyFill="1" applyBorder="1" applyAlignment="1">
      <alignment horizontal="center" vertical="center" wrapText="1"/>
    </xf>
    <xf numFmtId="168" fontId="83" fillId="8" borderId="1"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6"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2" fontId="2" fillId="0" borderId="1" xfId="0" applyNumberFormat="1" applyFont="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18" fillId="0" borderId="1" xfId="0" applyNumberFormat="1" applyFont="1" applyBorder="1" applyAlignment="1">
      <alignment horizontal="center" vertical="center" wrapText="1"/>
    </xf>
    <xf numFmtId="164" fontId="18" fillId="0" borderId="41" xfId="0" applyNumberFormat="1" applyFont="1" applyBorder="1" applyAlignment="1">
      <alignment horizontal="center" vertical="center" wrapText="1"/>
    </xf>
    <xf numFmtId="164" fontId="18" fillId="0" borderId="24" xfId="0" applyNumberFormat="1" applyFont="1" applyBorder="1" applyAlignment="1">
      <alignment horizontal="center" vertical="center" wrapText="1"/>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0" fontId="2" fillId="6" borderId="1" xfId="0" applyFont="1" applyFill="1" applyBorder="1" applyAlignment="1">
      <alignment horizontal="center" vertical="center"/>
    </xf>
    <xf numFmtId="2" fontId="2" fillId="2" borderId="30" xfId="0"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164" fontId="1" fillId="0" borderId="1" xfId="0" applyNumberFormat="1" applyFont="1" applyBorder="1" applyAlignment="1">
      <alignment horizontal="center"/>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66" fontId="83" fillId="8" borderId="42" xfId="1" applyNumberFormat="1" applyFont="1" applyFill="1" applyBorder="1" applyAlignment="1">
      <alignment horizontal="center" vertical="center" wrapText="1"/>
    </xf>
    <xf numFmtId="166" fontId="83" fillId="8" borderId="33"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2" fontId="83" fillId="8" borderId="1" xfId="1" applyNumberFormat="1" applyFont="1" applyFill="1" applyBorder="1" applyAlignment="1">
      <alignment horizontal="center" vertical="center" wrapText="1"/>
    </xf>
    <xf numFmtId="168" fontId="2" fillId="3" borderId="24" xfId="0" applyNumberFormat="1" applyFont="1" applyFill="1" applyBorder="1" applyAlignment="1">
      <alignment horizontal="center" vertical="center"/>
    </xf>
    <xf numFmtId="164" fontId="19" fillId="0" borderId="27"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9" fillId="0" borderId="10" xfId="0" applyNumberFormat="1" applyFont="1" applyBorder="1" applyAlignment="1">
      <alignment horizontal="center" vertical="center"/>
    </xf>
    <xf numFmtId="0" fontId="69" fillId="3" borderId="23" xfId="1" applyFont="1" applyFill="1" applyBorder="1" applyAlignment="1">
      <alignment horizontal="center" vertical="center"/>
    </xf>
    <xf numFmtId="0" fontId="69" fillId="3" borderId="20" xfId="1" applyFont="1" applyFill="1" applyBorder="1" applyAlignment="1">
      <alignment horizontal="center" vertical="center"/>
    </xf>
    <xf numFmtId="0" fontId="69" fillId="3" borderId="37" xfId="1" applyFont="1" applyFill="1" applyBorder="1" applyAlignment="1">
      <alignment horizontal="center" vertical="center"/>
    </xf>
    <xf numFmtId="0" fontId="69" fillId="3" borderId="39" xfId="1" applyFont="1" applyFill="1" applyBorder="1" applyAlignment="1">
      <alignment horizontal="center" vertical="center"/>
    </xf>
    <xf numFmtId="1" fontId="2" fillId="0" borderId="1" xfId="0" applyNumberFormat="1" applyFont="1" applyBorder="1" applyAlignment="1">
      <alignment horizontal="center" vertical="center" wrapText="1"/>
    </xf>
    <xf numFmtId="164" fontId="34" fillId="13" borderId="1" xfId="1"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2" xfId="0" applyFont="1" applyFill="1" applyBorder="1" applyAlignment="1">
      <alignment horizontal="center" vertical="center"/>
    </xf>
    <xf numFmtId="165" fontId="2" fillId="3" borderId="1" xfId="0" applyNumberFormat="1" applyFont="1" applyFill="1" applyBorder="1" applyAlignment="1">
      <alignment horizontal="center" vertical="center"/>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2" fontId="2" fillId="0" borderId="41" xfId="0" applyNumberFormat="1" applyFont="1" applyBorder="1" applyAlignment="1">
      <alignment horizontal="center" vertical="center"/>
    </xf>
    <xf numFmtId="164" fontId="74" fillId="20" borderId="1" xfId="0" applyNumberFormat="1" applyFont="1" applyFill="1" applyBorder="1" applyAlignment="1">
      <alignment horizontal="center" vertical="center"/>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xf>
    <xf numFmtId="164" fontId="2" fillId="0" borderId="11"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18" fillId="0" borderId="27"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34" fillId="14" borderId="43" xfId="1" applyNumberFormat="1" applyFont="1" applyFill="1" applyBorder="1" applyAlignment="1">
      <alignment horizontal="center" vertical="center" wrapText="1"/>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2" fontId="83" fillId="8" borderId="41" xfId="1" applyNumberFormat="1" applyFont="1" applyFill="1" applyBorder="1" applyAlignment="1">
      <alignment horizontal="center" vertical="center" wrapText="1"/>
    </xf>
    <xf numFmtId="2" fontId="83" fillId="8" borderId="30"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164" fontId="2" fillId="0" borderId="42" xfId="0"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0" fontId="69" fillId="3" borderId="22" xfId="1" applyFont="1" applyFill="1" applyBorder="1" applyAlignment="1">
      <alignment horizontal="center" vertical="center"/>
    </xf>
    <xf numFmtId="0" fontId="69" fillId="3" borderId="40" xfId="1" applyFont="1" applyFill="1" applyBorder="1" applyAlignment="1">
      <alignment horizontal="center" vertical="center"/>
    </xf>
    <xf numFmtId="0" fontId="69" fillId="3" borderId="12" xfId="1" applyFont="1" applyFill="1" applyBorder="1" applyAlignment="1">
      <alignment horizontal="center" vertical="center"/>
    </xf>
    <xf numFmtId="0" fontId="69" fillId="3" borderId="31" xfId="1" applyFont="1" applyFill="1" applyBorder="1" applyAlignment="1">
      <alignment horizontal="center" vertical="center"/>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62" fillId="0" borderId="22"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40"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34" fillId="10" borderId="42" xfId="1" applyNumberFormat="1" applyFont="1" applyFill="1" applyBorder="1" applyAlignment="1">
      <alignment horizontal="center" vertical="center" wrapText="1"/>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6" fontId="2" fillId="3" borderId="19" xfId="0" applyNumberFormat="1" applyFont="1" applyFill="1" applyBorder="1" applyAlignment="1">
      <alignment horizontal="center" vertical="center"/>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64" fontId="2" fillId="3" borderId="29"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4" fillId="6" borderId="33" xfId="0" applyFont="1" applyFill="1" applyBorder="1" applyAlignment="1">
      <alignment horizontal="center" vertical="center"/>
    </xf>
    <xf numFmtId="164" fontId="51" fillId="0" borderId="22" xfId="1" applyNumberFormat="1" applyFont="1" applyBorder="1" applyAlignment="1">
      <alignment horizontal="center" vertical="center"/>
    </xf>
    <xf numFmtId="164" fontId="51" fillId="0" borderId="12" xfId="1" applyNumberFormat="1" applyFont="1" applyBorder="1" applyAlignment="1">
      <alignment horizontal="center" vertic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164" fontId="2" fillId="0" borderId="36" xfId="0" applyNumberFormat="1" applyFont="1" applyBorder="1" applyAlignment="1">
      <alignment horizontal="center" vertical="center"/>
    </xf>
    <xf numFmtId="1" fontId="101" fillId="3" borderId="23" xfId="0" applyNumberFormat="1" applyFont="1" applyFill="1" applyBorder="1" applyAlignment="1">
      <alignment horizontal="center" vertical="center"/>
    </xf>
    <xf numFmtId="1" fontId="101" fillId="3" borderId="20" xfId="0" applyNumberFormat="1" applyFont="1" applyFill="1" applyBorder="1" applyAlignment="1">
      <alignment horizontal="center" vertical="center"/>
    </xf>
    <xf numFmtId="1" fontId="101" fillId="3" borderId="37" xfId="0" applyNumberFormat="1" applyFont="1" applyFill="1" applyBorder="1" applyAlignment="1">
      <alignment horizontal="center" vertical="center"/>
    </xf>
    <xf numFmtId="1" fontId="101" fillId="3" borderId="39" xfId="0" applyNumberFormat="1" applyFont="1" applyFill="1" applyBorder="1" applyAlignment="1">
      <alignment horizontal="center" vertical="center"/>
    </xf>
    <xf numFmtId="164" fontId="2" fillId="0" borderId="31" xfId="0"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 fontId="98" fillId="10" borderId="1" xfId="1" applyNumberFormat="1" applyFont="1" applyFill="1" applyBorder="1" applyAlignment="1">
      <alignment horizontal="center" vertical="center" wrapText="1"/>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18" fillId="0" borderId="23" xfId="0"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4" fontId="65" fillId="12" borderId="2" xfId="1" applyNumberFormat="1" applyFont="1" applyFill="1" applyBorder="1" applyAlignment="1">
      <alignment horizontal="center" vertical="center" wrapText="1"/>
    </xf>
    <xf numFmtId="164" fontId="65" fillId="12" borderId="19" xfId="1" applyNumberFormat="1" applyFont="1" applyFill="1" applyBorder="1" applyAlignment="1">
      <alignment horizontal="center" vertical="center" wrapText="1"/>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18" fillId="20" borderId="41" xfId="0" applyNumberFormat="1" applyFont="1" applyFill="1" applyBorder="1" applyAlignment="1">
      <alignment horizontal="center" vertical="center" wrapText="1"/>
    </xf>
    <xf numFmtId="1" fontId="83" fillId="8" borderId="42" xfId="1" applyNumberFormat="1" applyFont="1" applyFill="1" applyBorder="1" applyAlignment="1">
      <alignment horizontal="center" vertical="center" wrapText="1"/>
    </xf>
    <xf numFmtId="1" fontId="83" fillId="8" borderId="33" xfId="1" applyNumberFormat="1" applyFont="1" applyFill="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164" fontId="19" fillId="0" borderId="13"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 fillId="0" borderId="14"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164" fontId="18" fillId="0" borderId="20" xfId="0" applyNumberFormat="1" applyFont="1" applyBorder="1" applyAlignment="1">
      <alignment horizontal="center" vertical="center"/>
    </xf>
    <xf numFmtId="164" fontId="18" fillId="0" borderId="37" xfId="0" applyNumberFormat="1" applyFont="1" applyBorder="1" applyAlignment="1">
      <alignment horizontal="center" vertical="center"/>
    </xf>
    <xf numFmtId="164" fontId="18" fillId="0" borderId="38" xfId="0" applyNumberFormat="1" applyFont="1" applyBorder="1" applyAlignment="1">
      <alignment horizontal="center" vertical="center"/>
    </xf>
    <xf numFmtId="164" fontId="18" fillId="0" borderId="39" xfId="0" applyNumberFormat="1" applyFont="1" applyBorder="1" applyAlignment="1">
      <alignment horizontal="center" vertical="center"/>
    </xf>
    <xf numFmtId="164" fontId="1" fillId="0" borderId="2" xfId="0" applyNumberFormat="1" applyFont="1" applyBorder="1" applyAlignment="1">
      <alignment horizontal="center"/>
    </xf>
    <xf numFmtId="1" fontId="2" fillId="0" borderId="2" xfId="0" applyNumberFormat="1" applyFont="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4" fontId="32" fillId="0" borderId="23" xfId="1" applyNumberFormat="1" applyFont="1" applyBorder="1" applyAlignment="1">
      <alignment horizontal="center" vertical="center"/>
    </xf>
    <xf numFmtId="164" fontId="32" fillId="0" borderId="22" xfId="1" applyNumberFormat="1" applyFont="1" applyBorder="1" applyAlignment="1">
      <alignment horizontal="center" vertical="center"/>
    </xf>
    <xf numFmtId="164" fontId="32" fillId="0" borderId="32" xfId="1" applyNumberFormat="1" applyFont="1" applyBorder="1" applyAlignment="1">
      <alignment horizontal="center" vertical="center"/>
    </xf>
    <xf numFmtId="164" fontId="32" fillId="0" borderId="40" xfId="1" applyNumberFormat="1" applyFont="1" applyBorder="1" applyAlignment="1">
      <alignment horizontal="center" vertical="center"/>
    </xf>
    <xf numFmtId="164" fontId="32" fillId="0" borderId="12" xfId="1" applyNumberFormat="1" applyFont="1" applyBorder="1" applyAlignment="1">
      <alignment horizontal="center" vertical="center"/>
    </xf>
    <xf numFmtId="164" fontId="32" fillId="0" borderId="10" xfId="1" applyNumberFormat="1" applyFont="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98" fillId="14" borderId="41" xfId="1" applyNumberFormat="1" applyFont="1" applyFill="1" applyBorder="1" applyAlignment="1">
      <alignment horizontal="center" vertical="center" wrapText="1"/>
    </xf>
    <xf numFmtId="164" fontId="98" fillId="14" borderId="30" xfId="1" applyNumberFormat="1" applyFont="1" applyFill="1" applyBorder="1" applyAlignment="1">
      <alignment horizontal="center" vertical="center" wrapText="1"/>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0" fontId="4" fillId="6" borderId="38" xfId="0" applyFont="1" applyFill="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2" fontId="2" fillId="3" borderId="34" xfId="0" applyNumberFormat="1"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23" fillId="11" borderId="56" xfId="1"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34" fillId="14" borderId="2" xfId="1" applyNumberFormat="1" applyFont="1" applyFill="1" applyBorder="1" applyAlignment="1">
      <alignment horizontal="center" vertical="center" wrapText="1"/>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6" fontId="2" fillId="3" borderId="69" xfId="0" applyNumberFormat="1" applyFont="1" applyFill="1" applyBorder="1" applyAlignment="1">
      <alignment horizontal="center" vertical="center"/>
    </xf>
    <xf numFmtId="0" fontId="4" fillId="6" borderId="19" xfId="0" applyFont="1" applyFill="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5" fontId="2" fillId="3" borderId="69" xfId="0" applyNumberFormat="1" applyFont="1" applyFill="1" applyBorder="1" applyAlignment="1">
      <alignment horizontal="center" vertical="center"/>
    </xf>
    <xf numFmtId="166" fontId="83" fillId="8" borderId="41" xfId="1" applyNumberFormat="1" applyFont="1" applyFill="1" applyBorder="1" applyAlignment="1">
      <alignment horizontal="center" vertical="center" wrapText="1"/>
    </xf>
    <xf numFmtId="166" fontId="83" fillId="8" borderId="29" xfId="1" applyNumberFormat="1" applyFont="1" applyFill="1" applyBorder="1" applyAlignment="1">
      <alignment horizontal="center" vertical="center" wrapText="1"/>
    </xf>
    <xf numFmtId="166" fontId="83" fillId="8" borderId="30" xfId="1" applyNumberFormat="1" applyFont="1" applyFill="1" applyBorder="1" applyAlignment="1">
      <alignment horizontal="center" vertical="center" wrapText="1"/>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23" fillId="11" borderId="19" xfId="1" applyNumberFormat="1" applyFont="1" applyFill="1" applyBorder="1" applyAlignment="1">
      <alignment horizontal="center" vertical="center" wrapText="1"/>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74" fillId="3" borderId="1" xfId="0" applyNumberFormat="1" applyFont="1" applyFill="1" applyBorder="1" applyAlignment="1">
      <alignment horizontal="center" vertical="center"/>
    </xf>
    <xf numFmtId="164" fontId="65" fillId="12" borderId="1" xfId="1" applyNumberFormat="1" applyFont="1" applyFill="1" applyBorder="1" applyAlignment="1">
      <alignment horizontal="center" vertical="center" wrapText="1"/>
    </xf>
    <xf numFmtId="164" fontId="65" fillId="12" borderId="41" xfId="1" applyNumberFormat="1" applyFont="1" applyFill="1" applyBorder="1" applyAlignment="1">
      <alignment horizontal="center" vertical="center" wrapText="1"/>
    </xf>
    <xf numFmtId="164" fontId="45" fillId="0" borderId="13" xfId="0" applyNumberFormat="1" applyFont="1" applyBorder="1" applyAlignment="1">
      <alignment horizontal="center" vertical="center"/>
    </xf>
    <xf numFmtId="164" fontId="45" fillId="0" borderId="11"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115" fillId="8" borderId="42" xfId="1" applyNumberFormat="1" applyFont="1" applyFill="1" applyBorder="1" applyAlignment="1">
      <alignment horizontal="center" vertical="center" wrapText="1"/>
    </xf>
    <xf numFmtId="164" fontId="115" fillId="8" borderId="55" xfId="1" applyNumberFormat="1" applyFont="1" applyFill="1" applyBorder="1" applyAlignment="1">
      <alignment horizontal="center" vertical="center" wrapText="1"/>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 fontId="83" fillId="8" borderId="41" xfId="1" applyNumberFormat="1" applyFont="1" applyFill="1" applyBorder="1" applyAlignment="1">
      <alignment horizontal="center" vertical="center" wrapText="1"/>
    </xf>
    <xf numFmtId="1" fontId="83" fillId="8" borderId="29"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0" fontId="21" fillId="0" borderId="37" xfId="0" applyFont="1" applyFill="1" applyBorder="1" applyAlignment="1">
      <alignment horizontal="center" vertical="center"/>
    </xf>
    <xf numFmtId="164" fontId="62" fillId="0" borderId="20"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31" xfId="0"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167" fontId="83" fillId="8" borderId="30" xfId="1" applyNumberFormat="1" applyFont="1" applyFill="1" applyBorder="1" applyAlignment="1">
      <alignment horizontal="center" vertical="center" wrapText="1"/>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64" fontId="34" fillId="10" borderId="29"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65" fillId="12" borderId="14" xfId="1" applyNumberFormat="1" applyFont="1" applyFill="1" applyBorder="1" applyAlignment="1">
      <alignment horizontal="center" vertical="center" wrapText="1"/>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64" fontId="29" fillId="0" borderId="23"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83" fillId="8" borderId="24" xfId="1" applyNumberFormat="1" applyFont="1" applyFill="1" applyBorder="1" applyAlignment="1">
      <alignment horizontal="center" vertical="center"/>
    </xf>
    <xf numFmtId="164" fontId="29" fillId="0" borderId="32" xfId="1" applyNumberFormat="1" applyFont="1" applyBorder="1" applyAlignment="1">
      <alignment horizontal="center" vertical="center"/>
    </xf>
    <xf numFmtId="164" fontId="29" fillId="0" borderId="10" xfId="1" applyNumberFormat="1" applyFont="1" applyBorder="1" applyAlignment="1">
      <alignment horizontal="center" vertical="center"/>
    </xf>
    <xf numFmtId="0" fontId="4" fillId="22" borderId="41" xfId="0" applyFont="1" applyFill="1" applyBorder="1" applyAlignment="1">
      <alignment horizontal="center" vertical="center"/>
    </xf>
    <xf numFmtId="0" fontId="4" fillId="22" borderId="30" xfId="0" applyFont="1" applyFill="1" applyBorder="1" applyAlignment="1">
      <alignment horizontal="center" vertical="center"/>
    </xf>
    <xf numFmtId="164" fontId="29" fillId="0" borderId="37" xfId="1" applyNumberFormat="1" applyFont="1" applyBorder="1" applyAlignment="1">
      <alignment horizontal="center" vertical="center"/>
    </xf>
    <xf numFmtId="164" fontId="29" fillId="0" borderId="38" xfId="1" applyNumberFormat="1" applyFont="1" applyBorder="1" applyAlignment="1">
      <alignment horizontal="center" vertical="center"/>
    </xf>
    <xf numFmtId="164" fontId="29" fillId="0" borderId="39" xfId="1"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83" fillId="8" borderId="1" xfId="1"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0" fontId="2" fillId="0" borderId="1"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0" fontId="2" fillId="0" borderId="19" xfId="0" applyFont="1" applyBorder="1" applyAlignment="1">
      <alignment horizontal="center" vertical="center"/>
    </xf>
    <xf numFmtId="2" fontId="2" fillId="0" borderId="30" xfId="0" applyNumberFormat="1" applyFont="1" applyBorder="1" applyAlignment="1">
      <alignment horizontal="center" vertical="center"/>
    </xf>
    <xf numFmtId="164" fontId="76" fillId="0" borderId="1" xfId="0" applyNumberFormat="1" applyFont="1" applyBorder="1" applyAlignment="1">
      <alignment horizontal="center" vertical="center"/>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0" fontId="2" fillId="0" borderId="21" xfId="0" applyFont="1" applyBorder="1" applyAlignment="1">
      <alignment horizontal="center" vertical="center" wrapText="1"/>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50" fillId="0" borderId="2" xfId="1" applyNumberFormat="1" applyFont="1" applyBorder="1" applyAlignment="1">
      <alignment horizontal="center" vertical="center"/>
    </xf>
    <xf numFmtId="164" fontId="116" fillId="14" borderId="1" xfId="1" applyNumberFormat="1" applyFont="1" applyFill="1" applyBorder="1" applyAlignment="1">
      <alignment horizontal="center" vertical="center" wrapText="1"/>
    </xf>
    <xf numFmtId="164" fontId="34" fillId="24" borderId="41" xfId="1" applyNumberFormat="1" applyFont="1" applyFill="1" applyBorder="1" applyAlignment="1">
      <alignment horizontal="center" vertical="center" wrapText="1"/>
    </xf>
    <xf numFmtId="164" fontId="34" fillId="24" borderId="30" xfId="1" applyNumberFormat="1" applyFont="1" applyFill="1" applyBorder="1" applyAlignment="1">
      <alignment horizontal="center" vertical="center" wrapText="1"/>
    </xf>
    <xf numFmtId="164" fontId="117" fillId="20" borderId="41" xfId="0" applyNumberFormat="1" applyFont="1" applyFill="1" applyBorder="1" applyAlignment="1">
      <alignment horizontal="center" vertical="center"/>
    </xf>
    <xf numFmtId="164" fontId="117" fillId="20" borderId="29" xfId="0" applyNumberFormat="1" applyFont="1" applyFill="1" applyBorder="1" applyAlignment="1">
      <alignment horizontal="center" vertical="center"/>
    </xf>
    <xf numFmtId="164" fontId="117" fillId="20" borderId="30" xfId="0" applyNumberFormat="1" applyFont="1" applyFill="1" applyBorder="1" applyAlignment="1">
      <alignment horizontal="center" vertical="center"/>
    </xf>
    <xf numFmtId="164" fontId="117" fillId="20" borderId="37" xfId="0" applyNumberFormat="1" applyFont="1" applyFill="1" applyBorder="1" applyAlignment="1">
      <alignment horizontal="center" vertical="center"/>
    </xf>
    <xf numFmtId="164" fontId="117" fillId="20" borderId="38" xfId="0" applyNumberFormat="1" applyFont="1" applyFill="1" applyBorder="1" applyAlignment="1">
      <alignment horizontal="center" vertical="center"/>
    </xf>
    <xf numFmtId="0" fontId="21" fillId="0" borderId="19" xfId="0" applyFont="1" applyFill="1" applyBorder="1" applyAlignment="1">
      <alignment horizontal="center" vertical="center"/>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4" fontId="65" fillId="25" borderId="13" xfId="1" applyNumberFormat="1" applyFont="1" applyFill="1" applyBorder="1" applyAlignment="1">
      <alignment horizontal="center" vertical="center" wrapText="1"/>
    </xf>
    <xf numFmtId="164" fontId="65" fillId="25" borderId="11" xfId="1" applyNumberFormat="1" applyFont="1" applyFill="1" applyBorder="1" applyAlignment="1">
      <alignment horizontal="center" vertical="center" wrapText="1"/>
    </xf>
    <xf numFmtId="164" fontId="65" fillId="25" borderId="25" xfId="1" applyNumberFormat="1" applyFont="1" applyFill="1" applyBorder="1" applyAlignment="1">
      <alignment horizontal="center" vertical="center" wrapText="1"/>
    </xf>
    <xf numFmtId="164" fontId="65" fillId="25" borderId="15" xfId="1" applyNumberFormat="1" applyFont="1" applyFill="1" applyBorder="1" applyAlignment="1">
      <alignment horizontal="center" vertical="center" wrapText="1"/>
    </xf>
    <xf numFmtId="164" fontId="65" fillId="25" borderId="12" xfId="1" applyNumberFormat="1" applyFont="1" applyFill="1" applyBorder="1" applyAlignment="1">
      <alignment horizontal="center" vertical="center" wrapText="1"/>
    </xf>
    <xf numFmtId="164" fontId="65" fillId="25" borderId="31" xfId="1" applyNumberFormat="1" applyFont="1" applyFill="1" applyBorder="1" applyAlignment="1">
      <alignment horizontal="center" vertical="center" wrapText="1"/>
    </xf>
    <xf numFmtId="165" fontId="71" fillId="0" borderId="19" xfId="0" applyNumberFormat="1" applyFont="1" applyBorder="1" applyAlignment="1">
      <alignment horizontal="center" vertical="center"/>
    </xf>
    <xf numFmtId="165" fontId="30" fillId="0" borderId="19" xfId="0" applyNumberFormat="1" applyFont="1" applyBorder="1" applyAlignment="1">
      <alignment horizontal="center" vertical="center"/>
    </xf>
    <xf numFmtId="165" fontId="30" fillId="0" borderId="2" xfId="0" applyNumberFormat="1" applyFont="1" applyBorder="1" applyAlignment="1">
      <alignment horizontal="center" vertical="center"/>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98" fillId="14" borderId="29" xfId="1" applyNumberFormat="1" applyFont="1" applyFill="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34" fillId="10" borderId="15"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64" fontId="65" fillId="25" borderId="17" xfId="1" applyNumberFormat="1" applyFont="1" applyFill="1" applyBorder="1" applyAlignment="1">
      <alignment horizontal="center" vertical="center" wrapText="1"/>
    </xf>
    <xf numFmtId="164" fontId="65" fillId="25" borderId="16" xfId="1" applyNumberFormat="1" applyFont="1" applyFill="1" applyBorder="1" applyAlignment="1">
      <alignment horizontal="center" vertical="center" wrapText="1"/>
    </xf>
    <xf numFmtId="164" fontId="65" fillId="25"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34" xfId="1" applyNumberFormat="1" applyFont="1" applyFill="1" applyBorder="1" applyAlignment="1">
      <alignment horizontal="center" vertical="center" wrapText="1"/>
    </xf>
    <xf numFmtId="164" fontId="34" fillId="14" borderId="36"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23" fillId="8" borderId="37" xfId="1" applyNumberFormat="1" applyFont="1" applyFill="1" applyBorder="1" applyAlignment="1">
      <alignment horizontal="center" vertical="center" wrapText="1"/>
    </xf>
    <xf numFmtId="164" fontId="23" fillId="8" borderId="58" xfId="1" applyNumberFormat="1" applyFont="1" applyFill="1" applyBorder="1" applyAlignment="1">
      <alignment horizontal="center" vertical="center" wrapText="1"/>
    </xf>
    <xf numFmtId="1" fontId="66" fillId="3" borderId="30" xfId="0" applyNumberFormat="1" applyFont="1" applyFill="1" applyBorder="1" applyAlignment="1">
      <alignment horizontal="center" vertical="center" wrapText="1"/>
    </xf>
    <xf numFmtId="1" fontId="66" fillId="3" borderId="37" xfId="0" applyNumberFormat="1" applyFont="1" applyFill="1" applyBorder="1" applyAlignment="1">
      <alignment horizontal="center" vertical="center" wrapText="1"/>
    </xf>
    <xf numFmtId="1" fontId="66" fillId="3" borderId="39" xfId="0" applyNumberFormat="1" applyFont="1" applyFill="1" applyBorder="1" applyAlignment="1">
      <alignment horizontal="center" vertical="center" wrapText="1"/>
    </xf>
    <xf numFmtId="1" fontId="2" fillId="3" borderId="34" xfId="0" applyNumberFormat="1" applyFont="1" applyFill="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64" fontId="26" fillId="0" borderId="1" xfId="0" applyNumberFormat="1" applyFont="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31" xfId="0" applyNumberFormat="1" applyFont="1" applyBorder="1" applyAlignment="1">
      <alignment horizontal="center" vertical="center" wrapText="1"/>
    </xf>
    <xf numFmtId="164" fontId="2" fillId="0" borderId="54" xfId="0" applyNumberFormat="1" applyFont="1" applyBorder="1" applyAlignment="1">
      <alignment horizontal="center" vertical="center" wrapText="1"/>
    </xf>
    <xf numFmtId="164" fontId="2" fillId="0" borderId="49" xfId="0" applyNumberFormat="1" applyFont="1" applyBorder="1" applyAlignment="1">
      <alignment horizontal="center" vertical="center" wrapText="1"/>
    </xf>
    <xf numFmtId="0" fontId="119" fillId="0" borderId="41" xfId="0" applyFont="1" applyFill="1" applyBorder="1" applyAlignment="1">
      <alignment horizontal="center" vertical="center"/>
    </xf>
    <xf numFmtId="0" fontId="119" fillId="0" borderId="29" xfId="0" applyFont="1" applyFill="1" applyBorder="1" applyAlignment="1">
      <alignment horizontal="center" vertical="center"/>
    </xf>
    <xf numFmtId="0" fontId="119" fillId="0" borderId="30" xfId="0" applyFont="1" applyFill="1" applyBorder="1" applyAlignment="1">
      <alignment horizontal="center" vertical="center"/>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 fontId="2" fillId="0" borderId="23" xfId="0" applyNumberFormat="1" applyFont="1" applyBorder="1" applyAlignment="1">
      <alignment horizontal="center" vertical="center"/>
    </xf>
    <xf numFmtId="1" fontId="2" fillId="0" borderId="22" xfId="0" applyNumberFormat="1" applyFont="1" applyBorder="1" applyAlignment="1">
      <alignment horizontal="center" vertical="center"/>
    </xf>
    <xf numFmtId="1" fontId="2" fillId="0" borderId="20" xfId="0" applyNumberFormat="1" applyFont="1" applyBorder="1" applyAlignment="1">
      <alignment horizontal="center" vertical="center"/>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 fontId="83" fillId="8" borderId="30" xfId="1" applyNumberFormat="1" applyFont="1" applyFill="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5" fontId="2" fillId="3" borderId="24"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64" fontId="34" fillId="10" borderId="0" xfId="1" applyNumberFormat="1" applyFont="1" applyFill="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3" xfId="0" applyNumberFormat="1" applyFont="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2" fillId="2" borderId="9" xfId="0" applyNumberFormat="1" applyFont="1" applyFill="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4" fontId="64" fillId="0" borderId="23"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4" fontId="71" fillId="0" borderId="23" xfId="1" applyNumberFormat="1" applyFont="1" applyBorder="1" applyAlignment="1">
      <alignment horizontal="center" vertical="center"/>
    </xf>
    <xf numFmtId="164" fontId="71" fillId="0" borderId="22" xfId="1" applyNumberFormat="1" applyFont="1" applyBorder="1" applyAlignment="1">
      <alignment horizontal="center" vertical="center"/>
    </xf>
    <xf numFmtId="164" fontId="71" fillId="0" borderId="32" xfId="1" applyNumberFormat="1" applyFont="1" applyBorder="1" applyAlignment="1">
      <alignment horizontal="center" vertical="center"/>
    </xf>
    <xf numFmtId="164" fontId="71" fillId="0" borderId="40" xfId="1" applyNumberFormat="1" applyFont="1" applyBorder="1" applyAlignment="1">
      <alignment horizontal="center" vertical="center"/>
    </xf>
    <xf numFmtId="164" fontId="71" fillId="0" borderId="12" xfId="1" applyNumberFormat="1" applyFont="1" applyBorder="1" applyAlignment="1">
      <alignment horizontal="center" vertical="center"/>
    </xf>
    <xf numFmtId="164" fontId="71" fillId="0" borderId="10" xfId="1"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10" xfId="0" applyNumberFormat="1" applyFont="1" applyFill="1" applyBorder="1" applyAlignment="1">
      <alignment horizontal="center" vertical="center"/>
    </xf>
    <xf numFmtId="171" fontId="2" fillId="3" borderId="24" xfId="0" applyNumberFormat="1" applyFont="1" applyFill="1" applyBorder="1" applyAlignment="1">
      <alignment horizontal="center" vertical="center"/>
    </xf>
    <xf numFmtId="164" fontId="98" fillId="14" borderId="1" xfId="1" applyNumberFormat="1" applyFont="1" applyFill="1" applyBorder="1" applyAlignment="1">
      <alignment horizontal="center" vertical="center" wrapText="1"/>
    </xf>
    <xf numFmtId="165" fontId="2" fillId="3" borderId="34" xfId="0" applyNumberFormat="1"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98" fillId="14" borderId="42" xfId="1" applyNumberFormat="1" applyFont="1" applyFill="1" applyBorder="1" applyAlignment="1">
      <alignment horizontal="center" vertical="center" wrapText="1"/>
    </xf>
    <xf numFmtId="164" fontId="98" fillId="14" borderId="33" xfId="1" applyNumberFormat="1" applyFont="1" applyFill="1" applyBorder="1" applyAlignment="1">
      <alignment horizontal="center" vertical="center" wrapText="1"/>
    </xf>
    <xf numFmtId="164" fontId="91" fillId="12" borderId="23" xfId="1" applyNumberFormat="1" applyFont="1" applyFill="1" applyBorder="1" applyAlignment="1">
      <alignment horizontal="center" vertical="center" wrapText="1"/>
    </xf>
    <xf numFmtId="164" fontId="91" fillId="12" borderId="22" xfId="1" applyNumberFormat="1" applyFont="1" applyFill="1" applyBorder="1" applyAlignment="1">
      <alignment horizontal="center" vertical="center" wrapText="1"/>
    </xf>
    <xf numFmtId="164" fontId="91" fillId="12" borderId="20" xfId="1" applyNumberFormat="1" applyFont="1" applyFill="1" applyBorder="1" applyAlignment="1">
      <alignment horizontal="center" vertical="center" wrapText="1"/>
    </xf>
    <xf numFmtId="164" fontId="91" fillId="12" borderId="18" xfId="1" applyNumberFormat="1" applyFont="1" applyFill="1" applyBorder="1" applyAlignment="1">
      <alignment horizontal="center" vertical="center" wrapText="1"/>
    </xf>
    <xf numFmtId="164" fontId="91" fillId="12" borderId="0" xfId="1" applyNumberFormat="1" applyFont="1" applyFill="1" applyBorder="1" applyAlignment="1">
      <alignment horizontal="center" vertical="center" wrapText="1"/>
    </xf>
    <xf numFmtId="164" fontId="91" fillId="12" borderId="36" xfId="1" applyNumberFormat="1" applyFont="1" applyFill="1" applyBorder="1" applyAlignment="1">
      <alignment horizontal="center" vertical="center" wrapText="1"/>
    </xf>
    <xf numFmtId="164" fontId="91" fillId="12" borderId="37" xfId="1" applyNumberFormat="1" applyFont="1" applyFill="1" applyBorder="1" applyAlignment="1">
      <alignment horizontal="center" vertical="center" wrapText="1"/>
    </xf>
    <xf numFmtId="164" fontId="91" fillId="12" borderId="38" xfId="1" applyNumberFormat="1" applyFont="1" applyFill="1" applyBorder="1" applyAlignment="1">
      <alignment horizontal="center" vertical="center" wrapText="1"/>
    </xf>
    <xf numFmtId="164" fontId="91" fillId="12" borderId="39"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74" fillId="20" borderId="41" xfId="0" applyNumberFormat="1" applyFont="1" applyFill="1" applyBorder="1" applyAlignment="1">
      <alignment horizontal="center" vertical="center"/>
    </xf>
    <xf numFmtId="164" fontId="74" fillId="20" borderId="29" xfId="0" applyNumberFormat="1" applyFont="1" applyFill="1" applyBorder="1" applyAlignment="1">
      <alignment horizontal="center" vertical="center"/>
    </xf>
    <xf numFmtId="164" fontId="74" fillId="20" borderId="30" xfId="0" applyNumberFormat="1" applyFont="1" applyFill="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23" fillId="8" borderId="39"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7" fontId="83" fillId="8" borderId="43" xfId="1" applyNumberFormat="1" applyFont="1" applyFill="1" applyBorder="1" applyAlignment="1">
      <alignment horizontal="center" vertical="center" wrapText="1"/>
    </xf>
    <xf numFmtId="167" fontId="83" fillId="8" borderId="33" xfId="1" applyNumberFormat="1" applyFont="1" applyFill="1" applyBorder="1" applyAlignment="1">
      <alignment horizontal="center" vertical="center" wrapText="1"/>
    </xf>
    <xf numFmtId="164" fontId="19" fillId="0" borderId="11" xfId="0" applyNumberFormat="1" applyFont="1" applyBorder="1" applyAlignment="1">
      <alignment horizontal="center" vertical="center"/>
    </xf>
    <xf numFmtId="164" fontId="19" fillId="0" borderId="12" xfId="0" applyNumberFormat="1" applyFont="1" applyBorder="1" applyAlignment="1">
      <alignment horizontal="center" vertical="center"/>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18" fillId="0" borderId="1" xfId="0" applyNumberFormat="1" applyFont="1" applyBorder="1" applyAlignment="1">
      <alignment horizontal="center" vertical="center"/>
    </xf>
    <xf numFmtId="164" fontId="57" fillId="0" borderId="23" xfId="0" applyNumberFormat="1" applyFont="1" applyBorder="1" applyAlignment="1">
      <alignment horizontal="center" vertical="center"/>
    </xf>
    <xf numFmtId="164" fontId="57" fillId="0" borderId="22" xfId="0" applyNumberFormat="1" applyFont="1" applyBorder="1" applyAlignment="1">
      <alignment horizontal="center" vertical="center"/>
    </xf>
    <xf numFmtId="164" fontId="57" fillId="0" borderId="20" xfId="0" applyNumberFormat="1" applyFont="1" applyBorder="1" applyAlignment="1">
      <alignment horizontal="center" vertical="center"/>
    </xf>
    <xf numFmtId="164" fontId="57" fillId="0" borderId="40" xfId="0" applyNumberFormat="1" applyFont="1" applyBorder="1" applyAlignment="1">
      <alignment horizontal="center" vertical="center"/>
    </xf>
    <xf numFmtId="164" fontId="57" fillId="0" borderId="12" xfId="0" applyNumberFormat="1" applyFont="1" applyBorder="1" applyAlignment="1">
      <alignment horizontal="center" vertical="center"/>
    </xf>
    <xf numFmtId="164" fontId="57" fillId="0" borderId="31" xfId="0" applyNumberFormat="1" applyFont="1" applyBorder="1" applyAlignment="1">
      <alignment horizontal="center" vertical="center"/>
    </xf>
    <xf numFmtId="165" fontId="2" fillId="0" borderId="0"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2" xfId="0" applyNumberFormat="1" applyFont="1" applyBorder="1" applyAlignment="1">
      <alignment horizontal="center" vertical="center"/>
    </xf>
    <xf numFmtId="164" fontId="1" fillId="0" borderId="2" xfId="0" applyNumberFormat="1" applyFont="1" applyBorder="1" applyAlignment="1">
      <alignment horizontal="center" vertical="center"/>
    </xf>
    <xf numFmtId="164" fontId="1" fillId="0" borderId="19" xfId="0" applyNumberFormat="1" applyFont="1" applyBorder="1" applyAlignment="1">
      <alignment horizontal="center" vertical="center"/>
    </xf>
    <xf numFmtId="1" fontId="2" fillId="0" borderId="19" xfId="0"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26" fillId="0" borderId="23" xfId="0" applyNumberFormat="1" applyFont="1" applyBorder="1" applyAlignment="1">
      <alignment horizontal="center" vertical="center"/>
    </xf>
    <xf numFmtId="164" fontId="26" fillId="0" borderId="22" xfId="0" applyNumberFormat="1" applyFont="1" applyBorder="1" applyAlignment="1">
      <alignment horizontal="center" vertical="center"/>
    </xf>
    <xf numFmtId="164" fontId="26" fillId="0" borderId="20" xfId="0" applyNumberFormat="1" applyFont="1" applyBorder="1" applyAlignment="1">
      <alignment horizontal="center" vertical="center"/>
    </xf>
    <xf numFmtId="164" fontId="26" fillId="0" borderId="37" xfId="0" applyNumberFormat="1" applyFont="1" applyBorder="1" applyAlignment="1">
      <alignment horizontal="center" vertical="center"/>
    </xf>
    <xf numFmtId="164" fontId="26" fillId="0" borderId="38" xfId="0" applyNumberFormat="1" applyFont="1" applyBorder="1" applyAlignment="1">
      <alignment horizontal="center" vertical="center"/>
    </xf>
    <xf numFmtId="164" fontId="26" fillId="0" borderId="39" xfId="0" applyNumberFormat="1" applyFont="1" applyBorder="1" applyAlignment="1">
      <alignment horizontal="center" vertical="center"/>
    </xf>
    <xf numFmtId="0" fontId="2" fillId="4" borderId="1" xfId="0" applyFont="1" applyFill="1" applyBorder="1" applyAlignment="1">
      <alignment horizontal="center" vertical="center" wrapText="1"/>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2" fillId="4" borderId="1" xfId="0" applyFont="1" applyFill="1" applyBorder="1" applyAlignment="1">
      <alignment horizontal="center" vertical="top" wrapText="1"/>
    </xf>
    <xf numFmtId="164" fontId="83" fillId="8" borderId="29" xfId="1" applyNumberFormat="1" applyFont="1" applyFill="1" applyBorder="1" applyAlignment="1">
      <alignment horizontal="center" vertical="center"/>
    </xf>
    <xf numFmtId="164" fontId="83" fillId="8" borderId="30" xfId="1" applyNumberFormat="1" applyFont="1" applyFill="1" applyBorder="1" applyAlignment="1">
      <alignment horizontal="center" vertical="center"/>
    </xf>
    <xf numFmtId="164" fontId="48" fillId="0" borderId="1" xfId="1" applyNumberFormat="1" applyFont="1" applyBorder="1" applyAlignment="1">
      <alignment horizontal="center" vertical="center"/>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0" borderId="29" xfId="0" applyFont="1" applyBorder="1" applyAlignment="1">
      <alignment horizontal="center" vertical="center" wrapText="1"/>
    </xf>
    <xf numFmtId="0" fontId="2" fillId="0" borderId="2" xfId="0" applyFont="1" applyBorder="1" applyAlignment="1">
      <alignment horizontal="center" vertical="center" wrapText="1"/>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37" xfId="0" applyFont="1" applyBorder="1" applyAlignment="1">
      <alignment horizontal="center" vertical="center" wrapText="1"/>
    </xf>
    <xf numFmtId="0" fontId="3" fillId="0" borderId="19" xfId="0" applyFont="1" applyBorder="1" applyAlignment="1">
      <alignment horizontal="center" vertical="center" wrapText="1"/>
    </xf>
    <xf numFmtId="164" fontId="34" fillId="10" borderId="19" xfId="1" applyNumberFormat="1" applyFont="1" applyFill="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164" fontId="31" fillId="8" borderId="1" xfId="1" applyNumberFormat="1" applyFont="1" applyFill="1" applyBorder="1" applyAlignment="1">
      <alignment horizontal="center" vertical="center" wrapText="1"/>
    </xf>
    <xf numFmtId="164" fontId="34" fillId="10" borderId="23"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164" fontId="74" fillId="0" borderId="1" xfId="0" applyNumberFormat="1" applyFont="1" applyBorder="1" applyAlignment="1">
      <alignment horizontal="center" vertical="center"/>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0" fontId="32" fillId="0" borderId="29" xfId="0" applyFont="1" applyBorder="1" applyAlignment="1">
      <alignment horizontal="center" vertical="center"/>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2" fillId="0" borderId="1" xfId="0" applyFont="1" applyBorder="1" applyAlignment="1">
      <alignment horizontal="left" vertical="center" wrapText="1" indent="2"/>
    </xf>
    <xf numFmtId="0" fontId="2" fillId="0" borderId="1" xfId="0" applyFont="1" applyBorder="1" applyAlignment="1">
      <alignment horizontal="center" vertical="center" textRotation="90" wrapText="1"/>
    </xf>
    <xf numFmtId="0" fontId="32" fillId="0" borderId="1" xfId="0" applyFont="1" applyBorder="1" applyAlignment="1">
      <alignment horizontal="center" vertical="center" wrapText="1"/>
    </xf>
    <xf numFmtId="0" fontId="2" fillId="0" borderId="22" xfId="0" applyFont="1" applyBorder="1" applyAlignment="1">
      <alignment horizontal="center" vertical="center"/>
    </xf>
    <xf numFmtId="0" fontId="2" fillId="6" borderId="21" xfId="0" applyFont="1" applyFill="1" applyBorder="1" applyAlignment="1">
      <alignment horizontal="center" vertical="center"/>
    </xf>
    <xf numFmtId="0" fontId="2" fillId="0" borderId="39" xfId="0" applyFont="1" applyBorder="1" applyAlignment="1">
      <alignment horizontal="center" vertical="top" wrapText="1"/>
    </xf>
    <xf numFmtId="0" fontId="3" fillId="0" borderId="1" xfId="0" applyFont="1" applyBorder="1" applyAlignment="1">
      <alignment horizontal="center" vertical="center" wrapText="1"/>
    </xf>
    <xf numFmtId="0" fontId="2" fillId="0" borderId="1" xfId="0" applyFont="1" applyBorder="1" applyAlignment="1">
      <alignment horizontal="center" vertical="top" wrapText="1"/>
    </xf>
    <xf numFmtId="0" fontId="19" fillId="0" borderId="1" xfId="0"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33" fillId="0" borderId="1"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0" borderId="21" xfId="0" applyFont="1" applyBorder="1" applyAlignment="1">
      <alignment horizontal="center" vertical="center" textRotation="90"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5" fillId="0" borderId="1" xfId="0" applyFont="1" applyBorder="1" applyAlignment="1">
      <alignment horizontal="center" vertical="center" wrapText="1"/>
    </xf>
    <xf numFmtId="0" fontId="85" fillId="0" borderId="1" xfId="0" applyFont="1" applyBorder="1" applyAlignment="1">
      <alignment horizontal="center" vertical="center"/>
    </xf>
    <xf numFmtId="0" fontId="85" fillId="0" borderId="41" xfId="0" applyFont="1" applyBorder="1" applyAlignment="1">
      <alignment horizontal="center" vertical="center" wrapText="1"/>
    </xf>
    <xf numFmtId="0" fontId="85" fillId="0" borderId="29" xfId="0" applyFont="1" applyBorder="1" applyAlignment="1">
      <alignment horizontal="center" vertical="center" wrapText="1"/>
    </xf>
    <xf numFmtId="0" fontId="85"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11" fillId="11" borderId="2" xfId="1" applyNumberFormat="1" applyFont="1" applyFill="1" applyBorder="1" applyAlignment="1">
      <alignment horizontal="center" vertical="center" wrapText="1"/>
    </xf>
    <xf numFmtId="164" fontId="111" fillId="11" borderId="34" xfId="1" applyNumberFormat="1" applyFont="1" applyFill="1" applyBorder="1" applyAlignment="1">
      <alignment horizontal="center" vertical="center" wrapText="1"/>
    </xf>
    <xf numFmtId="164" fontId="113"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3"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3"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 xfId="0" applyFont="1" applyBorder="1" applyAlignment="1">
      <alignment horizontal="center" vertical="center"/>
    </xf>
    <xf numFmtId="164" fontId="110" fillId="8" borderId="23" xfId="1" applyNumberFormat="1" applyFont="1" applyFill="1" applyBorder="1" applyAlignment="1">
      <alignment horizontal="center" vertical="center" wrapText="1"/>
    </xf>
    <xf numFmtId="164" fontId="110" fillId="8" borderId="22" xfId="1" applyNumberFormat="1" applyFont="1" applyFill="1" applyBorder="1" applyAlignment="1">
      <alignment horizontal="center" vertical="center" wrapText="1"/>
    </xf>
    <xf numFmtId="164" fontId="110" fillId="8" borderId="20" xfId="1" applyNumberFormat="1" applyFont="1" applyFill="1" applyBorder="1" applyAlignment="1">
      <alignment horizontal="center" vertical="center" wrapText="1"/>
    </xf>
    <xf numFmtId="164" fontId="110" fillId="8" borderId="18" xfId="1" applyNumberFormat="1" applyFont="1" applyFill="1" applyBorder="1" applyAlignment="1">
      <alignment horizontal="center" vertical="center" wrapText="1"/>
    </xf>
    <xf numFmtId="164" fontId="110" fillId="8" borderId="0" xfId="1" applyNumberFormat="1" applyFont="1" applyFill="1" applyBorder="1" applyAlignment="1">
      <alignment horizontal="center" vertical="center" wrapText="1"/>
    </xf>
    <xf numFmtId="164" fontId="110" fillId="8" borderId="36" xfId="1" applyNumberFormat="1" applyFont="1" applyFill="1" applyBorder="1" applyAlignment="1">
      <alignment horizontal="center" vertical="center" wrapText="1"/>
    </xf>
    <xf numFmtId="164" fontId="110" fillId="8" borderId="37" xfId="1" applyNumberFormat="1" applyFont="1" applyFill="1" applyBorder="1" applyAlignment="1">
      <alignment horizontal="center" vertical="center" wrapText="1"/>
    </xf>
    <xf numFmtId="164" fontId="110" fillId="8" borderId="38" xfId="1" applyNumberFormat="1" applyFont="1" applyFill="1" applyBorder="1" applyAlignment="1">
      <alignment horizontal="center" vertical="center" wrapText="1"/>
    </xf>
    <xf numFmtId="164" fontId="110" fillId="8" borderId="39" xfId="1" applyNumberFormat="1" applyFont="1" applyFill="1" applyBorder="1" applyAlignment="1">
      <alignment horizontal="center" vertical="center" wrapText="1"/>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164" fontId="111" fillId="11" borderId="19" xfId="1" applyNumberFormat="1" applyFont="1" applyFill="1" applyBorder="1" applyAlignment="1">
      <alignment horizontal="center" vertical="center" wrapText="1"/>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113" fillId="8" borderId="1" xfId="1" applyNumberFormat="1" applyFont="1" applyFill="1" applyBorder="1" applyAlignment="1">
      <alignment horizontal="center" vertical="center"/>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0" borderId="10" xfId="0" applyFont="1" applyBorder="1" applyAlignment="1">
      <alignment horizontal="center" vertical="center"/>
    </xf>
    <xf numFmtId="2" fontId="32" fillId="0" borderId="23"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2" fontId="5" fillId="3" borderId="1" xfId="0" applyNumberFormat="1"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164" fontId="32" fillId="0" borderId="1" xfId="1" applyNumberFormat="1" applyFont="1" applyBorder="1" applyAlignment="1">
      <alignment horizontal="center" vertical="center"/>
    </xf>
    <xf numFmtId="164" fontId="111" fillId="11" borderId="1" xfId="1" applyNumberFormat="1" applyFont="1" applyFill="1" applyBorder="1" applyAlignment="1">
      <alignment horizontal="center" vertical="center" wrapText="1"/>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88" fillId="0" borderId="23" xfId="1" applyNumberFormat="1" applyFont="1" applyBorder="1" applyAlignment="1">
      <alignment horizontal="center" vertical="center"/>
    </xf>
    <xf numFmtId="164" fontId="88" fillId="0" borderId="22" xfId="1" applyNumberFormat="1" applyFont="1" applyBorder="1" applyAlignment="1">
      <alignment horizontal="center" vertical="center"/>
    </xf>
    <xf numFmtId="164" fontId="88" fillId="0" borderId="40" xfId="1" applyNumberFormat="1" applyFont="1" applyBorder="1" applyAlignment="1">
      <alignment horizontal="center" vertical="center"/>
    </xf>
    <xf numFmtId="164" fontId="88" fillId="0" borderId="12" xfId="1" applyNumberFormat="1" applyFont="1" applyBorder="1" applyAlignment="1">
      <alignment horizontal="center"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42844482168935"/>
          <c:y val="0.14493073274867246"/>
          <c:w val="0.73152136622172692"/>
          <c:h val="0.75496149022676118"/>
        </c:manualLayout>
      </c:layout>
      <c:scatterChart>
        <c:scatterStyle val="smoothMarker"/>
        <c:varyColors val="0"/>
        <c:ser>
          <c:idx val="0"/>
          <c:order val="0"/>
          <c:tx>
            <c:v>КПД</c:v>
          </c:tx>
          <c:spPr>
            <a:ln w="57150">
              <a:solidFill>
                <a:schemeClr val="bg2">
                  <a:lumMod val="50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расчетов'!$UO$19:$UO$98</c:f>
              <c:numCache>
                <c:formatCode>0.00000</c:formatCode>
                <c:ptCount val="80"/>
                <c:pt idx="0">
                  <c:v>6.526937046793857E-2</c:v>
                </c:pt>
                <c:pt idx="1">
                  <c:v>0.41907646340475235</c:v>
                </c:pt>
                <c:pt idx="2">
                  <c:v>0.57706237588849718</c:v>
                </c:pt>
                <c:pt idx="3">
                  <c:v>0.66617165478455798</c:v>
                </c:pt>
                <c:pt idx="4">
                  <c:v>0.72312105799465276</c:v>
                </c:pt>
                <c:pt idx="5">
                  <c:v>0.76246788643697938</c:v>
                </c:pt>
                <c:pt idx="6">
                  <c:v>0.79113556315398381</c:v>
                </c:pt>
                <c:pt idx="7">
                  <c:v>0.81283766630318499</c:v>
                </c:pt>
                <c:pt idx="8">
                  <c:v>0.82974490716438076</c:v>
                </c:pt>
                <c:pt idx="9">
                  <c:v>0.84321099821543388</c:v>
                </c:pt>
                <c:pt idx="10">
                  <c:v>0.85412396777848609</c:v>
                </c:pt>
                <c:pt idx="11">
                  <c:v>0.86309054942703523</c:v>
                </c:pt>
                <c:pt idx="12">
                  <c:v>0.87053938869106307</c:v>
                </c:pt>
                <c:pt idx="13">
                  <c:v>0.87678191646982973</c:v>
                </c:pt>
                <c:pt idx="14">
                  <c:v>0.88204985114679435</c:v>
                </c:pt>
                <c:pt idx="15">
                  <c:v>0.88651916833383504</c:v>
                </c:pt>
                <c:pt idx="16">
                  <c:v>0.89032591196911437</c:v>
                </c:pt>
                <c:pt idx="17">
                  <c:v>0.89357691265507322</c:v>
                </c:pt>
                <c:pt idx="18">
                  <c:v>0.89635722950913632</c:v>
                </c:pt>
                <c:pt idx="19">
                  <c:v>0.89873542739955847</c:v>
                </c:pt>
                <c:pt idx="20">
                  <c:v>0.90076739016234175</c:v>
                </c:pt>
                <c:pt idx="21">
                  <c:v>0.90249912270058752</c:v>
                </c:pt>
                <c:pt idx="22">
                  <c:v>0.90396884152197832</c:v>
                </c:pt>
                <c:pt idx="23">
                  <c:v>0.90520855596331196</c:v>
                </c:pt>
                <c:pt idx="24">
                  <c:v>0.90624527921662412</c:v>
                </c:pt>
                <c:pt idx="25">
                  <c:v>0.9071019664760589</c:v>
                </c:pt>
                <c:pt idx="26">
                  <c:v>0.90779824934451181</c:v>
                </c:pt>
                <c:pt idx="27">
                  <c:v>0.90835101631822213</c:v>
                </c:pt>
                <c:pt idx="28">
                  <c:v>0.90877487571572313</c:v>
                </c:pt>
                <c:pt idx="29">
                  <c:v>0.90908252791860966</c:v>
                </c:pt>
                <c:pt idx="30">
                  <c:v>0.90928506699566169</c:v>
                </c:pt>
                <c:pt idx="31">
                  <c:v>0.90939222686051535</c:v>
                </c:pt>
                <c:pt idx="32">
                  <c:v>0.90941258350886334</c:v>
                </c:pt>
                <c:pt idx="33">
                  <c:v>0.90935372221371003</c:v>
                </c:pt>
                <c:pt idx="34">
                  <c:v>0.90922237656358862</c:v>
                </c:pt>
                <c:pt idx="35">
                  <c:v>0.90902454472488781</c:v>
                </c:pt>
                <c:pt idx="36">
                  <c:v>0.90876558716535394</c:v>
                </c:pt>
                <c:pt idx="37">
                  <c:v>0.90845030919831982</c:v>
                </c:pt>
                <c:pt idx="38">
                  <c:v>0.90808303102898458</c:v>
                </c:pt>
                <c:pt idx="39">
                  <c:v>0.90766764745609374</c:v>
                </c:pt>
                <c:pt idx="40">
                  <c:v>0.90720767896853771</c:v>
                </c:pt>
                <c:pt idx="41">
                  <c:v>0.90670631564992776</c:v>
                </c:pt>
                <c:pt idx="42">
                  <c:v>0.90616645504509974</c:v>
                </c:pt>
                <c:pt idx="43">
                  <c:v>0.9055907349356348</c:v>
                </c:pt>
                <c:pt idx="44">
                  <c:v>0.9049815618054331</c:v>
                </c:pt>
                <c:pt idx="45">
                  <c:v>0.90434113564337193</c:v>
                </c:pt>
                <c:pt idx="46">
                  <c:v>0.90367147162139971</c:v>
                </c:pt>
                <c:pt idx="47">
                  <c:v>0.90297441909784704</c:v>
                </c:pt>
                <c:pt idx="48">
                  <c:v>0.90225167832323672</c:v>
                </c:pt>
                <c:pt idx="49">
                  <c:v>0.90150481516625069</c:v>
                </c:pt>
                <c:pt idx="50">
                  <c:v>0.9007352741282969</c:v>
                </c:pt>
                <c:pt idx="51">
                  <c:v>0.89994438987430558</c:v>
                </c:pt>
                <c:pt idx="52">
                  <c:v>0.89913339747343379</c:v>
                </c:pt>
                <c:pt idx="53">
                  <c:v>0.89830344151498753</c:v>
                </c:pt>
                <c:pt idx="54">
                  <c:v>0.89745558424110228</c:v>
                </c:pt>
                <c:pt idx="55">
                  <c:v>0.8965908128177249</c:v>
                </c:pt>
                <c:pt idx="56">
                  <c:v>0.89571004584856451</c:v>
                </c:pt>
                <c:pt idx="57">
                  <c:v>0.89481413922240249</c:v>
                </c:pt>
                <c:pt idx="58">
                  <c:v>0.89390389137202064</c:v>
                </c:pt>
                <c:pt idx="59">
                  <c:v>0.89298004801268094</c:v>
                </c:pt>
                <c:pt idx="60">
                  <c:v>0.89204330641927354</c:v>
                </c:pt>
                <c:pt idx="61">
                  <c:v>0.89109431929369487</c:v>
                </c:pt>
                <c:pt idx="62">
                  <c:v>0.8901336982675393</c:v>
                </c:pt>
                <c:pt idx="63">
                  <c:v>0.88916201707960119</c:v>
                </c:pt>
                <c:pt idx="64">
                  <c:v>0.88817981446287542</c:v>
                </c:pt>
                <c:pt idx="65">
                  <c:v>0.88718759677157621</c:v>
                </c:pt>
                <c:pt idx="66">
                  <c:v>0.88618584037508352</c:v>
                </c:pt>
                <c:pt idx="67">
                  <c:v>0.88517499384259102</c:v>
                </c:pt>
                <c:pt idx="68">
                  <c:v>0.88415547993949772</c:v>
                </c:pt>
                <c:pt idx="69">
                  <c:v>0.88312769745420083</c:v>
                </c:pt>
                <c:pt idx="70">
                  <c:v>0.88209202287186439</c:v>
                </c:pt>
                <c:pt idx="71">
                  <c:v>0.88104881190991313</c:v>
                </c:pt>
                <c:pt idx="72">
                  <c:v>0.87999840092839743</c:v>
                </c:pt>
                <c:pt idx="73">
                  <c:v>0.87894110822696492</c:v>
                </c:pt>
                <c:pt idx="74">
                  <c:v>0.87787723523893724</c:v>
                </c:pt>
                <c:pt idx="75">
                  <c:v>0.87680706763188887</c:v>
                </c:pt>
                <c:pt idx="76">
                  <c:v>0.87573087632315971</c:v>
                </c:pt>
                <c:pt idx="77">
                  <c:v>0.8746489184178754</c:v>
                </c:pt>
                <c:pt idx="78">
                  <c:v>0.87356143807628706</c:v>
                </c:pt>
                <c:pt idx="79">
                  <c:v>0.87246866731656714</c:v>
                </c:pt>
              </c:numCache>
            </c:numRef>
          </c:yVal>
          <c:smooth val="1"/>
        </c:ser>
        <c:ser>
          <c:idx val="1"/>
          <c:order val="1"/>
          <c:tx>
            <c:v>cosφ</c:v>
          </c:tx>
          <c:spPr>
            <a:ln w="57150">
              <a:solidFill>
                <a:schemeClr val="accent3">
                  <a:shade val="95000"/>
                  <a:satMod val="105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расчетов'!$US$19:$US$98</c:f>
              <c:numCache>
                <c:formatCode>0.000</c:formatCode>
                <c:ptCount val="80"/>
                <c:pt idx="0">
                  <c:v>8.2402290651120425E-2</c:v>
                </c:pt>
                <c:pt idx="1">
                  <c:v>0.13222375927354896</c:v>
                </c:pt>
                <c:pt idx="2">
                  <c:v>0.18095951686040376</c:v>
                </c:pt>
                <c:pt idx="3">
                  <c:v>0.22826398514551724</c:v>
                </c:pt>
                <c:pt idx="4">
                  <c:v>0.27384447307436316</c:v>
                </c:pt>
                <c:pt idx="5">
                  <c:v>0.31746724378709773</c:v>
                </c:pt>
                <c:pt idx="6">
                  <c:v>0.35895937036100939</c:v>
                </c:pt>
                <c:pt idx="7">
                  <c:v>0.39820689232488299</c:v>
                </c:pt>
                <c:pt idx="8">
                  <c:v>0.43515008702184843</c:v>
                </c:pt>
                <c:pt idx="9">
                  <c:v>0.46977679301954067</c:v>
                </c:pt>
                <c:pt idx="10">
                  <c:v>0.50211469334269243</c:v>
                </c:pt>
                <c:pt idx="11">
                  <c:v>0.5322233325832415</c:v>
                </c:pt>
                <c:pt idx="12">
                  <c:v>0.5601864560130313</c:v>
                </c:pt>
                <c:pt idx="13">
                  <c:v>0.58610506414635566</c:v>
                </c:pt>
                <c:pt idx="14">
                  <c:v>0.61009140204615075</c:v>
                </c:pt>
                <c:pt idx="15">
                  <c:v>0.63226396406793761</c:v>
                </c:pt>
                <c:pt idx="16">
                  <c:v>0.65274349553972644</c:v>
                </c:pt>
                <c:pt idx="17">
                  <c:v>0.67164990977955097</c:v>
                </c:pt>
                <c:pt idx="18">
                  <c:v>0.68910000500974</c:v>
                </c:pt>
                <c:pt idx="19">
                  <c:v>0.70520585336424924</c:v>
                </c:pt>
                <c:pt idx="20">
                  <c:v>0.72007373615748549</c:v>
                </c:pt>
                <c:pt idx="21">
                  <c:v>0.73380351009362843</c:v>
                </c:pt>
                <c:pt idx="22">
                  <c:v>0.74648830386010523</c:v>
                </c:pt>
                <c:pt idx="23">
                  <c:v>0.7582144606536162</c:v>
                </c:pt>
                <c:pt idx="24">
                  <c:v>0.76906165781838676</c:v>
                </c:pt>
                <c:pt idx="25">
                  <c:v>0.77910314893100929</c:v>
                </c:pt>
                <c:pt idx="26">
                  <c:v>0.78840608589540428</c:v>
                </c:pt>
                <c:pt idx="27">
                  <c:v>0.79703188881811582</c:v>
                </c:pt>
                <c:pt idx="28">
                  <c:v>0.80503663972593331</c:v>
                </c:pt>
                <c:pt idx="29">
                  <c:v>0.81247148277593939</c:v>
                </c:pt>
                <c:pt idx="30">
                  <c:v>0.81938301874307251</c:v>
                </c:pt>
                <c:pt idx="31">
                  <c:v>0.82581368550329348</c:v>
                </c:pt>
                <c:pt idx="32">
                  <c:v>0.83180211919260016</c:v>
                </c:pt>
                <c:pt idx="33">
                  <c:v>0.83738349291499181</c:v>
                </c:pt>
                <c:pt idx="34">
                  <c:v>0.84258983146563138</c:v>
                </c:pt>
                <c:pt idx="35">
                  <c:v>0.8474503016677174</c:v>
                </c:pt>
                <c:pt idx="36">
                  <c:v>0.85199147870439174</c:v>
                </c:pt>
                <c:pt idx="37">
                  <c:v>0.85623758934825667</c:v>
                </c:pt>
                <c:pt idx="38">
                  <c:v>0.86021073331921893</c:v>
                </c:pt>
                <c:pt idx="39">
                  <c:v>0.86393108418901821</c:v>
                </c:pt>
                <c:pt idx="40">
                  <c:v>0.86741707133797841</c:v>
                </c:pt>
                <c:pt idx="41">
                  <c:v>0.87068554448639923</c:v>
                </c:pt>
                <c:pt idx="42">
                  <c:v>0.87375192229201948</c:v>
                </c:pt>
                <c:pt idx="43">
                  <c:v>0.87663032644272865</c:v>
                </c:pt>
                <c:pt idx="44">
                  <c:v>0.87933370259220278</c:v>
                </c:pt>
                <c:pt idx="45">
                  <c:v>0.88187392939409892</c:v>
                </c:pt>
                <c:pt idx="46">
                  <c:v>0.88426191679394583</c:v>
                </c:pt>
                <c:pt idx="47">
                  <c:v>0.88650769464116408</c:v>
                </c:pt>
                <c:pt idx="48">
                  <c:v>0.88862049258955889</c:v>
                </c:pt>
                <c:pt idx="49">
                  <c:v>0.89060881216497079</c:v>
                </c:pt>
                <c:pt idx="50">
                  <c:v>0.89248049179462574</c:v>
                </c:pt>
                <c:pt idx="51">
                  <c:v>0.89424276551465676</c:v>
                </c:pt>
                <c:pt idx="52">
                  <c:v>0.89590231600047066</c:v>
                </c:pt>
                <c:pt idx="53">
                  <c:v>0.89746532249905209</c:v>
                </c:pt>
                <c:pt idx="54">
                  <c:v>0.89893750418271545</c:v>
                </c:pt>
                <c:pt idx="55">
                  <c:v>0.90032415938993005</c:v>
                </c:pt>
                <c:pt idx="56">
                  <c:v>0.9016302011702424</c:v>
                </c:pt>
                <c:pt idx="57">
                  <c:v>0.90286018950664892</c:v>
                </c:pt>
                <c:pt idx="58">
                  <c:v>0.90401836054956752</c:v>
                </c:pt>
                <c:pt idx="59">
                  <c:v>0.90510865316146016</c:v>
                </c:pt>
                <c:pt idx="60">
                  <c:v>0.90613473303974679</c:v>
                </c:pt>
                <c:pt idx="61">
                  <c:v>0.90710001465759371</c:v>
                </c:pt>
                <c:pt idx="62">
                  <c:v>0.90800768123709141</c:v>
                </c:pt>
                <c:pt idx="63">
                  <c:v>0.90886070294696664</c:v>
                </c:pt>
                <c:pt idx="64">
                  <c:v>0.90966185349701123</c:v>
                </c:pt>
                <c:pt idx="65">
                  <c:v>0.9104137252835921</c:v>
                </c:pt>
                <c:pt idx="66">
                  <c:v>0.91111874322471931</c:v>
                </c:pt>
                <c:pt idx="67">
                  <c:v>0.91177917740896064</c:v>
                </c:pt>
                <c:pt idx="68">
                  <c:v>0.9123971546698354</c:v>
                </c:pt>
                <c:pt idx="69">
                  <c:v>0.91297466918601522</c:v>
                </c:pt>
                <c:pt idx="70">
                  <c:v>0.91351359219756267</c:v>
                </c:pt>
                <c:pt idx="71">
                  <c:v>0.91401568091942109</c:v>
                </c:pt>
                <c:pt idx="72">
                  <c:v>0.91448258672529992</c:v>
                </c:pt>
                <c:pt idx="73">
                  <c:v>0.91491586266788572</c:v>
                </c:pt>
                <c:pt idx="74">
                  <c:v>0.91531697039485305</c:v>
                </c:pt>
                <c:pt idx="75">
                  <c:v>0.91568728651436415</c:v>
                </c:pt>
                <c:pt idx="76">
                  <c:v>0.91602810845856364</c:v>
                </c:pt>
                <c:pt idx="77">
                  <c:v>0.9163406598889281</c:v>
                </c:pt>
                <c:pt idx="78">
                  <c:v>0.91662609568315501</c:v>
                </c:pt>
                <c:pt idx="79">
                  <c:v>0.91688550653953593</c:v>
                </c:pt>
              </c:numCache>
            </c:numRef>
          </c:yVal>
          <c:smooth val="1"/>
        </c:ser>
        <c:ser>
          <c:idx val="2"/>
          <c:order val="2"/>
          <c:tx>
            <c:v>Расчетная мощность</c:v>
          </c:tx>
          <c:spPr>
            <a:ln w="57150">
              <a:solidFill>
                <a:srgbClr val="FF0000"/>
              </a:solidFill>
              <a:prstDash val="dash"/>
            </a:ln>
          </c:spPr>
          <c:marker>
            <c:symbol val="none"/>
          </c:marker>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расчетов'!$UC$19:$UC$118</c:f>
              <c:numCache>
                <c:formatCode>0.00</c:formatCode>
                <c:ptCount val="100"/>
                <c:pt idx="0">
                  <c:v>0.02</c:v>
                </c:pt>
                <c:pt idx="1">
                  <c:v>0.04</c:v>
                </c:pt>
                <c:pt idx="2">
                  <c:v>0.06</c:v>
                </c:pt>
                <c:pt idx="3">
                  <c:v>0.08</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993984"/>
        <c:axId val="175995520"/>
      </c:scatterChart>
      <c:valAx>
        <c:axId val="17599398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a:defRPr>
            </a:pPr>
            <a:endParaRPr lang="en-US"/>
          </a:p>
        </c:txPr>
        <c:crossAx val="175995520"/>
        <c:crosses val="autoZero"/>
        <c:crossBetween val="midCat"/>
      </c:valAx>
      <c:valAx>
        <c:axId val="175995520"/>
        <c:scaling>
          <c:orientation val="minMax"/>
          <c:max val="1"/>
        </c:scaling>
        <c:delete val="0"/>
        <c:axPos val="l"/>
        <c:majorGridlines>
          <c:spPr>
            <a:ln w="38100">
              <a:solidFill>
                <a:schemeClr val="tx1"/>
              </a:solidFill>
            </a:ln>
          </c:spPr>
        </c:majorGridlines>
        <c:numFmt formatCode="0.0" sourceLinked="0"/>
        <c:majorTickMark val="out"/>
        <c:minorTickMark val="none"/>
        <c:tickLblPos val="nextTo"/>
        <c:spPr>
          <a:ln w="38100">
            <a:solidFill>
              <a:schemeClr val="tx1"/>
            </a:solidFill>
          </a:ln>
        </c:spPr>
        <c:txPr>
          <a:bodyPr/>
          <a:lstStyle/>
          <a:p>
            <a:pPr>
              <a:defRPr sz="2000" b="1" i="1">
                <a:latin typeface="Myriad Pro"/>
              </a:defRPr>
            </a:pPr>
            <a:endParaRPr lang="en-US"/>
          </a:p>
        </c:txPr>
        <c:crossAx val="175993984"/>
        <c:crosses val="autoZero"/>
        <c:crossBetween val="midCat"/>
      </c:valAx>
      <c:spPr>
        <a:noFill/>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расчетов'!$SZ$19:$SZ$68</c:f>
              <c:numCache>
                <c:formatCode>0.0</c:formatCode>
                <c:ptCount val="50"/>
                <c:pt idx="0">
                  <c:v>11.020835057524753</c:v>
                </c:pt>
                <c:pt idx="1">
                  <c:v>11.084509306364405</c:v>
                </c:pt>
                <c:pt idx="2">
                  <c:v>11.178110702215879</c:v>
                </c:pt>
                <c:pt idx="3">
                  <c:v>11.300840736649274</c:v>
                </c:pt>
                <c:pt idx="4">
                  <c:v>11.451706987887913</c:v>
                </c:pt>
                <c:pt idx="5">
                  <c:v>11.62955771497945</c:v>
                </c:pt>
                <c:pt idx="6">
                  <c:v>11.833118772517476</c:v>
                </c:pt>
                <c:pt idx="7">
                  <c:v>12.0610304156423</c:v>
                </c:pt>
                <c:pt idx="8">
                  <c:v>12.311881984238504</c:v>
                </c:pt>
                <c:pt idx="9">
                  <c:v>12.584243001684408</c:v>
                </c:pt>
                <c:pt idx="10">
                  <c:v>12.876689794496953</c:v>
                </c:pt>
                <c:pt idx="11">
                  <c:v>13.187827256117462</c:v>
                </c:pt>
                <c:pt idx="12">
                  <c:v>13.516305793817313</c:v>
                </c:pt>
                <c:pt idx="13">
                  <c:v>13.860833794799628</c:v>
                </c:pt>
                <c:pt idx="14">
                  <c:v>14.220186130801437</c:v>
                </c:pt>
                <c:pt idx="15">
                  <c:v>14.593209307929884</c:v>
                </c:pt>
                <c:pt idx="16">
                  <c:v>14.978823883613046</c:v>
                </c:pt>
                <c:pt idx="17">
                  <c:v>15.376024738795445</c:v>
                </c:pt>
                <c:pt idx="18">
                  <c:v>15.783879730918336</c:v>
                </c:pt>
                <c:pt idx="19">
                  <c:v>16.20152717724681</c:v>
                </c:pt>
                <c:pt idx="20">
                  <c:v>16.62817253956111</c:v>
                </c:pt>
                <c:pt idx="21">
                  <c:v>17.063084606966168</c:v>
                </c:pt>
                <c:pt idx="22">
                  <c:v>17.505591407366229</c:v>
                </c:pt>
                <c:pt idx="23">
                  <c:v>17.955076021598256</c:v>
                </c:pt>
                <c:pt idx="24">
                  <c:v>18.41097242749748</c:v>
                </c:pt>
                <c:pt idx="25">
                  <c:v>18.872761463622826</c:v>
                </c:pt>
                <c:pt idx="26">
                  <c:v>19.339966972917551</c:v>
                </c:pt>
                <c:pt idx="27">
                  <c:v>19.812152163987541</c:v>
                </c:pt>
                <c:pt idx="28">
                  <c:v>20.288916210727891</c:v>
                </c:pt>
                <c:pt idx="29">
                  <c:v>20.76989109860293</c:v>
                </c:pt>
                <c:pt idx="30">
                  <c:v>21.254738717018437</c:v>
                </c:pt>
                <c:pt idx="31">
                  <c:v>21.743148191104989</c:v>
                </c:pt>
                <c:pt idx="32">
                  <c:v>22.234833442196493</c:v>
                </c:pt>
                <c:pt idx="33">
                  <c:v>22.729530963807683</c:v>
                </c:pt>
                <c:pt idx="34">
                  <c:v>23.226997798573553</c:v>
                </c:pt>
                <c:pt idx="35">
                  <c:v>23.727009701090356</c:v>
                </c:pt>
                <c:pt idx="36">
                  <c:v>24.229359471647491</c:v>
                </c:pt>
                <c:pt idx="37">
                  <c:v>24.733855446276412</c:v>
                </c:pt>
                <c:pt idx="38">
                  <c:v>25.240320129231286</c:v>
                </c:pt>
                <c:pt idx="39">
                  <c:v>25.748588954854679</c:v>
                </c:pt>
                <c:pt idx="40">
                  <c:v>26.25850916669852</c:v>
                </c:pt>
                <c:pt idx="41">
                  <c:v>26.769938802714616</c:v>
                </c:pt>
                <c:pt idx="42">
                  <c:v>27.282745776265074</c:v>
                </c:pt>
                <c:pt idx="43">
                  <c:v>27.796807043607583</c:v>
                </c:pt>
                <c:pt idx="44">
                  <c:v>28.312007849368339</c:v>
                </c:pt>
                <c:pt idx="45">
                  <c:v>28.828241042318943</c:v>
                </c:pt>
                <c:pt idx="46">
                  <c:v>29.3454064545172</c:v>
                </c:pt>
                <c:pt idx="47">
                  <c:v>29.863410337555877</c:v>
                </c:pt>
                <c:pt idx="48">
                  <c:v>30.382164850287413</c:v>
                </c:pt>
                <c:pt idx="49">
                  <c:v>30.901587592960301</c:v>
                </c:pt>
              </c:numCache>
            </c:numRef>
          </c:yVal>
          <c:smooth val="1"/>
        </c:ser>
        <c:dLbls>
          <c:showLegendKey val="0"/>
          <c:showVal val="0"/>
          <c:showCatName val="0"/>
          <c:showSerName val="0"/>
          <c:showPercent val="0"/>
          <c:showBubbleSize val="0"/>
        </c:dLbls>
        <c:axId val="176055424"/>
        <c:axId val="176056960"/>
      </c:scatterChart>
      <c:scatterChart>
        <c:scatterStyle val="smoothMarker"/>
        <c:varyColors val="0"/>
        <c:ser>
          <c:idx val="1"/>
          <c:order val="1"/>
          <c:spPr>
            <a:ln w="57150">
              <a:solidFill>
                <a:srgbClr val="FF0000"/>
              </a:solidFill>
              <a:prstDash val="dash"/>
            </a:ln>
          </c:spPr>
          <c:marker>
            <c:symbol val="none"/>
          </c:marker>
          <c:dPt>
            <c:idx val="2"/>
            <c:bubble3D val="0"/>
          </c:dPt>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расчетов'!$UA$19:$UA$118</c:f>
              <c:numCache>
                <c:formatCode>0.000</c:formatCode>
                <c:ptCount val="10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pt idx="92">
                  <c:v>9.2999999999999999E-2</c:v>
                </c:pt>
                <c:pt idx="93">
                  <c:v>9.4E-2</c:v>
                </c:pt>
                <c:pt idx="94">
                  <c:v>9.5000000000000001E-2</c:v>
                </c:pt>
                <c:pt idx="95">
                  <c:v>9.6000000000000002E-2</c:v>
                </c:pt>
                <c:pt idx="96">
                  <c:v>9.7000000000000003E-2</c:v>
                </c:pt>
                <c:pt idx="97">
                  <c:v>9.8000000000000004E-2</c:v>
                </c:pt>
                <c:pt idx="98">
                  <c:v>9.9000000000000005E-2</c:v>
                </c:pt>
                <c:pt idx="99">
                  <c:v>0.1</c:v>
                </c:pt>
              </c:numCache>
            </c:numRef>
          </c:yVal>
          <c:smooth val="1"/>
        </c:ser>
        <c:ser>
          <c:idx val="2"/>
          <c:order val="2"/>
          <c:spPr>
            <a:ln w="57150"/>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расчетов'!$UA$19:$UA$68</c:f>
              <c:numCache>
                <c:formatCode>0.000</c:formatCode>
                <c:ptCount val="5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numCache>
            </c:numRef>
          </c:yVal>
          <c:smooth val="1"/>
        </c:ser>
        <c:dLbls>
          <c:showLegendKey val="0"/>
          <c:showVal val="0"/>
          <c:showCatName val="0"/>
          <c:showSerName val="0"/>
          <c:showPercent val="0"/>
          <c:showBubbleSize val="0"/>
        </c:dLbls>
        <c:axId val="176060288"/>
        <c:axId val="176058752"/>
      </c:scatterChart>
      <c:valAx>
        <c:axId val="17605542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6056960"/>
        <c:crosses val="autoZero"/>
        <c:crossBetween val="midCat"/>
      </c:valAx>
      <c:valAx>
        <c:axId val="176056960"/>
        <c:scaling>
          <c:orientation val="minMax"/>
        </c:scaling>
        <c:delete val="0"/>
        <c:axPos val="l"/>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crossAx val="176055424"/>
        <c:crosses val="autoZero"/>
        <c:crossBetween val="midCat"/>
      </c:valAx>
      <c:valAx>
        <c:axId val="176058752"/>
        <c:scaling>
          <c:orientation val="minMax"/>
          <c:max val="7.0000000000000007E-2"/>
        </c:scaling>
        <c:delete val="0"/>
        <c:axPos val="r"/>
        <c:numFmt formatCode="0.000" sourceLinked="1"/>
        <c:majorTickMark val="out"/>
        <c:minorTickMark val="none"/>
        <c:tickLblPos val="nextTo"/>
        <c:spPr>
          <a:ln w="38100">
            <a:solidFill>
              <a:schemeClr val="tx1"/>
            </a:solidFill>
          </a:ln>
        </c:spPr>
        <c:txPr>
          <a:bodyPr/>
          <a:lstStyle/>
          <a:p>
            <a:pPr algn="ctr">
              <a:defRPr/>
            </a:pPr>
            <a:endParaRPr lang="en-US"/>
          </a:p>
        </c:txPr>
        <c:crossAx val="176060288"/>
        <c:crosses val="max"/>
        <c:crossBetween val="midCat"/>
      </c:valAx>
      <c:valAx>
        <c:axId val="176060288"/>
        <c:scaling>
          <c:orientation val="minMax"/>
        </c:scaling>
        <c:delete val="1"/>
        <c:axPos val="b"/>
        <c:numFmt formatCode="0.00" sourceLinked="1"/>
        <c:majorTickMark val="out"/>
        <c:minorTickMark val="none"/>
        <c:tickLblPos val="nextTo"/>
        <c:crossAx val="176058752"/>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расчетов'!$SZ$19:$SZ$68</c:f>
              <c:numCache>
                <c:formatCode>0.0</c:formatCode>
                <c:ptCount val="50"/>
                <c:pt idx="0">
                  <c:v>11.020835057524753</c:v>
                </c:pt>
                <c:pt idx="1">
                  <c:v>11.084509306364405</c:v>
                </c:pt>
                <c:pt idx="2">
                  <c:v>11.178110702215879</c:v>
                </c:pt>
                <c:pt idx="3">
                  <c:v>11.300840736649274</c:v>
                </c:pt>
                <c:pt idx="4">
                  <c:v>11.451706987887913</c:v>
                </c:pt>
                <c:pt idx="5">
                  <c:v>11.62955771497945</c:v>
                </c:pt>
                <c:pt idx="6">
                  <c:v>11.833118772517476</c:v>
                </c:pt>
                <c:pt idx="7">
                  <c:v>12.0610304156423</c:v>
                </c:pt>
                <c:pt idx="8">
                  <c:v>12.311881984238504</c:v>
                </c:pt>
                <c:pt idx="9">
                  <c:v>12.584243001684408</c:v>
                </c:pt>
                <c:pt idx="10">
                  <c:v>12.876689794496953</c:v>
                </c:pt>
                <c:pt idx="11">
                  <c:v>13.187827256117462</c:v>
                </c:pt>
                <c:pt idx="12">
                  <c:v>13.516305793817313</c:v>
                </c:pt>
                <c:pt idx="13">
                  <c:v>13.860833794799628</c:v>
                </c:pt>
                <c:pt idx="14">
                  <c:v>14.220186130801437</c:v>
                </c:pt>
                <c:pt idx="15">
                  <c:v>14.593209307929884</c:v>
                </c:pt>
                <c:pt idx="16">
                  <c:v>14.978823883613046</c:v>
                </c:pt>
                <c:pt idx="17">
                  <c:v>15.376024738795445</c:v>
                </c:pt>
                <c:pt idx="18">
                  <c:v>15.783879730918336</c:v>
                </c:pt>
                <c:pt idx="19">
                  <c:v>16.20152717724681</c:v>
                </c:pt>
                <c:pt idx="20">
                  <c:v>16.62817253956111</c:v>
                </c:pt>
                <c:pt idx="21">
                  <c:v>17.063084606966168</c:v>
                </c:pt>
                <c:pt idx="22">
                  <c:v>17.505591407366229</c:v>
                </c:pt>
                <c:pt idx="23">
                  <c:v>17.955076021598256</c:v>
                </c:pt>
                <c:pt idx="24">
                  <c:v>18.41097242749748</c:v>
                </c:pt>
                <c:pt idx="25">
                  <c:v>18.872761463622826</c:v>
                </c:pt>
                <c:pt idx="26">
                  <c:v>19.339966972917551</c:v>
                </c:pt>
                <c:pt idx="27">
                  <c:v>19.812152163987541</c:v>
                </c:pt>
                <c:pt idx="28">
                  <c:v>20.288916210727891</c:v>
                </c:pt>
                <c:pt idx="29">
                  <c:v>20.76989109860293</c:v>
                </c:pt>
                <c:pt idx="30">
                  <c:v>21.254738717018437</c:v>
                </c:pt>
                <c:pt idx="31">
                  <c:v>21.743148191104989</c:v>
                </c:pt>
                <c:pt idx="32">
                  <c:v>22.234833442196493</c:v>
                </c:pt>
                <c:pt idx="33">
                  <c:v>22.729530963807683</c:v>
                </c:pt>
                <c:pt idx="34">
                  <c:v>23.226997798573553</c:v>
                </c:pt>
                <c:pt idx="35">
                  <c:v>23.727009701090356</c:v>
                </c:pt>
                <c:pt idx="36">
                  <c:v>24.229359471647491</c:v>
                </c:pt>
                <c:pt idx="37">
                  <c:v>24.733855446276412</c:v>
                </c:pt>
                <c:pt idx="38">
                  <c:v>25.240320129231286</c:v>
                </c:pt>
                <c:pt idx="39">
                  <c:v>25.748588954854679</c:v>
                </c:pt>
                <c:pt idx="40">
                  <c:v>26.25850916669852</c:v>
                </c:pt>
                <c:pt idx="41">
                  <c:v>26.769938802714616</c:v>
                </c:pt>
                <c:pt idx="42">
                  <c:v>27.282745776265074</c:v>
                </c:pt>
                <c:pt idx="43">
                  <c:v>27.796807043607583</c:v>
                </c:pt>
                <c:pt idx="44">
                  <c:v>28.312007849368339</c:v>
                </c:pt>
                <c:pt idx="45">
                  <c:v>28.828241042318943</c:v>
                </c:pt>
                <c:pt idx="46">
                  <c:v>29.3454064545172</c:v>
                </c:pt>
                <c:pt idx="47">
                  <c:v>29.863410337555877</c:v>
                </c:pt>
                <c:pt idx="48">
                  <c:v>30.382164850287413</c:v>
                </c:pt>
                <c:pt idx="49">
                  <c:v>30.901587592960301</c:v>
                </c:pt>
              </c:numCache>
            </c:numRef>
          </c:yVal>
          <c:smooth val="1"/>
        </c:ser>
        <c:dLbls>
          <c:showLegendKey val="0"/>
          <c:showVal val="0"/>
          <c:showCatName val="0"/>
          <c:showSerName val="0"/>
          <c:showPercent val="0"/>
          <c:showBubbleSize val="0"/>
        </c:dLbls>
        <c:axId val="176248704"/>
        <c:axId val="176250240"/>
      </c:scatterChart>
      <c:scatterChart>
        <c:scatterStyle val="smoothMarker"/>
        <c:varyColors val="0"/>
        <c:ser>
          <c:idx val="1"/>
          <c:order val="1"/>
          <c:spPr>
            <a:ln w="57150">
              <a:solidFill>
                <a:srgbClr val="FF0000"/>
              </a:solidFill>
              <a:prstDash val="dash"/>
            </a:ln>
          </c:spPr>
          <c:marker>
            <c:symbol val="none"/>
          </c:marker>
          <c:dPt>
            <c:idx val="2"/>
            <c:bubble3D val="0"/>
          </c:dPt>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расчетов'!$UA$19:$UA$118</c:f>
              <c:numCache>
                <c:formatCode>0.000</c:formatCode>
                <c:ptCount val="10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pt idx="92">
                  <c:v>9.2999999999999999E-2</c:v>
                </c:pt>
                <c:pt idx="93">
                  <c:v>9.4E-2</c:v>
                </c:pt>
                <c:pt idx="94">
                  <c:v>9.5000000000000001E-2</c:v>
                </c:pt>
                <c:pt idx="95">
                  <c:v>9.6000000000000002E-2</c:v>
                </c:pt>
                <c:pt idx="96">
                  <c:v>9.7000000000000003E-2</c:v>
                </c:pt>
                <c:pt idx="97">
                  <c:v>9.8000000000000004E-2</c:v>
                </c:pt>
                <c:pt idx="98">
                  <c:v>9.9000000000000005E-2</c:v>
                </c:pt>
                <c:pt idx="99">
                  <c:v>0.1</c:v>
                </c:pt>
              </c:numCache>
            </c:numRef>
          </c:yVal>
          <c:smooth val="1"/>
        </c:ser>
        <c:ser>
          <c:idx val="2"/>
          <c:order val="2"/>
          <c:spPr>
            <a:ln w="57150"/>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расчетов'!$UA$19:$UA$68</c:f>
              <c:numCache>
                <c:formatCode>0.000</c:formatCode>
                <c:ptCount val="5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numCache>
            </c:numRef>
          </c:yVal>
          <c:smooth val="1"/>
        </c:ser>
        <c:dLbls>
          <c:showLegendKey val="0"/>
          <c:showVal val="0"/>
          <c:showCatName val="0"/>
          <c:showSerName val="0"/>
          <c:showPercent val="0"/>
          <c:showBubbleSize val="0"/>
        </c:dLbls>
        <c:axId val="176261760"/>
        <c:axId val="176260224"/>
      </c:scatterChart>
      <c:valAx>
        <c:axId val="17624870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6250240"/>
        <c:crosses val="autoZero"/>
        <c:crossBetween val="midCat"/>
      </c:valAx>
      <c:valAx>
        <c:axId val="176250240"/>
        <c:scaling>
          <c:orientation val="minMax"/>
        </c:scaling>
        <c:delete val="0"/>
        <c:axPos val="l"/>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crossAx val="176248704"/>
        <c:crosses val="autoZero"/>
        <c:crossBetween val="midCat"/>
      </c:valAx>
      <c:valAx>
        <c:axId val="176260224"/>
        <c:scaling>
          <c:orientation val="minMax"/>
          <c:max val="7.0000000000000007E-2"/>
        </c:scaling>
        <c:delete val="0"/>
        <c:axPos val="r"/>
        <c:numFmt formatCode="0.000" sourceLinked="1"/>
        <c:majorTickMark val="out"/>
        <c:minorTickMark val="none"/>
        <c:tickLblPos val="nextTo"/>
        <c:spPr>
          <a:ln w="38100">
            <a:solidFill>
              <a:schemeClr val="tx1"/>
            </a:solidFill>
          </a:ln>
        </c:spPr>
        <c:txPr>
          <a:bodyPr/>
          <a:lstStyle/>
          <a:p>
            <a:pPr algn="ctr">
              <a:defRPr/>
            </a:pPr>
            <a:endParaRPr lang="en-US"/>
          </a:p>
        </c:txPr>
        <c:crossAx val="176261760"/>
        <c:crosses val="max"/>
        <c:crossBetween val="midCat"/>
      </c:valAx>
      <c:valAx>
        <c:axId val="176261760"/>
        <c:scaling>
          <c:orientation val="minMax"/>
        </c:scaling>
        <c:delete val="1"/>
        <c:axPos val="b"/>
        <c:numFmt formatCode="0.00" sourceLinked="1"/>
        <c:majorTickMark val="out"/>
        <c:minorTickMark val="none"/>
        <c:tickLblPos val="nextTo"/>
        <c:crossAx val="176260224"/>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42844482168935"/>
          <c:y val="0.14493073274867246"/>
          <c:w val="0.73152136622172692"/>
          <c:h val="0.75496149022676118"/>
        </c:manualLayout>
      </c:layout>
      <c:scatterChart>
        <c:scatterStyle val="smoothMarker"/>
        <c:varyColors val="0"/>
        <c:ser>
          <c:idx val="0"/>
          <c:order val="0"/>
          <c:tx>
            <c:v>КПД</c:v>
          </c:tx>
          <c:spPr>
            <a:ln w="57150">
              <a:solidFill>
                <a:schemeClr val="bg2">
                  <a:lumMod val="50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расчетов'!$UO$19:$UO$98</c:f>
              <c:numCache>
                <c:formatCode>0.00000</c:formatCode>
                <c:ptCount val="80"/>
                <c:pt idx="0">
                  <c:v>6.526937046793857E-2</c:v>
                </c:pt>
                <c:pt idx="1">
                  <c:v>0.41907646340475235</c:v>
                </c:pt>
                <c:pt idx="2">
                  <c:v>0.57706237588849718</c:v>
                </c:pt>
                <c:pt idx="3">
                  <c:v>0.66617165478455798</c:v>
                </c:pt>
                <c:pt idx="4">
                  <c:v>0.72312105799465276</c:v>
                </c:pt>
                <c:pt idx="5">
                  <c:v>0.76246788643697938</c:v>
                </c:pt>
                <c:pt idx="6">
                  <c:v>0.79113556315398381</c:v>
                </c:pt>
                <c:pt idx="7">
                  <c:v>0.81283766630318499</c:v>
                </c:pt>
                <c:pt idx="8">
                  <c:v>0.82974490716438076</c:v>
                </c:pt>
                <c:pt idx="9">
                  <c:v>0.84321099821543388</c:v>
                </c:pt>
                <c:pt idx="10">
                  <c:v>0.85412396777848609</c:v>
                </c:pt>
                <c:pt idx="11">
                  <c:v>0.86309054942703523</c:v>
                </c:pt>
                <c:pt idx="12">
                  <c:v>0.87053938869106307</c:v>
                </c:pt>
                <c:pt idx="13">
                  <c:v>0.87678191646982973</c:v>
                </c:pt>
                <c:pt idx="14">
                  <c:v>0.88204985114679435</c:v>
                </c:pt>
                <c:pt idx="15">
                  <c:v>0.88651916833383504</c:v>
                </c:pt>
                <c:pt idx="16">
                  <c:v>0.89032591196911437</c:v>
                </c:pt>
                <c:pt idx="17">
                  <c:v>0.89357691265507322</c:v>
                </c:pt>
                <c:pt idx="18">
                  <c:v>0.89635722950913632</c:v>
                </c:pt>
                <c:pt idx="19">
                  <c:v>0.89873542739955847</c:v>
                </c:pt>
                <c:pt idx="20">
                  <c:v>0.90076739016234175</c:v>
                </c:pt>
                <c:pt idx="21">
                  <c:v>0.90249912270058752</c:v>
                </c:pt>
                <c:pt idx="22">
                  <c:v>0.90396884152197832</c:v>
                </c:pt>
                <c:pt idx="23">
                  <c:v>0.90520855596331196</c:v>
                </c:pt>
                <c:pt idx="24">
                  <c:v>0.90624527921662412</c:v>
                </c:pt>
                <c:pt idx="25">
                  <c:v>0.9071019664760589</c:v>
                </c:pt>
                <c:pt idx="26">
                  <c:v>0.90779824934451181</c:v>
                </c:pt>
                <c:pt idx="27">
                  <c:v>0.90835101631822213</c:v>
                </c:pt>
                <c:pt idx="28">
                  <c:v>0.90877487571572313</c:v>
                </c:pt>
                <c:pt idx="29">
                  <c:v>0.90908252791860966</c:v>
                </c:pt>
                <c:pt idx="30">
                  <c:v>0.90928506699566169</c:v>
                </c:pt>
                <c:pt idx="31">
                  <c:v>0.90939222686051535</c:v>
                </c:pt>
                <c:pt idx="32">
                  <c:v>0.90941258350886334</c:v>
                </c:pt>
                <c:pt idx="33">
                  <c:v>0.90935372221371003</c:v>
                </c:pt>
                <c:pt idx="34">
                  <c:v>0.90922237656358862</c:v>
                </c:pt>
                <c:pt idx="35">
                  <c:v>0.90902454472488781</c:v>
                </c:pt>
                <c:pt idx="36">
                  <c:v>0.90876558716535394</c:v>
                </c:pt>
                <c:pt idx="37">
                  <c:v>0.90845030919831982</c:v>
                </c:pt>
                <c:pt idx="38">
                  <c:v>0.90808303102898458</c:v>
                </c:pt>
                <c:pt idx="39">
                  <c:v>0.90766764745609374</c:v>
                </c:pt>
                <c:pt idx="40">
                  <c:v>0.90720767896853771</c:v>
                </c:pt>
                <c:pt idx="41">
                  <c:v>0.90670631564992776</c:v>
                </c:pt>
                <c:pt idx="42">
                  <c:v>0.90616645504509974</c:v>
                </c:pt>
                <c:pt idx="43">
                  <c:v>0.9055907349356348</c:v>
                </c:pt>
                <c:pt idx="44">
                  <c:v>0.9049815618054331</c:v>
                </c:pt>
                <c:pt idx="45">
                  <c:v>0.90434113564337193</c:v>
                </c:pt>
                <c:pt idx="46">
                  <c:v>0.90367147162139971</c:v>
                </c:pt>
                <c:pt idx="47">
                  <c:v>0.90297441909784704</c:v>
                </c:pt>
                <c:pt idx="48">
                  <c:v>0.90225167832323672</c:v>
                </c:pt>
                <c:pt idx="49">
                  <c:v>0.90150481516625069</c:v>
                </c:pt>
                <c:pt idx="50">
                  <c:v>0.9007352741282969</c:v>
                </c:pt>
                <c:pt idx="51">
                  <c:v>0.89994438987430558</c:v>
                </c:pt>
                <c:pt idx="52">
                  <c:v>0.89913339747343379</c:v>
                </c:pt>
                <c:pt idx="53">
                  <c:v>0.89830344151498753</c:v>
                </c:pt>
                <c:pt idx="54">
                  <c:v>0.89745558424110228</c:v>
                </c:pt>
                <c:pt idx="55">
                  <c:v>0.8965908128177249</c:v>
                </c:pt>
                <c:pt idx="56">
                  <c:v>0.89571004584856451</c:v>
                </c:pt>
                <c:pt idx="57">
                  <c:v>0.89481413922240249</c:v>
                </c:pt>
                <c:pt idx="58">
                  <c:v>0.89390389137202064</c:v>
                </c:pt>
                <c:pt idx="59">
                  <c:v>0.89298004801268094</c:v>
                </c:pt>
                <c:pt idx="60">
                  <c:v>0.89204330641927354</c:v>
                </c:pt>
                <c:pt idx="61">
                  <c:v>0.89109431929369487</c:v>
                </c:pt>
                <c:pt idx="62">
                  <c:v>0.8901336982675393</c:v>
                </c:pt>
                <c:pt idx="63">
                  <c:v>0.88916201707960119</c:v>
                </c:pt>
                <c:pt idx="64">
                  <c:v>0.88817981446287542</c:v>
                </c:pt>
                <c:pt idx="65">
                  <c:v>0.88718759677157621</c:v>
                </c:pt>
                <c:pt idx="66">
                  <c:v>0.88618584037508352</c:v>
                </c:pt>
                <c:pt idx="67">
                  <c:v>0.88517499384259102</c:v>
                </c:pt>
                <c:pt idx="68">
                  <c:v>0.88415547993949772</c:v>
                </c:pt>
                <c:pt idx="69">
                  <c:v>0.88312769745420083</c:v>
                </c:pt>
                <c:pt idx="70">
                  <c:v>0.88209202287186439</c:v>
                </c:pt>
                <c:pt idx="71">
                  <c:v>0.88104881190991313</c:v>
                </c:pt>
                <c:pt idx="72">
                  <c:v>0.87999840092839743</c:v>
                </c:pt>
                <c:pt idx="73">
                  <c:v>0.87894110822696492</c:v>
                </c:pt>
                <c:pt idx="74">
                  <c:v>0.87787723523893724</c:v>
                </c:pt>
                <c:pt idx="75">
                  <c:v>0.87680706763188887</c:v>
                </c:pt>
                <c:pt idx="76">
                  <c:v>0.87573087632315971</c:v>
                </c:pt>
                <c:pt idx="77">
                  <c:v>0.8746489184178754</c:v>
                </c:pt>
                <c:pt idx="78">
                  <c:v>0.87356143807628706</c:v>
                </c:pt>
                <c:pt idx="79">
                  <c:v>0.87246866731656714</c:v>
                </c:pt>
              </c:numCache>
            </c:numRef>
          </c:yVal>
          <c:smooth val="1"/>
        </c:ser>
        <c:ser>
          <c:idx val="1"/>
          <c:order val="1"/>
          <c:tx>
            <c:v>cosφ</c:v>
          </c:tx>
          <c:spPr>
            <a:ln w="57150">
              <a:solidFill>
                <a:schemeClr val="accent3">
                  <a:shade val="95000"/>
                  <a:satMod val="105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расчетов'!$US$19:$US$98</c:f>
              <c:numCache>
                <c:formatCode>0.000</c:formatCode>
                <c:ptCount val="80"/>
                <c:pt idx="0">
                  <c:v>8.2402290651120425E-2</c:v>
                </c:pt>
                <c:pt idx="1">
                  <c:v>0.13222375927354896</c:v>
                </c:pt>
                <c:pt idx="2">
                  <c:v>0.18095951686040376</c:v>
                </c:pt>
                <c:pt idx="3">
                  <c:v>0.22826398514551724</c:v>
                </c:pt>
                <c:pt idx="4">
                  <c:v>0.27384447307436316</c:v>
                </c:pt>
                <c:pt idx="5">
                  <c:v>0.31746724378709773</c:v>
                </c:pt>
                <c:pt idx="6">
                  <c:v>0.35895937036100939</c:v>
                </c:pt>
                <c:pt idx="7">
                  <c:v>0.39820689232488299</c:v>
                </c:pt>
                <c:pt idx="8">
                  <c:v>0.43515008702184843</c:v>
                </c:pt>
                <c:pt idx="9">
                  <c:v>0.46977679301954067</c:v>
                </c:pt>
                <c:pt idx="10">
                  <c:v>0.50211469334269243</c:v>
                </c:pt>
                <c:pt idx="11">
                  <c:v>0.5322233325832415</c:v>
                </c:pt>
                <c:pt idx="12">
                  <c:v>0.5601864560130313</c:v>
                </c:pt>
                <c:pt idx="13">
                  <c:v>0.58610506414635566</c:v>
                </c:pt>
                <c:pt idx="14">
                  <c:v>0.61009140204615075</c:v>
                </c:pt>
                <c:pt idx="15">
                  <c:v>0.63226396406793761</c:v>
                </c:pt>
                <c:pt idx="16">
                  <c:v>0.65274349553972644</c:v>
                </c:pt>
                <c:pt idx="17">
                  <c:v>0.67164990977955097</c:v>
                </c:pt>
                <c:pt idx="18">
                  <c:v>0.68910000500974</c:v>
                </c:pt>
                <c:pt idx="19">
                  <c:v>0.70520585336424924</c:v>
                </c:pt>
                <c:pt idx="20">
                  <c:v>0.72007373615748549</c:v>
                </c:pt>
                <c:pt idx="21">
                  <c:v>0.73380351009362843</c:v>
                </c:pt>
                <c:pt idx="22">
                  <c:v>0.74648830386010523</c:v>
                </c:pt>
                <c:pt idx="23">
                  <c:v>0.7582144606536162</c:v>
                </c:pt>
                <c:pt idx="24">
                  <c:v>0.76906165781838676</c:v>
                </c:pt>
                <c:pt idx="25">
                  <c:v>0.77910314893100929</c:v>
                </c:pt>
                <c:pt idx="26">
                  <c:v>0.78840608589540428</c:v>
                </c:pt>
                <c:pt idx="27">
                  <c:v>0.79703188881811582</c:v>
                </c:pt>
                <c:pt idx="28">
                  <c:v>0.80503663972593331</c:v>
                </c:pt>
                <c:pt idx="29">
                  <c:v>0.81247148277593939</c:v>
                </c:pt>
                <c:pt idx="30">
                  <c:v>0.81938301874307251</c:v>
                </c:pt>
                <c:pt idx="31">
                  <c:v>0.82581368550329348</c:v>
                </c:pt>
                <c:pt idx="32">
                  <c:v>0.83180211919260016</c:v>
                </c:pt>
                <c:pt idx="33">
                  <c:v>0.83738349291499181</c:v>
                </c:pt>
                <c:pt idx="34">
                  <c:v>0.84258983146563138</c:v>
                </c:pt>
                <c:pt idx="35">
                  <c:v>0.8474503016677174</c:v>
                </c:pt>
                <c:pt idx="36">
                  <c:v>0.85199147870439174</c:v>
                </c:pt>
                <c:pt idx="37">
                  <c:v>0.85623758934825667</c:v>
                </c:pt>
                <c:pt idx="38">
                  <c:v>0.86021073331921893</c:v>
                </c:pt>
                <c:pt idx="39">
                  <c:v>0.86393108418901821</c:v>
                </c:pt>
                <c:pt idx="40">
                  <c:v>0.86741707133797841</c:v>
                </c:pt>
                <c:pt idx="41">
                  <c:v>0.87068554448639923</c:v>
                </c:pt>
                <c:pt idx="42">
                  <c:v>0.87375192229201948</c:v>
                </c:pt>
                <c:pt idx="43">
                  <c:v>0.87663032644272865</c:v>
                </c:pt>
                <c:pt idx="44">
                  <c:v>0.87933370259220278</c:v>
                </c:pt>
                <c:pt idx="45">
                  <c:v>0.88187392939409892</c:v>
                </c:pt>
                <c:pt idx="46">
                  <c:v>0.88426191679394583</c:v>
                </c:pt>
                <c:pt idx="47">
                  <c:v>0.88650769464116408</c:v>
                </c:pt>
                <c:pt idx="48">
                  <c:v>0.88862049258955889</c:v>
                </c:pt>
                <c:pt idx="49">
                  <c:v>0.89060881216497079</c:v>
                </c:pt>
                <c:pt idx="50">
                  <c:v>0.89248049179462574</c:v>
                </c:pt>
                <c:pt idx="51">
                  <c:v>0.89424276551465676</c:v>
                </c:pt>
                <c:pt idx="52">
                  <c:v>0.89590231600047066</c:v>
                </c:pt>
                <c:pt idx="53">
                  <c:v>0.89746532249905209</c:v>
                </c:pt>
                <c:pt idx="54">
                  <c:v>0.89893750418271545</c:v>
                </c:pt>
                <c:pt idx="55">
                  <c:v>0.90032415938993005</c:v>
                </c:pt>
                <c:pt idx="56">
                  <c:v>0.9016302011702424</c:v>
                </c:pt>
                <c:pt idx="57">
                  <c:v>0.90286018950664892</c:v>
                </c:pt>
                <c:pt idx="58">
                  <c:v>0.90401836054956752</c:v>
                </c:pt>
                <c:pt idx="59">
                  <c:v>0.90510865316146016</c:v>
                </c:pt>
                <c:pt idx="60">
                  <c:v>0.90613473303974679</c:v>
                </c:pt>
                <c:pt idx="61">
                  <c:v>0.90710001465759371</c:v>
                </c:pt>
                <c:pt idx="62">
                  <c:v>0.90800768123709141</c:v>
                </c:pt>
                <c:pt idx="63">
                  <c:v>0.90886070294696664</c:v>
                </c:pt>
                <c:pt idx="64">
                  <c:v>0.90966185349701123</c:v>
                </c:pt>
                <c:pt idx="65">
                  <c:v>0.9104137252835921</c:v>
                </c:pt>
                <c:pt idx="66">
                  <c:v>0.91111874322471931</c:v>
                </c:pt>
                <c:pt idx="67">
                  <c:v>0.91177917740896064</c:v>
                </c:pt>
                <c:pt idx="68">
                  <c:v>0.9123971546698354</c:v>
                </c:pt>
                <c:pt idx="69">
                  <c:v>0.91297466918601522</c:v>
                </c:pt>
                <c:pt idx="70">
                  <c:v>0.91351359219756267</c:v>
                </c:pt>
                <c:pt idx="71">
                  <c:v>0.91401568091942109</c:v>
                </c:pt>
                <c:pt idx="72">
                  <c:v>0.91448258672529992</c:v>
                </c:pt>
                <c:pt idx="73">
                  <c:v>0.91491586266788572</c:v>
                </c:pt>
                <c:pt idx="74">
                  <c:v>0.91531697039485305</c:v>
                </c:pt>
                <c:pt idx="75">
                  <c:v>0.91568728651436415</c:v>
                </c:pt>
                <c:pt idx="76">
                  <c:v>0.91602810845856364</c:v>
                </c:pt>
                <c:pt idx="77">
                  <c:v>0.9163406598889281</c:v>
                </c:pt>
                <c:pt idx="78">
                  <c:v>0.91662609568315501</c:v>
                </c:pt>
                <c:pt idx="79">
                  <c:v>0.91688550653953593</c:v>
                </c:pt>
              </c:numCache>
            </c:numRef>
          </c:yVal>
          <c:smooth val="1"/>
        </c:ser>
        <c:ser>
          <c:idx val="2"/>
          <c:order val="2"/>
          <c:tx>
            <c:v>Расчетная мощность</c:v>
          </c:tx>
          <c:spPr>
            <a:ln w="57150">
              <a:solidFill>
                <a:srgbClr val="FF0000"/>
              </a:solidFill>
              <a:prstDash val="dash"/>
            </a:ln>
          </c:spPr>
          <c:marker>
            <c:symbol val="none"/>
          </c:marker>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расчетов'!$UC$19:$UC$118</c:f>
              <c:numCache>
                <c:formatCode>0.00</c:formatCode>
                <c:ptCount val="100"/>
                <c:pt idx="0">
                  <c:v>0.02</c:v>
                </c:pt>
                <c:pt idx="1">
                  <c:v>0.04</c:v>
                </c:pt>
                <c:pt idx="2">
                  <c:v>0.06</c:v>
                </c:pt>
                <c:pt idx="3">
                  <c:v>0.08</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16919296"/>
        <c:axId val="116963968"/>
      </c:scatterChart>
      <c:valAx>
        <c:axId val="11691929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a:defRPr>
            </a:pPr>
            <a:endParaRPr lang="en-US"/>
          </a:p>
        </c:txPr>
        <c:crossAx val="116963968"/>
        <c:crosses val="autoZero"/>
        <c:crossBetween val="midCat"/>
      </c:valAx>
      <c:valAx>
        <c:axId val="116963968"/>
        <c:scaling>
          <c:orientation val="minMax"/>
          <c:max val="1"/>
        </c:scaling>
        <c:delete val="0"/>
        <c:axPos val="l"/>
        <c:majorGridlines>
          <c:spPr>
            <a:ln w="38100">
              <a:solidFill>
                <a:schemeClr val="tx1"/>
              </a:solidFill>
            </a:ln>
          </c:spPr>
        </c:majorGridlines>
        <c:numFmt formatCode="0.0" sourceLinked="0"/>
        <c:majorTickMark val="out"/>
        <c:minorTickMark val="none"/>
        <c:tickLblPos val="nextTo"/>
        <c:spPr>
          <a:ln w="38100">
            <a:solidFill>
              <a:schemeClr val="tx1"/>
            </a:solidFill>
          </a:ln>
        </c:spPr>
        <c:txPr>
          <a:bodyPr/>
          <a:lstStyle/>
          <a:p>
            <a:pPr>
              <a:defRPr sz="2000" b="1" i="1">
                <a:latin typeface="Myriad Pro"/>
              </a:defRPr>
            </a:pPr>
            <a:endParaRPr lang="en-US"/>
          </a:p>
        </c:txPr>
        <c:crossAx val="116919296"/>
        <c:crosses val="autoZero"/>
        <c:crossBetween val="midCat"/>
      </c:valAx>
      <c:spPr>
        <a:noFill/>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расчетов'!$SZ$19:$SZ$68</c:f>
              <c:numCache>
                <c:formatCode>0.0</c:formatCode>
                <c:ptCount val="50"/>
                <c:pt idx="0">
                  <c:v>11.020835057524753</c:v>
                </c:pt>
                <c:pt idx="1">
                  <c:v>11.084509306364405</c:v>
                </c:pt>
                <c:pt idx="2">
                  <c:v>11.178110702215879</c:v>
                </c:pt>
                <c:pt idx="3">
                  <c:v>11.300840736649274</c:v>
                </c:pt>
                <c:pt idx="4">
                  <c:v>11.451706987887913</c:v>
                </c:pt>
                <c:pt idx="5">
                  <c:v>11.62955771497945</c:v>
                </c:pt>
                <c:pt idx="6">
                  <c:v>11.833118772517476</c:v>
                </c:pt>
                <c:pt idx="7">
                  <c:v>12.0610304156423</c:v>
                </c:pt>
                <c:pt idx="8">
                  <c:v>12.311881984238504</c:v>
                </c:pt>
                <c:pt idx="9">
                  <c:v>12.584243001684408</c:v>
                </c:pt>
                <c:pt idx="10">
                  <c:v>12.876689794496953</c:v>
                </c:pt>
                <c:pt idx="11">
                  <c:v>13.187827256117462</c:v>
                </c:pt>
                <c:pt idx="12">
                  <c:v>13.516305793817313</c:v>
                </c:pt>
                <c:pt idx="13">
                  <c:v>13.860833794799628</c:v>
                </c:pt>
                <c:pt idx="14">
                  <c:v>14.220186130801437</c:v>
                </c:pt>
                <c:pt idx="15">
                  <c:v>14.593209307929884</c:v>
                </c:pt>
                <c:pt idx="16">
                  <c:v>14.978823883613046</c:v>
                </c:pt>
                <c:pt idx="17">
                  <c:v>15.376024738795445</c:v>
                </c:pt>
                <c:pt idx="18">
                  <c:v>15.783879730918336</c:v>
                </c:pt>
                <c:pt idx="19">
                  <c:v>16.20152717724681</c:v>
                </c:pt>
                <c:pt idx="20">
                  <c:v>16.62817253956111</c:v>
                </c:pt>
                <c:pt idx="21">
                  <c:v>17.063084606966168</c:v>
                </c:pt>
                <c:pt idx="22">
                  <c:v>17.505591407366229</c:v>
                </c:pt>
                <c:pt idx="23">
                  <c:v>17.955076021598256</c:v>
                </c:pt>
                <c:pt idx="24">
                  <c:v>18.41097242749748</c:v>
                </c:pt>
                <c:pt idx="25">
                  <c:v>18.872761463622826</c:v>
                </c:pt>
                <c:pt idx="26">
                  <c:v>19.339966972917551</c:v>
                </c:pt>
                <c:pt idx="27">
                  <c:v>19.812152163987541</c:v>
                </c:pt>
                <c:pt idx="28">
                  <c:v>20.288916210727891</c:v>
                </c:pt>
                <c:pt idx="29">
                  <c:v>20.76989109860293</c:v>
                </c:pt>
                <c:pt idx="30">
                  <c:v>21.254738717018437</c:v>
                </c:pt>
                <c:pt idx="31">
                  <c:v>21.743148191104989</c:v>
                </c:pt>
                <c:pt idx="32">
                  <c:v>22.234833442196493</c:v>
                </c:pt>
                <c:pt idx="33">
                  <c:v>22.729530963807683</c:v>
                </c:pt>
                <c:pt idx="34">
                  <c:v>23.226997798573553</c:v>
                </c:pt>
                <c:pt idx="35">
                  <c:v>23.727009701090356</c:v>
                </c:pt>
                <c:pt idx="36">
                  <c:v>24.229359471647491</c:v>
                </c:pt>
                <c:pt idx="37">
                  <c:v>24.733855446276412</c:v>
                </c:pt>
                <c:pt idx="38">
                  <c:v>25.240320129231286</c:v>
                </c:pt>
                <c:pt idx="39">
                  <c:v>25.748588954854679</c:v>
                </c:pt>
                <c:pt idx="40">
                  <c:v>26.25850916669852</c:v>
                </c:pt>
                <c:pt idx="41">
                  <c:v>26.769938802714616</c:v>
                </c:pt>
                <c:pt idx="42">
                  <c:v>27.282745776265074</c:v>
                </c:pt>
                <c:pt idx="43">
                  <c:v>27.796807043607583</c:v>
                </c:pt>
                <c:pt idx="44">
                  <c:v>28.312007849368339</c:v>
                </c:pt>
                <c:pt idx="45">
                  <c:v>28.828241042318943</c:v>
                </c:pt>
                <c:pt idx="46">
                  <c:v>29.3454064545172</c:v>
                </c:pt>
                <c:pt idx="47">
                  <c:v>29.863410337555877</c:v>
                </c:pt>
                <c:pt idx="48">
                  <c:v>30.382164850287413</c:v>
                </c:pt>
                <c:pt idx="49">
                  <c:v>30.901587592960301</c:v>
                </c:pt>
              </c:numCache>
            </c:numRef>
          </c:yVal>
          <c:smooth val="1"/>
        </c:ser>
        <c:dLbls>
          <c:showLegendKey val="0"/>
          <c:showVal val="0"/>
          <c:showCatName val="0"/>
          <c:showSerName val="0"/>
          <c:showPercent val="0"/>
          <c:showBubbleSize val="0"/>
        </c:dLbls>
        <c:axId val="128840832"/>
        <c:axId val="128872448"/>
      </c:scatterChart>
      <c:scatterChart>
        <c:scatterStyle val="smoothMarker"/>
        <c:varyColors val="0"/>
        <c:ser>
          <c:idx val="1"/>
          <c:order val="1"/>
          <c:spPr>
            <a:ln w="57150">
              <a:solidFill>
                <a:srgbClr val="FF0000"/>
              </a:solidFill>
              <a:prstDash val="dash"/>
            </a:ln>
          </c:spPr>
          <c:marker>
            <c:symbol val="none"/>
          </c:marker>
          <c:dPt>
            <c:idx val="2"/>
            <c:bubble3D val="0"/>
          </c:dPt>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расчетов'!$UA$19:$UA$118</c:f>
              <c:numCache>
                <c:formatCode>0.000</c:formatCode>
                <c:ptCount val="10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pt idx="92">
                  <c:v>9.2999999999999999E-2</c:v>
                </c:pt>
                <c:pt idx="93">
                  <c:v>9.4E-2</c:v>
                </c:pt>
                <c:pt idx="94">
                  <c:v>9.5000000000000001E-2</c:v>
                </c:pt>
                <c:pt idx="95">
                  <c:v>9.6000000000000002E-2</c:v>
                </c:pt>
                <c:pt idx="96">
                  <c:v>9.7000000000000003E-2</c:v>
                </c:pt>
                <c:pt idx="97">
                  <c:v>9.8000000000000004E-2</c:v>
                </c:pt>
                <c:pt idx="98">
                  <c:v>9.9000000000000005E-2</c:v>
                </c:pt>
                <c:pt idx="99">
                  <c:v>0.1</c:v>
                </c:pt>
              </c:numCache>
            </c:numRef>
          </c:yVal>
          <c:smooth val="1"/>
        </c:ser>
        <c:ser>
          <c:idx val="2"/>
          <c:order val="2"/>
          <c:spPr>
            <a:ln w="57150"/>
          </c:spPr>
          <c:marker>
            <c:symbol val="none"/>
          </c:marker>
          <c:xVal>
            <c:numRef>
              <c:f>'Вывод расчетов'!$UK$19:$UK$68</c:f>
              <c:numCache>
                <c:formatCode>0.0</c:formatCode>
                <c:ptCount val="5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numCache>
            </c:numRef>
          </c:xVal>
          <c:yVal>
            <c:numRef>
              <c:f>'Вывод расчетов'!$UA$19:$UA$68</c:f>
              <c:numCache>
                <c:formatCode>0.000</c:formatCode>
                <c:ptCount val="5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numCache>
            </c:numRef>
          </c:yVal>
          <c:smooth val="1"/>
        </c:ser>
        <c:dLbls>
          <c:showLegendKey val="0"/>
          <c:showVal val="0"/>
          <c:showCatName val="0"/>
          <c:showSerName val="0"/>
          <c:showPercent val="0"/>
          <c:showBubbleSize val="0"/>
        </c:dLbls>
        <c:axId val="128875904"/>
        <c:axId val="128873984"/>
      </c:scatterChart>
      <c:valAx>
        <c:axId val="12884083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28872448"/>
        <c:crosses val="autoZero"/>
        <c:crossBetween val="midCat"/>
      </c:valAx>
      <c:valAx>
        <c:axId val="128872448"/>
        <c:scaling>
          <c:orientation val="minMax"/>
        </c:scaling>
        <c:delete val="0"/>
        <c:axPos val="l"/>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crossAx val="128840832"/>
        <c:crosses val="autoZero"/>
        <c:crossBetween val="midCat"/>
      </c:valAx>
      <c:valAx>
        <c:axId val="128873984"/>
        <c:scaling>
          <c:orientation val="minMax"/>
          <c:max val="7.0000000000000007E-2"/>
        </c:scaling>
        <c:delete val="0"/>
        <c:axPos val="r"/>
        <c:numFmt formatCode="0.000" sourceLinked="1"/>
        <c:majorTickMark val="out"/>
        <c:minorTickMark val="none"/>
        <c:tickLblPos val="nextTo"/>
        <c:spPr>
          <a:ln w="38100">
            <a:solidFill>
              <a:schemeClr val="tx1"/>
            </a:solidFill>
          </a:ln>
        </c:spPr>
        <c:txPr>
          <a:bodyPr/>
          <a:lstStyle/>
          <a:p>
            <a:pPr algn="ctr">
              <a:defRPr/>
            </a:pPr>
            <a:endParaRPr lang="en-US"/>
          </a:p>
        </c:txPr>
        <c:crossAx val="128875904"/>
        <c:crosses val="max"/>
        <c:crossBetween val="midCat"/>
      </c:valAx>
      <c:valAx>
        <c:axId val="128875904"/>
        <c:scaling>
          <c:orientation val="minMax"/>
        </c:scaling>
        <c:delete val="1"/>
        <c:axPos val="b"/>
        <c:numFmt formatCode="0.00" sourceLinked="1"/>
        <c:majorTickMark val="out"/>
        <c:minorTickMark val="none"/>
        <c:tickLblPos val="nextTo"/>
        <c:crossAx val="128873984"/>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42844482168935"/>
          <c:y val="0.14493073274867246"/>
          <c:w val="0.73152136622172692"/>
          <c:h val="0.75496149022676118"/>
        </c:manualLayout>
      </c:layout>
      <c:scatterChart>
        <c:scatterStyle val="smoothMarker"/>
        <c:varyColors val="0"/>
        <c:ser>
          <c:idx val="0"/>
          <c:order val="0"/>
          <c:tx>
            <c:v>КПД</c:v>
          </c:tx>
          <c:spPr>
            <a:ln w="57150">
              <a:solidFill>
                <a:schemeClr val="bg2">
                  <a:lumMod val="50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расчетов'!$UO$19:$UO$98</c:f>
              <c:numCache>
                <c:formatCode>0.00000</c:formatCode>
                <c:ptCount val="80"/>
                <c:pt idx="0">
                  <c:v>6.526937046793857E-2</c:v>
                </c:pt>
                <c:pt idx="1">
                  <c:v>0.41907646340475235</c:v>
                </c:pt>
                <c:pt idx="2">
                  <c:v>0.57706237588849718</c:v>
                </c:pt>
                <c:pt idx="3">
                  <c:v>0.66617165478455798</c:v>
                </c:pt>
                <c:pt idx="4">
                  <c:v>0.72312105799465276</c:v>
                </c:pt>
                <c:pt idx="5">
                  <c:v>0.76246788643697938</c:v>
                </c:pt>
                <c:pt idx="6">
                  <c:v>0.79113556315398381</c:v>
                </c:pt>
                <c:pt idx="7">
                  <c:v>0.81283766630318499</c:v>
                </c:pt>
                <c:pt idx="8">
                  <c:v>0.82974490716438076</c:v>
                </c:pt>
                <c:pt idx="9">
                  <c:v>0.84321099821543388</c:v>
                </c:pt>
                <c:pt idx="10">
                  <c:v>0.85412396777848609</c:v>
                </c:pt>
                <c:pt idx="11">
                  <c:v>0.86309054942703523</c:v>
                </c:pt>
                <c:pt idx="12">
                  <c:v>0.87053938869106307</c:v>
                </c:pt>
                <c:pt idx="13">
                  <c:v>0.87678191646982973</c:v>
                </c:pt>
                <c:pt idx="14">
                  <c:v>0.88204985114679435</c:v>
                </c:pt>
                <c:pt idx="15">
                  <c:v>0.88651916833383504</c:v>
                </c:pt>
                <c:pt idx="16">
                  <c:v>0.89032591196911437</c:v>
                </c:pt>
                <c:pt idx="17">
                  <c:v>0.89357691265507322</c:v>
                </c:pt>
                <c:pt idx="18">
                  <c:v>0.89635722950913632</c:v>
                </c:pt>
                <c:pt idx="19">
                  <c:v>0.89873542739955847</c:v>
                </c:pt>
                <c:pt idx="20">
                  <c:v>0.90076739016234175</c:v>
                </c:pt>
                <c:pt idx="21">
                  <c:v>0.90249912270058752</c:v>
                </c:pt>
                <c:pt idx="22">
                  <c:v>0.90396884152197832</c:v>
                </c:pt>
                <c:pt idx="23">
                  <c:v>0.90520855596331196</c:v>
                </c:pt>
                <c:pt idx="24">
                  <c:v>0.90624527921662412</c:v>
                </c:pt>
                <c:pt idx="25">
                  <c:v>0.9071019664760589</c:v>
                </c:pt>
                <c:pt idx="26">
                  <c:v>0.90779824934451181</c:v>
                </c:pt>
                <c:pt idx="27">
                  <c:v>0.90835101631822213</c:v>
                </c:pt>
                <c:pt idx="28">
                  <c:v>0.90877487571572313</c:v>
                </c:pt>
                <c:pt idx="29">
                  <c:v>0.90908252791860966</c:v>
                </c:pt>
                <c:pt idx="30">
                  <c:v>0.90928506699566169</c:v>
                </c:pt>
                <c:pt idx="31">
                  <c:v>0.90939222686051535</c:v>
                </c:pt>
                <c:pt idx="32">
                  <c:v>0.90941258350886334</c:v>
                </c:pt>
                <c:pt idx="33">
                  <c:v>0.90935372221371003</c:v>
                </c:pt>
                <c:pt idx="34">
                  <c:v>0.90922237656358862</c:v>
                </c:pt>
                <c:pt idx="35">
                  <c:v>0.90902454472488781</c:v>
                </c:pt>
                <c:pt idx="36">
                  <c:v>0.90876558716535394</c:v>
                </c:pt>
                <c:pt idx="37">
                  <c:v>0.90845030919831982</c:v>
                </c:pt>
                <c:pt idx="38">
                  <c:v>0.90808303102898458</c:v>
                </c:pt>
                <c:pt idx="39">
                  <c:v>0.90766764745609374</c:v>
                </c:pt>
                <c:pt idx="40">
                  <c:v>0.90720767896853771</c:v>
                </c:pt>
                <c:pt idx="41">
                  <c:v>0.90670631564992776</c:v>
                </c:pt>
                <c:pt idx="42">
                  <c:v>0.90616645504509974</c:v>
                </c:pt>
                <c:pt idx="43">
                  <c:v>0.9055907349356348</c:v>
                </c:pt>
                <c:pt idx="44">
                  <c:v>0.9049815618054331</c:v>
                </c:pt>
                <c:pt idx="45">
                  <c:v>0.90434113564337193</c:v>
                </c:pt>
                <c:pt idx="46">
                  <c:v>0.90367147162139971</c:v>
                </c:pt>
                <c:pt idx="47">
                  <c:v>0.90297441909784704</c:v>
                </c:pt>
                <c:pt idx="48">
                  <c:v>0.90225167832323672</c:v>
                </c:pt>
                <c:pt idx="49">
                  <c:v>0.90150481516625069</c:v>
                </c:pt>
                <c:pt idx="50">
                  <c:v>0.9007352741282969</c:v>
                </c:pt>
                <c:pt idx="51">
                  <c:v>0.89994438987430558</c:v>
                </c:pt>
                <c:pt idx="52">
                  <c:v>0.89913339747343379</c:v>
                </c:pt>
                <c:pt idx="53">
                  <c:v>0.89830344151498753</c:v>
                </c:pt>
                <c:pt idx="54">
                  <c:v>0.89745558424110228</c:v>
                </c:pt>
                <c:pt idx="55">
                  <c:v>0.8965908128177249</c:v>
                </c:pt>
                <c:pt idx="56">
                  <c:v>0.89571004584856451</c:v>
                </c:pt>
                <c:pt idx="57">
                  <c:v>0.89481413922240249</c:v>
                </c:pt>
                <c:pt idx="58">
                  <c:v>0.89390389137202064</c:v>
                </c:pt>
                <c:pt idx="59">
                  <c:v>0.89298004801268094</c:v>
                </c:pt>
                <c:pt idx="60">
                  <c:v>0.89204330641927354</c:v>
                </c:pt>
                <c:pt idx="61">
                  <c:v>0.89109431929369487</c:v>
                </c:pt>
                <c:pt idx="62">
                  <c:v>0.8901336982675393</c:v>
                </c:pt>
                <c:pt idx="63">
                  <c:v>0.88916201707960119</c:v>
                </c:pt>
                <c:pt idx="64">
                  <c:v>0.88817981446287542</c:v>
                </c:pt>
                <c:pt idx="65">
                  <c:v>0.88718759677157621</c:v>
                </c:pt>
                <c:pt idx="66">
                  <c:v>0.88618584037508352</c:v>
                </c:pt>
                <c:pt idx="67">
                  <c:v>0.88517499384259102</c:v>
                </c:pt>
                <c:pt idx="68">
                  <c:v>0.88415547993949772</c:v>
                </c:pt>
                <c:pt idx="69">
                  <c:v>0.88312769745420083</c:v>
                </c:pt>
                <c:pt idx="70">
                  <c:v>0.88209202287186439</c:v>
                </c:pt>
                <c:pt idx="71">
                  <c:v>0.88104881190991313</c:v>
                </c:pt>
                <c:pt idx="72">
                  <c:v>0.87999840092839743</c:v>
                </c:pt>
                <c:pt idx="73">
                  <c:v>0.87894110822696492</c:v>
                </c:pt>
                <c:pt idx="74">
                  <c:v>0.87787723523893724</c:v>
                </c:pt>
                <c:pt idx="75">
                  <c:v>0.87680706763188887</c:v>
                </c:pt>
                <c:pt idx="76">
                  <c:v>0.87573087632315971</c:v>
                </c:pt>
                <c:pt idx="77">
                  <c:v>0.8746489184178754</c:v>
                </c:pt>
                <c:pt idx="78">
                  <c:v>0.87356143807628706</c:v>
                </c:pt>
                <c:pt idx="79">
                  <c:v>0.87246866731656714</c:v>
                </c:pt>
              </c:numCache>
            </c:numRef>
          </c:yVal>
          <c:smooth val="1"/>
        </c:ser>
        <c:ser>
          <c:idx val="1"/>
          <c:order val="1"/>
          <c:tx>
            <c:v>cosφ</c:v>
          </c:tx>
          <c:spPr>
            <a:ln w="57150">
              <a:solidFill>
                <a:schemeClr val="accent3">
                  <a:shade val="95000"/>
                  <a:satMod val="105000"/>
                </a:schemeClr>
              </a:solidFill>
            </a:ln>
          </c:spPr>
          <c:marker>
            <c:symbol val="none"/>
          </c:marker>
          <c:xVal>
            <c:numRef>
              <c:f>'Вывод расчетов'!$UK$19:$UK$98</c:f>
              <c:numCache>
                <c:formatCode>0.0</c:formatCode>
                <c:ptCount val="80"/>
                <c:pt idx="0">
                  <c:v>6.7572200554782746E-2</c:v>
                </c:pt>
                <c:pt idx="1">
                  <c:v>0.70020320517108692</c:v>
                </c:pt>
                <c:pt idx="2">
                  <c:v>1.3306916914089868</c:v>
                </c:pt>
                <c:pt idx="3">
                  <c:v>1.9590212668705032</c:v>
                </c:pt>
                <c:pt idx="4">
                  <c:v>2.5851757151012524</c:v>
                </c:pt>
                <c:pt idx="5">
                  <c:v>3.2091389967947768</c:v>
                </c:pt>
                <c:pt idx="6">
                  <c:v>3.8308952509643861</c:v>
                </c:pt>
                <c:pt idx="7">
                  <c:v>4.4504287960823783</c:v>
                </c:pt>
                <c:pt idx="8">
                  <c:v>5.0677241311865187</c:v>
                </c:pt>
                <c:pt idx="9">
                  <c:v>5.6827659369536949</c:v>
                </c:pt>
                <c:pt idx="10">
                  <c:v>6.2955390767406252</c:v>
                </c:pt>
                <c:pt idx="11">
                  <c:v>6.9060285975915496</c:v>
                </c:pt>
                <c:pt idx="12">
                  <c:v>7.5142197312128571</c:v>
                </c:pt>
                <c:pt idx="13">
                  <c:v>8.1200978949145153</c:v>
                </c:pt>
                <c:pt idx="14">
                  <c:v>8.7236486925183403</c:v>
                </c:pt>
                <c:pt idx="15">
                  <c:v>9.3248579152329878</c:v>
                </c:pt>
                <c:pt idx="16">
                  <c:v>9.9237115424956315</c:v>
                </c:pt>
                <c:pt idx="17">
                  <c:v>10.520195742780444</c:v>
                </c:pt>
                <c:pt idx="18">
                  <c:v>11.114296874373627</c:v>
                </c:pt>
                <c:pt idx="19">
                  <c:v>11.706001486115198</c:v>
                </c:pt>
                <c:pt idx="20">
                  <c:v>12.295296318107431</c:v>
                </c:pt>
                <c:pt idx="21">
                  <c:v>12.882168302390019</c:v>
                </c:pt>
                <c:pt idx="22">
                  <c:v>13.46660456358194</c:v>
                </c:pt>
                <c:pt idx="23">
                  <c:v>14.048592419490102</c:v>
                </c:pt>
                <c:pt idx="24">
                  <c:v>14.628119381684794</c:v>
                </c:pt>
                <c:pt idx="25">
                  <c:v>15.205173156041951</c:v>
                </c:pt>
                <c:pt idx="26">
                  <c:v>15.779741643252454</c:v>
                </c:pt>
                <c:pt idx="27">
                  <c:v>16.351812939298291</c:v>
                </c:pt>
                <c:pt idx="28">
                  <c:v>16.921375335895927</c:v>
                </c:pt>
                <c:pt idx="29">
                  <c:v>17.48841732090672</c:v>
                </c:pt>
                <c:pt idx="30">
                  <c:v>18.052927578714751</c:v>
                </c:pt>
                <c:pt idx="31">
                  <c:v>18.614894990571887</c:v>
                </c:pt>
                <c:pt idx="32">
                  <c:v>19.174308634910485</c:v>
                </c:pt>
                <c:pt idx="33">
                  <c:v>19.731157787623605</c:v>
                </c:pt>
                <c:pt idx="34">
                  <c:v>20.285431922313094</c:v>
                </c:pt>
                <c:pt idx="35">
                  <c:v>20.837120710505427</c:v>
                </c:pt>
                <c:pt idx="36">
                  <c:v>21.386214021835798</c:v>
                </c:pt>
                <c:pt idx="37">
                  <c:v>21.932701924200281</c:v>
                </c:pt>
                <c:pt idx="38">
                  <c:v>22.476574683876407</c:v>
                </c:pt>
                <c:pt idx="39">
                  <c:v>23.017822765612355</c:v>
                </c:pt>
                <c:pt idx="40">
                  <c:v>23.556436832684835</c:v>
                </c:pt>
                <c:pt idx="41">
                  <c:v>24.092407746925979</c:v>
                </c:pt>
                <c:pt idx="42">
                  <c:v>24.62572656871922</c:v>
                </c:pt>
                <c:pt idx="43">
                  <c:v>25.156384556964731</c:v>
                </c:pt>
                <c:pt idx="44">
                  <c:v>25.684373169014226</c:v>
                </c:pt>
                <c:pt idx="45">
                  <c:v>26.209684060575675</c:v>
                </c:pt>
                <c:pt idx="46">
                  <c:v>26.732309085587907</c:v>
                </c:pt>
                <c:pt idx="47">
                  <c:v>27.252240296065601</c:v>
                </c:pt>
                <c:pt idx="48">
                  <c:v>27.769469941914618</c:v>
                </c:pt>
                <c:pt idx="49">
                  <c:v>28.283990470718134</c:v>
                </c:pt>
                <c:pt idx="50">
                  <c:v>28.795794527493772</c:v>
                </c:pt>
                <c:pt idx="51">
                  <c:v>29.30487495442193</c:v>
                </c:pt>
                <c:pt idx="52">
                  <c:v>29.811224790545644</c:v>
                </c:pt>
                <c:pt idx="53">
                  <c:v>30.3148372714423</c:v>
                </c:pt>
                <c:pt idx="54">
                  <c:v>30.81570582886723</c:v>
                </c:pt>
                <c:pt idx="55">
                  <c:v>31.313824090369902</c:v>
                </c:pt>
                <c:pt idx="56">
                  <c:v>31.809185878882538</c:v>
                </c:pt>
                <c:pt idx="57">
                  <c:v>32.301785212281729</c:v>
                </c:pt>
                <c:pt idx="58">
                  <c:v>32.791616302923387</c:v>
                </c:pt>
                <c:pt idx="59">
                  <c:v>33.278673557151023</c:v>
                </c:pt>
                <c:pt idx="60">
                  <c:v>33.7629515747781</c:v>
                </c:pt>
                <c:pt idx="61">
                  <c:v>34.244445148544301</c:v>
                </c:pt>
                <c:pt idx="62">
                  <c:v>34.723149263546546</c:v>
                </c:pt>
                <c:pt idx="63">
                  <c:v>35.19905909664454</c:v>
                </c:pt>
                <c:pt idx="64">
                  <c:v>35.672170015841679</c:v>
                </c:pt>
                <c:pt idx="65">
                  <c:v>36.142477579641216</c:v>
                </c:pt>
                <c:pt idx="66">
                  <c:v>36.609977536378473</c:v>
                </c:pt>
                <c:pt idx="67">
                  <c:v>37.074665823528825</c:v>
                </c:pt>
                <c:pt idx="68">
                  <c:v>37.536538566992512</c:v>
                </c:pt>
                <c:pt idx="69">
                  <c:v>37.995592080356097</c:v>
                </c:pt>
                <c:pt idx="70">
                  <c:v>38.451822864131074</c:v>
                </c:pt>
                <c:pt idx="71">
                  <c:v>38.905227604970122</c:v>
                </c:pt>
                <c:pt idx="72">
                  <c:v>39.355803174861066</c:v>
                </c:pt>
                <c:pt idx="73">
                  <c:v>39.803546630299216</c:v>
                </c:pt>
                <c:pt idx="74">
                  <c:v>40.248455211438255</c:v>
                </c:pt>
                <c:pt idx="75">
                  <c:v>40.690526341220021</c:v>
                </c:pt>
                <c:pt idx="76">
                  <c:v>41.129757624483766</c:v>
                </c:pt>
                <c:pt idx="77">
                  <c:v>41.56614684705481</c:v>
                </c:pt>
                <c:pt idx="78">
                  <c:v>41.999691974813601</c:v>
                </c:pt>
                <c:pt idx="79">
                  <c:v>42.430391152745017</c:v>
                </c:pt>
              </c:numCache>
            </c:numRef>
          </c:xVal>
          <c:yVal>
            <c:numRef>
              <c:f>'Вывод расчетов'!$US$19:$US$98</c:f>
              <c:numCache>
                <c:formatCode>0.000</c:formatCode>
                <c:ptCount val="80"/>
                <c:pt idx="0">
                  <c:v>8.2402290651120425E-2</c:v>
                </c:pt>
                <c:pt idx="1">
                  <c:v>0.13222375927354896</c:v>
                </c:pt>
                <c:pt idx="2">
                  <c:v>0.18095951686040376</c:v>
                </c:pt>
                <c:pt idx="3">
                  <c:v>0.22826398514551724</c:v>
                </c:pt>
                <c:pt idx="4">
                  <c:v>0.27384447307436316</c:v>
                </c:pt>
                <c:pt idx="5">
                  <c:v>0.31746724378709773</c:v>
                </c:pt>
                <c:pt idx="6">
                  <c:v>0.35895937036100939</c:v>
                </c:pt>
                <c:pt idx="7">
                  <c:v>0.39820689232488299</c:v>
                </c:pt>
                <c:pt idx="8">
                  <c:v>0.43515008702184843</c:v>
                </c:pt>
                <c:pt idx="9">
                  <c:v>0.46977679301954067</c:v>
                </c:pt>
                <c:pt idx="10">
                  <c:v>0.50211469334269243</c:v>
                </c:pt>
                <c:pt idx="11">
                  <c:v>0.5322233325832415</c:v>
                </c:pt>
                <c:pt idx="12">
                  <c:v>0.5601864560130313</c:v>
                </c:pt>
                <c:pt idx="13">
                  <c:v>0.58610506414635566</c:v>
                </c:pt>
                <c:pt idx="14">
                  <c:v>0.61009140204615075</c:v>
                </c:pt>
                <c:pt idx="15">
                  <c:v>0.63226396406793761</c:v>
                </c:pt>
                <c:pt idx="16">
                  <c:v>0.65274349553972644</c:v>
                </c:pt>
                <c:pt idx="17">
                  <c:v>0.67164990977955097</c:v>
                </c:pt>
                <c:pt idx="18">
                  <c:v>0.68910000500974</c:v>
                </c:pt>
                <c:pt idx="19">
                  <c:v>0.70520585336424924</c:v>
                </c:pt>
                <c:pt idx="20">
                  <c:v>0.72007373615748549</c:v>
                </c:pt>
                <c:pt idx="21">
                  <c:v>0.73380351009362843</c:v>
                </c:pt>
                <c:pt idx="22">
                  <c:v>0.74648830386010523</c:v>
                </c:pt>
                <c:pt idx="23">
                  <c:v>0.7582144606536162</c:v>
                </c:pt>
                <c:pt idx="24">
                  <c:v>0.76906165781838676</c:v>
                </c:pt>
                <c:pt idx="25">
                  <c:v>0.77910314893100929</c:v>
                </c:pt>
                <c:pt idx="26">
                  <c:v>0.78840608589540428</c:v>
                </c:pt>
                <c:pt idx="27">
                  <c:v>0.79703188881811582</c:v>
                </c:pt>
                <c:pt idx="28">
                  <c:v>0.80503663972593331</c:v>
                </c:pt>
                <c:pt idx="29">
                  <c:v>0.81247148277593939</c:v>
                </c:pt>
                <c:pt idx="30">
                  <c:v>0.81938301874307251</c:v>
                </c:pt>
                <c:pt idx="31">
                  <c:v>0.82581368550329348</c:v>
                </c:pt>
                <c:pt idx="32">
                  <c:v>0.83180211919260016</c:v>
                </c:pt>
                <c:pt idx="33">
                  <c:v>0.83738349291499181</c:v>
                </c:pt>
                <c:pt idx="34">
                  <c:v>0.84258983146563138</c:v>
                </c:pt>
                <c:pt idx="35">
                  <c:v>0.8474503016677174</c:v>
                </c:pt>
                <c:pt idx="36">
                  <c:v>0.85199147870439174</c:v>
                </c:pt>
                <c:pt idx="37">
                  <c:v>0.85623758934825667</c:v>
                </c:pt>
                <c:pt idx="38">
                  <c:v>0.86021073331921893</c:v>
                </c:pt>
                <c:pt idx="39">
                  <c:v>0.86393108418901821</c:v>
                </c:pt>
                <c:pt idx="40">
                  <c:v>0.86741707133797841</c:v>
                </c:pt>
                <c:pt idx="41">
                  <c:v>0.87068554448639923</c:v>
                </c:pt>
                <c:pt idx="42">
                  <c:v>0.87375192229201948</c:v>
                </c:pt>
                <c:pt idx="43">
                  <c:v>0.87663032644272865</c:v>
                </c:pt>
                <c:pt idx="44">
                  <c:v>0.87933370259220278</c:v>
                </c:pt>
                <c:pt idx="45">
                  <c:v>0.88187392939409892</c:v>
                </c:pt>
                <c:pt idx="46">
                  <c:v>0.88426191679394583</c:v>
                </c:pt>
                <c:pt idx="47">
                  <c:v>0.88650769464116408</c:v>
                </c:pt>
                <c:pt idx="48">
                  <c:v>0.88862049258955889</c:v>
                </c:pt>
                <c:pt idx="49">
                  <c:v>0.89060881216497079</c:v>
                </c:pt>
                <c:pt idx="50">
                  <c:v>0.89248049179462574</c:v>
                </c:pt>
                <c:pt idx="51">
                  <c:v>0.89424276551465676</c:v>
                </c:pt>
                <c:pt idx="52">
                  <c:v>0.89590231600047066</c:v>
                </c:pt>
                <c:pt idx="53">
                  <c:v>0.89746532249905209</c:v>
                </c:pt>
                <c:pt idx="54">
                  <c:v>0.89893750418271545</c:v>
                </c:pt>
                <c:pt idx="55">
                  <c:v>0.90032415938993005</c:v>
                </c:pt>
                <c:pt idx="56">
                  <c:v>0.9016302011702424</c:v>
                </c:pt>
                <c:pt idx="57">
                  <c:v>0.90286018950664892</c:v>
                </c:pt>
                <c:pt idx="58">
                  <c:v>0.90401836054956752</c:v>
                </c:pt>
                <c:pt idx="59">
                  <c:v>0.90510865316146016</c:v>
                </c:pt>
                <c:pt idx="60">
                  <c:v>0.90613473303974679</c:v>
                </c:pt>
                <c:pt idx="61">
                  <c:v>0.90710001465759371</c:v>
                </c:pt>
                <c:pt idx="62">
                  <c:v>0.90800768123709141</c:v>
                </c:pt>
                <c:pt idx="63">
                  <c:v>0.90886070294696664</c:v>
                </c:pt>
                <c:pt idx="64">
                  <c:v>0.90966185349701123</c:v>
                </c:pt>
                <c:pt idx="65">
                  <c:v>0.9104137252835921</c:v>
                </c:pt>
                <c:pt idx="66">
                  <c:v>0.91111874322471931</c:v>
                </c:pt>
                <c:pt idx="67">
                  <c:v>0.91177917740896064</c:v>
                </c:pt>
                <c:pt idx="68">
                  <c:v>0.9123971546698354</c:v>
                </c:pt>
                <c:pt idx="69">
                  <c:v>0.91297466918601522</c:v>
                </c:pt>
                <c:pt idx="70">
                  <c:v>0.91351359219756267</c:v>
                </c:pt>
                <c:pt idx="71">
                  <c:v>0.91401568091942109</c:v>
                </c:pt>
                <c:pt idx="72">
                  <c:v>0.91448258672529992</c:v>
                </c:pt>
                <c:pt idx="73">
                  <c:v>0.91491586266788572</c:v>
                </c:pt>
                <c:pt idx="74">
                  <c:v>0.91531697039485305</c:v>
                </c:pt>
                <c:pt idx="75">
                  <c:v>0.91568728651436415</c:v>
                </c:pt>
                <c:pt idx="76">
                  <c:v>0.91602810845856364</c:v>
                </c:pt>
                <c:pt idx="77">
                  <c:v>0.9163406598889281</c:v>
                </c:pt>
                <c:pt idx="78">
                  <c:v>0.91662609568315501</c:v>
                </c:pt>
                <c:pt idx="79">
                  <c:v>0.91688550653953593</c:v>
                </c:pt>
              </c:numCache>
            </c:numRef>
          </c:yVal>
          <c:smooth val="1"/>
        </c:ser>
        <c:ser>
          <c:idx val="2"/>
          <c:order val="2"/>
          <c:tx>
            <c:v>Расчетная мощность</c:v>
          </c:tx>
          <c:spPr>
            <a:ln w="57150">
              <a:solidFill>
                <a:srgbClr val="FF0000"/>
              </a:solidFill>
              <a:prstDash val="dash"/>
            </a:ln>
          </c:spPr>
          <c:marker>
            <c:symbol val="none"/>
          </c:marker>
          <c:xVal>
            <c:numRef>
              <c:f>'Вывод расчетов'!$RJ$19:$RJ$118</c:f>
              <c:numCache>
                <c:formatCode>0.00</c:formatCode>
                <c:ptCount val="10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numCache>
            </c:numRef>
          </c:xVal>
          <c:yVal>
            <c:numRef>
              <c:f>'Вывод расчетов'!$UC$19:$UC$118</c:f>
              <c:numCache>
                <c:formatCode>0.00</c:formatCode>
                <c:ptCount val="100"/>
                <c:pt idx="0">
                  <c:v>0.02</c:v>
                </c:pt>
                <c:pt idx="1">
                  <c:v>0.04</c:v>
                </c:pt>
                <c:pt idx="2">
                  <c:v>0.06</c:v>
                </c:pt>
                <c:pt idx="3">
                  <c:v>0.08</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29267968"/>
        <c:axId val="131018752"/>
      </c:scatterChart>
      <c:valAx>
        <c:axId val="12926796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a:defRPr>
            </a:pPr>
            <a:endParaRPr lang="en-US"/>
          </a:p>
        </c:txPr>
        <c:crossAx val="131018752"/>
        <c:crosses val="autoZero"/>
        <c:crossBetween val="midCat"/>
      </c:valAx>
      <c:valAx>
        <c:axId val="131018752"/>
        <c:scaling>
          <c:orientation val="minMax"/>
          <c:max val="1"/>
        </c:scaling>
        <c:delete val="0"/>
        <c:axPos val="l"/>
        <c:majorGridlines>
          <c:spPr>
            <a:ln w="38100">
              <a:solidFill>
                <a:schemeClr val="tx1"/>
              </a:solidFill>
            </a:ln>
          </c:spPr>
        </c:majorGridlines>
        <c:numFmt formatCode="0.0" sourceLinked="0"/>
        <c:majorTickMark val="out"/>
        <c:minorTickMark val="none"/>
        <c:tickLblPos val="nextTo"/>
        <c:spPr>
          <a:ln w="38100">
            <a:solidFill>
              <a:schemeClr val="tx1"/>
            </a:solidFill>
          </a:ln>
        </c:spPr>
        <c:txPr>
          <a:bodyPr/>
          <a:lstStyle/>
          <a:p>
            <a:pPr>
              <a:defRPr sz="2000" b="1" i="1">
                <a:latin typeface="Myriad Pro"/>
              </a:defRPr>
            </a:pPr>
            <a:endParaRPr lang="en-US"/>
          </a:p>
        </c:txPr>
        <c:crossAx val="129267968"/>
        <c:crosses val="autoZero"/>
        <c:crossBetween val="midCat"/>
      </c:valAx>
      <c:spPr>
        <a:noFill/>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176831104"/>
        <c:axId val="156836224"/>
      </c:lineChart>
      <c:catAx>
        <c:axId val="176831104"/>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en-US"/>
          </a:p>
        </c:txPr>
        <c:crossAx val="156836224"/>
        <c:crosses val="autoZero"/>
        <c:auto val="1"/>
        <c:lblAlgn val="ctr"/>
        <c:lblOffset val="100"/>
        <c:tickLblSkip val="4"/>
        <c:tickMarkSkip val="4"/>
        <c:noMultiLvlLbl val="0"/>
      </c:catAx>
      <c:valAx>
        <c:axId val="156836224"/>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en-US"/>
          </a:p>
        </c:txPr>
        <c:crossAx val="176831104"/>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en-US"/>
        </a:p>
      </c:txPr>
    </c:legend>
    <c:plotVisOnly val="1"/>
    <c:dispBlanksAs val="gap"/>
    <c:showDLblsOverMax val="0"/>
  </c:chart>
  <c:spPr>
    <a:ln w="28575">
      <a:solidFill>
        <a:schemeClr val="tx1"/>
      </a:solidFill>
    </a:ln>
  </c:spPr>
  <c:txPr>
    <a:bodyPr/>
    <a:lstStyle/>
    <a:p>
      <a:pPr>
        <a:defRPr sz="16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156850816"/>
        <c:axId val="156873088"/>
      </c:lineChart>
      <c:catAx>
        <c:axId val="156850816"/>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en-US"/>
          </a:p>
        </c:txPr>
        <c:crossAx val="156873088"/>
        <c:crosses val="autoZero"/>
        <c:auto val="1"/>
        <c:lblAlgn val="ctr"/>
        <c:lblOffset val="100"/>
        <c:tickLblSkip val="4"/>
        <c:tickMarkSkip val="4"/>
        <c:noMultiLvlLbl val="0"/>
      </c:catAx>
      <c:valAx>
        <c:axId val="156873088"/>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en-US"/>
          </a:p>
        </c:txPr>
        <c:crossAx val="156850816"/>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расчетов'!$QU$241:$RG$241</c:f>
              <c:numCache>
                <c:formatCode>0.00000</c:formatCode>
                <c:ptCount val="13"/>
              </c:numCache>
            </c:numRef>
          </c:cat>
          <c:val>
            <c:numRef>
              <c:f>'Вывод расчетов'!$QU$249:$RG$249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расчетов'!$QU$241:$RG$241</c:f>
              <c:numCache>
                <c:formatCode>0.00000</c:formatCode>
                <c:ptCount val="13"/>
              </c:numCache>
            </c:numRef>
          </c:cat>
          <c:val>
            <c:numRef>
              <c:f>'Вывод расчетов'!$QU$250:$RG$250</c:f>
              <c:numCache>
                <c:formatCode>0.00000</c:formatCode>
                <c:ptCount val="13"/>
              </c:numCache>
            </c:numRef>
          </c:val>
          <c:smooth val="0"/>
        </c:ser>
        <c:dLbls>
          <c:showLegendKey val="0"/>
          <c:showVal val="0"/>
          <c:showCatName val="0"/>
          <c:showSerName val="0"/>
          <c:showPercent val="0"/>
          <c:showBubbleSize val="0"/>
        </c:dLbls>
        <c:marker val="1"/>
        <c:smooth val="0"/>
        <c:axId val="182293248"/>
        <c:axId val="182294784"/>
      </c:lineChart>
      <c:catAx>
        <c:axId val="182293248"/>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crossAx val="182294784"/>
        <c:crosses val="autoZero"/>
        <c:auto val="1"/>
        <c:lblAlgn val="ctr"/>
        <c:lblOffset val="100"/>
        <c:tickLblSkip val="15"/>
        <c:tickMarkSkip val="15"/>
        <c:noMultiLvlLbl val="0"/>
      </c:catAx>
      <c:valAx>
        <c:axId val="182294784"/>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crossAx val="182293248"/>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расчетов'!$QU$258:$XN$258</c:f>
              <c:numCache>
                <c:formatCode>0.00000</c:formatCode>
                <c:ptCount val="176"/>
              </c:numCache>
            </c:numRef>
          </c:cat>
          <c:val>
            <c:numRef>
              <c:f>'Вывод расчетов'!$QU$260:$XN$260</c:f>
              <c:numCache>
                <c:formatCode>0.00000</c:formatCode>
                <c:ptCount val="176"/>
              </c:numCache>
            </c:numRef>
          </c:val>
          <c:smooth val="0"/>
        </c:ser>
        <c:ser>
          <c:idx val="1"/>
          <c:order val="1"/>
          <c:tx>
            <c:v>η</c:v>
          </c:tx>
          <c:spPr>
            <a:ln w="34925">
              <a:solidFill>
                <a:schemeClr val="tx1"/>
              </a:solidFill>
            </a:ln>
          </c:spPr>
          <c:marker>
            <c:symbol val="none"/>
          </c:marker>
          <c:cat>
            <c:numRef>
              <c:f>'Вывод расчетов'!$QU$258:$XN$258</c:f>
              <c:numCache>
                <c:formatCode>0.00000</c:formatCode>
                <c:ptCount val="176"/>
              </c:numCache>
            </c:numRef>
          </c:cat>
          <c:val>
            <c:numRef>
              <c:f>'Вывод расчетов'!$QU$259:$XN$259</c:f>
              <c:numCache>
                <c:formatCode>0.00000</c:formatCode>
                <c:ptCount val="176"/>
              </c:numCache>
            </c:numRef>
          </c:val>
          <c:smooth val="0"/>
        </c:ser>
        <c:dLbls>
          <c:showLegendKey val="0"/>
          <c:showVal val="0"/>
          <c:showCatName val="0"/>
          <c:showSerName val="0"/>
          <c:showPercent val="0"/>
          <c:showBubbleSize val="0"/>
        </c:dLbls>
        <c:marker val="1"/>
        <c:smooth val="0"/>
        <c:axId val="182461184"/>
        <c:axId val="182463104"/>
      </c:lineChart>
      <c:catAx>
        <c:axId val="182461184"/>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en-US"/>
          </a:p>
        </c:txPr>
        <c:crossAx val="182463104"/>
        <c:crosses val="autoZero"/>
        <c:auto val="1"/>
        <c:lblAlgn val="ctr"/>
        <c:lblOffset val="100"/>
        <c:tickLblSkip val="28"/>
        <c:tickMarkSkip val="28"/>
        <c:noMultiLvlLbl val="0"/>
      </c:catAx>
      <c:valAx>
        <c:axId val="182463104"/>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en-US"/>
          </a:p>
        </c:txPr>
        <c:crossAx val="182461184"/>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en-US"/>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282.png"/><Relationship Id="rId13" Type="http://schemas.openxmlformats.org/officeDocument/2006/relationships/image" Target="../media/image287.png"/><Relationship Id="rId18" Type="http://schemas.openxmlformats.org/officeDocument/2006/relationships/image" Target="../media/image292.png"/><Relationship Id="rId26" Type="http://schemas.openxmlformats.org/officeDocument/2006/relationships/chart" Target="../charts/chart2.xml"/><Relationship Id="rId3" Type="http://schemas.openxmlformats.org/officeDocument/2006/relationships/image" Target="../media/image277.png"/><Relationship Id="rId21" Type="http://schemas.openxmlformats.org/officeDocument/2006/relationships/image" Target="../media/image295.png"/><Relationship Id="rId7" Type="http://schemas.openxmlformats.org/officeDocument/2006/relationships/image" Target="../media/image281.png"/><Relationship Id="rId12" Type="http://schemas.openxmlformats.org/officeDocument/2006/relationships/image" Target="../media/image286.png"/><Relationship Id="rId17" Type="http://schemas.openxmlformats.org/officeDocument/2006/relationships/image" Target="../media/image291.png"/><Relationship Id="rId25" Type="http://schemas.openxmlformats.org/officeDocument/2006/relationships/chart" Target="../charts/chart1.xml"/><Relationship Id="rId2" Type="http://schemas.openxmlformats.org/officeDocument/2006/relationships/image" Target="../media/image276.jpeg"/><Relationship Id="rId16" Type="http://schemas.openxmlformats.org/officeDocument/2006/relationships/image" Target="../media/image290.png"/><Relationship Id="rId20" Type="http://schemas.openxmlformats.org/officeDocument/2006/relationships/image" Target="../media/image294.png"/><Relationship Id="rId29" Type="http://schemas.openxmlformats.org/officeDocument/2006/relationships/chart" Target="../charts/chart5.xml"/><Relationship Id="rId1" Type="http://schemas.openxmlformats.org/officeDocument/2006/relationships/image" Target="../media/image275.emf"/><Relationship Id="rId6" Type="http://schemas.openxmlformats.org/officeDocument/2006/relationships/image" Target="../media/image280.png"/><Relationship Id="rId11" Type="http://schemas.openxmlformats.org/officeDocument/2006/relationships/image" Target="../media/image285.png"/><Relationship Id="rId24" Type="http://schemas.openxmlformats.org/officeDocument/2006/relationships/image" Target="../media/image298.png"/><Relationship Id="rId5" Type="http://schemas.openxmlformats.org/officeDocument/2006/relationships/image" Target="../media/image279.png"/><Relationship Id="rId15" Type="http://schemas.openxmlformats.org/officeDocument/2006/relationships/image" Target="../media/image289.png"/><Relationship Id="rId23" Type="http://schemas.openxmlformats.org/officeDocument/2006/relationships/image" Target="../media/image297.png"/><Relationship Id="rId28" Type="http://schemas.openxmlformats.org/officeDocument/2006/relationships/chart" Target="../charts/chart4.xml"/><Relationship Id="rId10" Type="http://schemas.openxmlformats.org/officeDocument/2006/relationships/image" Target="../media/image284.png"/><Relationship Id="rId19" Type="http://schemas.openxmlformats.org/officeDocument/2006/relationships/image" Target="../media/image293.png"/><Relationship Id="rId31" Type="http://schemas.openxmlformats.org/officeDocument/2006/relationships/image" Target="../media/image299.png"/><Relationship Id="rId4" Type="http://schemas.openxmlformats.org/officeDocument/2006/relationships/image" Target="../media/image278.png"/><Relationship Id="rId9" Type="http://schemas.openxmlformats.org/officeDocument/2006/relationships/image" Target="../media/image283.png"/><Relationship Id="rId14" Type="http://schemas.openxmlformats.org/officeDocument/2006/relationships/image" Target="../media/image288.png"/><Relationship Id="rId22" Type="http://schemas.openxmlformats.org/officeDocument/2006/relationships/image" Target="../media/image296.png"/><Relationship Id="rId27" Type="http://schemas.openxmlformats.org/officeDocument/2006/relationships/chart" Target="../charts/chart3.xml"/><Relationship Id="rId30"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3" Type="http://schemas.openxmlformats.org/officeDocument/2006/relationships/image" Target="../media/image277.png"/><Relationship Id="rId18" Type="http://schemas.openxmlformats.org/officeDocument/2006/relationships/image" Target="../media/image344.png"/><Relationship Id="rId26" Type="http://schemas.openxmlformats.org/officeDocument/2006/relationships/image" Target="../media/image352.emf"/><Relationship Id="rId39" Type="http://schemas.openxmlformats.org/officeDocument/2006/relationships/image" Target="../media/image365.png"/><Relationship Id="rId21" Type="http://schemas.openxmlformats.org/officeDocument/2006/relationships/image" Target="../media/image347.emf"/><Relationship Id="rId34" Type="http://schemas.openxmlformats.org/officeDocument/2006/relationships/image" Target="../media/image360.png"/><Relationship Id="rId42" Type="http://schemas.openxmlformats.org/officeDocument/2006/relationships/image" Target="../media/image368.png"/><Relationship Id="rId47" Type="http://schemas.openxmlformats.org/officeDocument/2006/relationships/image" Target="../media/image373.png"/><Relationship Id="rId50" Type="http://schemas.openxmlformats.org/officeDocument/2006/relationships/image" Target="../media/image376.png"/><Relationship Id="rId55" Type="http://schemas.openxmlformats.org/officeDocument/2006/relationships/image" Target="../media/image379.jpeg"/><Relationship Id="rId63" Type="http://schemas.openxmlformats.org/officeDocument/2006/relationships/image" Target="../media/image385.png"/><Relationship Id="rId7" Type="http://schemas.openxmlformats.org/officeDocument/2006/relationships/image" Target="../media/image334.jpeg"/><Relationship Id="rId2" Type="http://schemas.openxmlformats.org/officeDocument/2006/relationships/image" Target="../media/image329.png"/><Relationship Id="rId16" Type="http://schemas.openxmlformats.org/officeDocument/2006/relationships/image" Target="../media/image342.png"/><Relationship Id="rId20" Type="http://schemas.openxmlformats.org/officeDocument/2006/relationships/image" Target="../media/image346.emf"/><Relationship Id="rId29" Type="http://schemas.openxmlformats.org/officeDocument/2006/relationships/image" Target="../media/image355.png"/><Relationship Id="rId41" Type="http://schemas.openxmlformats.org/officeDocument/2006/relationships/image" Target="../media/image367.png"/><Relationship Id="rId54" Type="http://schemas.openxmlformats.org/officeDocument/2006/relationships/image" Target="../media/image279.png"/><Relationship Id="rId62" Type="http://schemas.openxmlformats.org/officeDocument/2006/relationships/image" Target="../media/image384.jpeg"/><Relationship Id="rId1" Type="http://schemas.openxmlformats.org/officeDocument/2006/relationships/image" Target="../media/image328.png"/><Relationship Id="rId6" Type="http://schemas.openxmlformats.org/officeDocument/2006/relationships/image" Target="../media/image333.jpeg"/><Relationship Id="rId11" Type="http://schemas.openxmlformats.org/officeDocument/2006/relationships/image" Target="../media/image338.png"/><Relationship Id="rId24" Type="http://schemas.openxmlformats.org/officeDocument/2006/relationships/image" Target="../media/image350.emf"/><Relationship Id="rId32" Type="http://schemas.openxmlformats.org/officeDocument/2006/relationships/image" Target="../media/image358.png"/><Relationship Id="rId37" Type="http://schemas.openxmlformats.org/officeDocument/2006/relationships/image" Target="../media/image363.png"/><Relationship Id="rId40" Type="http://schemas.openxmlformats.org/officeDocument/2006/relationships/image" Target="../media/image366.png"/><Relationship Id="rId45" Type="http://schemas.openxmlformats.org/officeDocument/2006/relationships/image" Target="../media/image371.emf"/><Relationship Id="rId53" Type="http://schemas.openxmlformats.org/officeDocument/2006/relationships/image" Target="../media/image378.png"/><Relationship Id="rId58" Type="http://schemas.openxmlformats.org/officeDocument/2006/relationships/image" Target="../media/image380.jpeg"/><Relationship Id="rId5" Type="http://schemas.openxmlformats.org/officeDocument/2006/relationships/image" Target="../media/image332.png"/><Relationship Id="rId15" Type="http://schemas.openxmlformats.org/officeDocument/2006/relationships/image" Target="../media/image341.png"/><Relationship Id="rId23" Type="http://schemas.openxmlformats.org/officeDocument/2006/relationships/image" Target="../media/image349.emf"/><Relationship Id="rId28" Type="http://schemas.openxmlformats.org/officeDocument/2006/relationships/image" Target="../media/image354.png"/><Relationship Id="rId36" Type="http://schemas.openxmlformats.org/officeDocument/2006/relationships/image" Target="../media/image362.png"/><Relationship Id="rId49" Type="http://schemas.openxmlformats.org/officeDocument/2006/relationships/image" Target="../media/image375.png"/><Relationship Id="rId57" Type="http://schemas.openxmlformats.org/officeDocument/2006/relationships/chart" Target="../charts/chart8.xml"/><Relationship Id="rId61" Type="http://schemas.openxmlformats.org/officeDocument/2006/relationships/image" Target="../media/image383.jpeg"/><Relationship Id="rId10" Type="http://schemas.openxmlformats.org/officeDocument/2006/relationships/image" Target="../media/image337.png"/><Relationship Id="rId19" Type="http://schemas.openxmlformats.org/officeDocument/2006/relationships/image" Target="../media/image345.png"/><Relationship Id="rId31" Type="http://schemas.openxmlformats.org/officeDocument/2006/relationships/image" Target="../media/image357.png"/><Relationship Id="rId44" Type="http://schemas.openxmlformats.org/officeDocument/2006/relationships/image" Target="../media/image370.png"/><Relationship Id="rId52" Type="http://schemas.openxmlformats.org/officeDocument/2006/relationships/image" Target="../media/image377.png"/><Relationship Id="rId60" Type="http://schemas.openxmlformats.org/officeDocument/2006/relationships/image" Target="../media/image382.jpeg"/><Relationship Id="rId65" Type="http://schemas.openxmlformats.org/officeDocument/2006/relationships/image" Target="../media/image278.png"/><Relationship Id="rId4" Type="http://schemas.openxmlformats.org/officeDocument/2006/relationships/image" Target="../media/image331.png"/><Relationship Id="rId9" Type="http://schemas.openxmlformats.org/officeDocument/2006/relationships/image" Target="../media/image336.jpeg"/><Relationship Id="rId14" Type="http://schemas.openxmlformats.org/officeDocument/2006/relationships/image" Target="../media/image340.png"/><Relationship Id="rId22" Type="http://schemas.openxmlformats.org/officeDocument/2006/relationships/image" Target="../media/image348.emf"/><Relationship Id="rId27" Type="http://schemas.openxmlformats.org/officeDocument/2006/relationships/image" Target="../media/image353.png"/><Relationship Id="rId30" Type="http://schemas.openxmlformats.org/officeDocument/2006/relationships/image" Target="../media/image356.png"/><Relationship Id="rId35" Type="http://schemas.openxmlformats.org/officeDocument/2006/relationships/image" Target="../media/image361.png"/><Relationship Id="rId43" Type="http://schemas.openxmlformats.org/officeDocument/2006/relationships/image" Target="../media/image369.png"/><Relationship Id="rId48" Type="http://schemas.openxmlformats.org/officeDocument/2006/relationships/image" Target="../media/image374.png"/><Relationship Id="rId56" Type="http://schemas.openxmlformats.org/officeDocument/2006/relationships/chart" Target="../charts/chart7.xml"/><Relationship Id="rId64" Type="http://schemas.openxmlformats.org/officeDocument/2006/relationships/image" Target="../media/image386.png"/><Relationship Id="rId8" Type="http://schemas.openxmlformats.org/officeDocument/2006/relationships/image" Target="../media/image335.emf"/><Relationship Id="rId51" Type="http://schemas.openxmlformats.org/officeDocument/2006/relationships/image" Target="../media/image276.jpeg"/><Relationship Id="rId3" Type="http://schemas.openxmlformats.org/officeDocument/2006/relationships/image" Target="../media/image330.jpeg"/><Relationship Id="rId12" Type="http://schemas.openxmlformats.org/officeDocument/2006/relationships/image" Target="../media/image339.png"/><Relationship Id="rId17" Type="http://schemas.openxmlformats.org/officeDocument/2006/relationships/image" Target="../media/image343.png"/><Relationship Id="rId25" Type="http://schemas.openxmlformats.org/officeDocument/2006/relationships/image" Target="../media/image351.emf"/><Relationship Id="rId33" Type="http://schemas.openxmlformats.org/officeDocument/2006/relationships/image" Target="../media/image359.png"/><Relationship Id="rId38" Type="http://schemas.openxmlformats.org/officeDocument/2006/relationships/image" Target="../media/image364.png"/><Relationship Id="rId46" Type="http://schemas.openxmlformats.org/officeDocument/2006/relationships/image" Target="../media/image372.png"/><Relationship Id="rId59" Type="http://schemas.openxmlformats.org/officeDocument/2006/relationships/image" Target="../media/image381.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96.jpeg"/><Relationship Id="rId3" Type="http://schemas.openxmlformats.org/officeDocument/2006/relationships/image" Target="../media/image391.jpeg"/><Relationship Id="rId7" Type="http://schemas.openxmlformats.org/officeDocument/2006/relationships/image" Target="../media/image395.jpeg"/><Relationship Id="rId2" Type="http://schemas.openxmlformats.org/officeDocument/2006/relationships/image" Target="../media/image390.jpeg"/><Relationship Id="rId1" Type="http://schemas.openxmlformats.org/officeDocument/2006/relationships/image" Target="../media/image389.jpeg"/><Relationship Id="rId6" Type="http://schemas.openxmlformats.org/officeDocument/2006/relationships/image" Target="../media/image394.jpeg"/><Relationship Id="rId5" Type="http://schemas.openxmlformats.org/officeDocument/2006/relationships/image" Target="../media/image393.png"/><Relationship Id="rId4" Type="http://schemas.openxmlformats.org/officeDocument/2006/relationships/image" Target="../media/image39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404.emf"/><Relationship Id="rId13" Type="http://schemas.openxmlformats.org/officeDocument/2006/relationships/image" Target="../media/image409.png"/><Relationship Id="rId18" Type="http://schemas.openxmlformats.org/officeDocument/2006/relationships/image" Target="../media/image348.emf"/><Relationship Id="rId3" Type="http://schemas.openxmlformats.org/officeDocument/2006/relationships/image" Target="../media/image399.emf"/><Relationship Id="rId7" Type="http://schemas.openxmlformats.org/officeDocument/2006/relationships/image" Target="../media/image403.emf"/><Relationship Id="rId12" Type="http://schemas.openxmlformats.org/officeDocument/2006/relationships/image" Target="../media/image408.emf"/><Relationship Id="rId17" Type="http://schemas.openxmlformats.org/officeDocument/2006/relationships/image" Target="../media/image411.png"/><Relationship Id="rId2" Type="http://schemas.openxmlformats.org/officeDocument/2006/relationships/image" Target="../media/image398.emf"/><Relationship Id="rId16" Type="http://schemas.openxmlformats.org/officeDocument/2006/relationships/image" Target="../media/image410.png"/><Relationship Id="rId1" Type="http://schemas.openxmlformats.org/officeDocument/2006/relationships/image" Target="../media/image397.jpeg"/><Relationship Id="rId6" Type="http://schemas.openxmlformats.org/officeDocument/2006/relationships/image" Target="../media/image402.emf"/><Relationship Id="rId11" Type="http://schemas.openxmlformats.org/officeDocument/2006/relationships/image" Target="../media/image407.png"/><Relationship Id="rId5" Type="http://schemas.openxmlformats.org/officeDocument/2006/relationships/image" Target="../media/image401.emf"/><Relationship Id="rId15" Type="http://schemas.openxmlformats.org/officeDocument/2006/relationships/image" Target="../media/image391.jpeg"/><Relationship Id="rId10" Type="http://schemas.openxmlformats.org/officeDocument/2006/relationships/image" Target="../media/image406.emf"/><Relationship Id="rId19" Type="http://schemas.openxmlformats.org/officeDocument/2006/relationships/image" Target="../media/image346.emf"/><Relationship Id="rId4" Type="http://schemas.openxmlformats.org/officeDocument/2006/relationships/image" Target="../media/image400.emf"/><Relationship Id="rId9" Type="http://schemas.openxmlformats.org/officeDocument/2006/relationships/image" Target="../media/image405.emf"/><Relationship Id="rId14" Type="http://schemas.openxmlformats.org/officeDocument/2006/relationships/image" Target="../media/image389.jpe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268" Type="http://schemas.openxmlformats.org/officeDocument/2006/relationships/image" Target="../media/image268.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260" Type="http://schemas.openxmlformats.org/officeDocument/2006/relationships/image" Target="../media/image260.emf"/><Relationship Id="rId265" Type="http://schemas.openxmlformats.org/officeDocument/2006/relationships/image" Target="../media/image265.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71" Type="http://schemas.openxmlformats.org/officeDocument/2006/relationships/image" Target="../media/image271.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261" Type="http://schemas.openxmlformats.org/officeDocument/2006/relationships/image" Target="../media/image261.emf"/><Relationship Id="rId266" Type="http://schemas.openxmlformats.org/officeDocument/2006/relationships/image" Target="../media/image266.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72" Type="http://schemas.openxmlformats.org/officeDocument/2006/relationships/image" Target="../media/image272.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267" Type="http://schemas.openxmlformats.org/officeDocument/2006/relationships/image" Target="../media/image267.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262" Type="http://schemas.openxmlformats.org/officeDocument/2006/relationships/image" Target="../media/image262.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07.emf"/><Relationship Id="rId13" Type="http://schemas.openxmlformats.org/officeDocument/2006/relationships/image" Target="../media/image312.emf"/><Relationship Id="rId18" Type="http://schemas.openxmlformats.org/officeDocument/2006/relationships/image" Target="../media/image317.emf"/><Relationship Id="rId26" Type="http://schemas.openxmlformats.org/officeDocument/2006/relationships/image" Target="../media/image325.emf"/><Relationship Id="rId3" Type="http://schemas.openxmlformats.org/officeDocument/2006/relationships/image" Target="../media/image302.emf"/><Relationship Id="rId21" Type="http://schemas.openxmlformats.org/officeDocument/2006/relationships/image" Target="../media/image320.emf"/><Relationship Id="rId7" Type="http://schemas.openxmlformats.org/officeDocument/2006/relationships/image" Target="../media/image306.emf"/><Relationship Id="rId12" Type="http://schemas.openxmlformats.org/officeDocument/2006/relationships/image" Target="../media/image311.emf"/><Relationship Id="rId17" Type="http://schemas.openxmlformats.org/officeDocument/2006/relationships/image" Target="../media/image316.emf"/><Relationship Id="rId25" Type="http://schemas.openxmlformats.org/officeDocument/2006/relationships/image" Target="../media/image324.emf"/><Relationship Id="rId2" Type="http://schemas.openxmlformats.org/officeDocument/2006/relationships/image" Target="../media/image301.emf"/><Relationship Id="rId16" Type="http://schemas.openxmlformats.org/officeDocument/2006/relationships/image" Target="../media/image315.emf"/><Relationship Id="rId20" Type="http://schemas.openxmlformats.org/officeDocument/2006/relationships/image" Target="../media/image319.emf"/><Relationship Id="rId1" Type="http://schemas.openxmlformats.org/officeDocument/2006/relationships/image" Target="../media/image300.wmf"/><Relationship Id="rId6" Type="http://schemas.openxmlformats.org/officeDocument/2006/relationships/image" Target="../media/image305.emf"/><Relationship Id="rId11" Type="http://schemas.openxmlformats.org/officeDocument/2006/relationships/image" Target="../media/image310.wmf"/><Relationship Id="rId24" Type="http://schemas.openxmlformats.org/officeDocument/2006/relationships/image" Target="../media/image323.emf"/><Relationship Id="rId5" Type="http://schemas.openxmlformats.org/officeDocument/2006/relationships/image" Target="../media/image304.emf"/><Relationship Id="rId15" Type="http://schemas.openxmlformats.org/officeDocument/2006/relationships/image" Target="../media/image314.emf"/><Relationship Id="rId23" Type="http://schemas.openxmlformats.org/officeDocument/2006/relationships/image" Target="../media/image322.emf"/><Relationship Id="rId28" Type="http://schemas.openxmlformats.org/officeDocument/2006/relationships/image" Target="../media/image327.emf"/><Relationship Id="rId10" Type="http://schemas.openxmlformats.org/officeDocument/2006/relationships/image" Target="../media/image309.wmf"/><Relationship Id="rId19" Type="http://schemas.openxmlformats.org/officeDocument/2006/relationships/image" Target="../media/image318.emf"/><Relationship Id="rId4" Type="http://schemas.openxmlformats.org/officeDocument/2006/relationships/image" Target="../media/image303.emf"/><Relationship Id="rId9" Type="http://schemas.openxmlformats.org/officeDocument/2006/relationships/image" Target="../media/image308.wmf"/><Relationship Id="rId14" Type="http://schemas.openxmlformats.org/officeDocument/2006/relationships/image" Target="../media/image313.emf"/><Relationship Id="rId22" Type="http://schemas.openxmlformats.org/officeDocument/2006/relationships/image" Target="../media/image321.emf"/><Relationship Id="rId27" Type="http://schemas.openxmlformats.org/officeDocument/2006/relationships/image" Target="../media/image326.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88.emf"/><Relationship Id="rId1" Type="http://schemas.openxmlformats.org/officeDocument/2006/relationships/image" Target="../media/image38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12.emf"/><Relationship Id="rId1" Type="http://schemas.openxmlformats.org/officeDocument/2006/relationships/image" Target="../media/image11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210</xdr:col>
          <xdr:colOff>304800</xdr:colOff>
          <xdr:row>110</xdr:row>
          <xdr:rowOff>161925</xdr:rowOff>
        </xdr:from>
        <xdr:to>
          <xdr:col>212</xdr:col>
          <xdr:colOff>238125</xdr:colOff>
          <xdr:row>111</xdr:row>
          <xdr:rowOff>466725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171450</xdr:colOff>
          <xdr:row>114</xdr:row>
          <xdr:rowOff>171450</xdr:rowOff>
        </xdr:from>
        <xdr:to>
          <xdr:col>211</xdr:col>
          <xdr:colOff>257175</xdr:colOff>
          <xdr:row>115</xdr:row>
          <xdr:rowOff>381000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19</xdr:row>
          <xdr:rowOff>95250</xdr:rowOff>
        </xdr:from>
        <xdr:to>
          <xdr:col>100</xdr:col>
          <xdr:colOff>171450</xdr:colOff>
          <xdr:row>20</xdr:row>
          <xdr:rowOff>400050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190500</xdr:colOff>
          <xdr:row>40</xdr:row>
          <xdr:rowOff>390525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67</xdr:row>
          <xdr:rowOff>190500</xdr:rowOff>
        </xdr:from>
        <xdr:to>
          <xdr:col>99</xdr:col>
          <xdr:colOff>447675</xdr:colOff>
          <xdr:row>68</xdr:row>
          <xdr:rowOff>428625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71</xdr:row>
          <xdr:rowOff>142875</xdr:rowOff>
        </xdr:from>
        <xdr:to>
          <xdr:col>100</xdr:col>
          <xdr:colOff>438150</xdr:colOff>
          <xdr:row>72</xdr:row>
          <xdr:rowOff>409575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91</xdr:row>
          <xdr:rowOff>180975</xdr:rowOff>
        </xdr:from>
        <xdr:to>
          <xdr:col>99</xdr:col>
          <xdr:colOff>142875</xdr:colOff>
          <xdr:row>92</xdr:row>
          <xdr:rowOff>352425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304800</xdr:colOff>
          <xdr:row>95</xdr:row>
          <xdr:rowOff>161925</xdr:rowOff>
        </xdr:from>
        <xdr:to>
          <xdr:col>101</xdr:col>
          <xdr:colOff>19050</xdr:colOff>
          <xdr:row>96</xdr:row>
          <xdr:rowOff>342900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161925</xdr:colOff>
          <xdr:row>129</xdr:row>
          <xdr:rowOff>142875</xdr:rowOff>
        </xdr:from>
        <xdr:to>
          <xdr:col>100</xdr:col>
          <xdr:colOff>400050</xdr:colOff>
          <xdr:row>130</xdr:row>
          <xdr:rowOff>476250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219075</xdr:colOff>
          <xdr:row>118</xdr:row>
          <xdr:rowOff>123825</xdr:rowOff>
        </xdr:from>
        <xdr:to>
          <xdr:col>211</xdr:col>
          <xdr:colOff>209550</xdr:colOff>
          <xdr:row>119</xdr:row>
          <xdr:rowOff>333375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400050</xdr:colOff>
          <xdr:row>122</xdr:row>
          <xdr:rowOff>180975</xdr:rowOff>
        </xdr:from>
        <xdr:to>
          <xdr:col>212</xdr:col>
          <xdr:colOff>228600</xdr:colOff>
          <xdr:row>123</xdr:row>
          <xdr:rowOff>381000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304800</xdr:colOff>
          <xdr:row>27</xdr:row>
          <xdr:rowOff>342900</xdr:rowOff>
        </xdr:from>
        <xdr:to>
          <xdr:col>212</xdr:col>
          <xdr:colOff>209550</xdr:colOff>
          <xdr:row>28</xdr:row>
          <xdr:rowOff>209550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31</xdr:row>
          <xdr:rowOff>133350</xdr:rowOff>
        </xdr:from>
        <xdr:to>
          <xdr:col>211</xdr:col>
          <xdr:colOff>457200</xdr:colOff>
          <xdr:row>32</xdr:row>
          <xdr:rowOff>476250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266700</xdr:colOff>
          <xdr:row>40</xdr:row>
          <xdr:rowOff>238125</xdr:rowOff>
        </xdr:from>
        <xdr:to>
          <xdr:col>276</xdr:col>
          <xdr:colOff>361950</xdr:colOff>
          <xdr:row>41</xdr:row>
          <xdr:rowOff>342900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76</xdr:row>
          <xdr:rowOff>190500</xdr:rowOff>
        </xdr:from>
        <xdr:to>
          <xdr:col>276</xdr:col>
          <xdr:colOff>276225</xdr:colOff>
          <xdr:row>77</xdr:row>
          <xdr:rowOff>352425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105</xdr:row>
          <xdr:rowOff>85725</xdr:rowOff>
        </xdr:from>
        <xdr:to>
          <xdr:col>277</xdr:col>
          <xdr:colOff>400050</xdr:colOff>
          <xdr:row>106</xdr:row>
          <xdr:rowOff>457200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190500</xdr:colOff>
          <xdr:row>113</xdr:row>
          <xdr:rowOff>104775</xdr:rowOff>
        </xdr:from>
        <xdr:to>
          <xdr:col>276</xdr:col>
          <xdr:colOff>381000</xdr:colOff>
          <xdr:row>114</xdr:row>
          <xdr:rowOff>485775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285750</xdr:colOff>
          <xdr:row>14</xdr:row>
          <xdr:rowOff>190500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57</xdr:row>
          <xdr:rowOff>361950</xdr:rowOff>
        </xdr:from>
        <xdr:to>
          <xdr:col>277</xdr:col>
          <xdr:colOff>371475</xdr:colOff>
          <xdr:row>58</xdr:row>
          <xdr:rowOff>238125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124</xdr:row>
          <xdr:rowOff>457200</xdr:rowOff>
        </xdr:from>
        <xdr:to>
          <xdr:col>277</xdr:col>
          <xdr:colOff>485775</xdr:colOff>
          <xdr:row>126</xdr:row>
          <xdr:rowOff>295275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285750</xdr:colOff>
          <xdr:row>46</xdr:row>
          <xdr:rowOff>238125</xdr:rowOff>
        </xdr:from>
        <xdr:to>
          <xdr:col>276</xdr:col>
          <xdr:colOff>276225</xdr:colOff>
          <xdr:row>47</xdr:row>
          <xdr:rowOff>161925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295275</xdr:colOff>
          <xdr:row>86</xdr:row>
          <xdr:rowOff>285750</xdr:rowOff>
        </xdr:from>
        <xdr:to>
          <xdr:col>276</xdr:col>
          <xdr:colOff>361950</xdr:colOff>
          <xdr:row>87</xdr:row>
          <xdr:rowOff>228600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95</xdr:row>
          <xdr:rowOff>371475</xdr:rowOff>
        </xdr:from>
        <xdr:to>
          <xdr:col>275</xdr:col>
          <xdr:colOff>400050</xdr:colOff>
          <xdr:row>96</xdr:row>
          <xdr:rowOff>333375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342900</xdr:colOff>
          <xdr:row>152</xdr:row>
          <xdr:rowOff>95250</xdr:rowOff>
        </xdr:from>
        <xdr:to>
          <xdr:col>275</xdr:col>
          <xdr:colOff>342900</xdr:colOff>
          <xdr:row>153</xdr:row>
          <xdr:rowOff>438150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26</xdr:row>
          <xdr:rowOff>314325</xdr:rowOff>
        </xdr:from>
        <xdr:to>
          <xdr:col>362</xdr:col>
          <xdr:colOff>161925</xdr:colOff>
          <xdr:row>27</xdr:row>
          <xdr:rowOff>228600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58</xdr:row>
          <xdr:rowOff>123825</xdr:rowOff>
        </xdr:from>
        <xdr:to>
          <xdr:col>362</xdr:col>
          <xdr:colOff>190500</xdr:colOff>
          <xdr:row>59</xdr:row>
          <xdr:rowOff>390525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78</xdr:row>
          <xdr:rowOff>409575</xdr:rowOff>
        </xdr:from>
        <xdr:to>
          <xdr:col>364</xdr:col>
          <xdr:colOff>361950</xdr:colOff>
          <xdr:row>80</xdr:row>
          <xdr:rowOff>266700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228600</xdr:colOff>
          <xdr:row>32</xdr:row>
          <xdr:rowOff>152400</xdr:rowOff>
        </xdr:from>
        <xdr:to>
          <xdr:col>155</xdr:col>
          <xdr:colOff>247650</xdr:colOff>
          <xdr:row>33</xdr:row>
          <xdr:rowOff>495300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266700</xdr:colOff>
          <xdr:row>83</xdr:row>
          <xdr:rowOff>190500</xdr:rowOff>
        </xdr:from>
        <xdr:to>
          <xdr:col>100</xdr:col>
          <xdr:colOff>38100</xdr:colOff>
          <xdr:row>84</xdr:row>
          <xdr:rowOff>333375</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428625</xdr:colOff>
          <xdr:row>83</xdr:row>
          <xdr:rowOff>76200</xdr:rowOff>
        </xdr:from>
        <xdr:to>
          <xdr:col>104</xdr:col>
          <xdr:colOff>428625</xdr:colOff>
          <xdr:row>84</xdr:row>
          <xdr:rowOff>466725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132</xdr:col>
          <xdr:colOff>0</xdr:colOff>
          <xdr:row>4</xdr:row>
          <xdr:rowOff>209550</xdr:rowOff>
        </xdr:from>
        <xdr:to>
          <xdr:col>144</xdr:col>
          <xdr:colOff>552450</xdr:colOff>
          <xdr:row>6</xdr:row>
          <xdr:rowOff>152400</xdr:rowOff>
        </xdr:to>
        <xdr:sp macro="" textlink="">
          <xdr:nvSpPr>
            <xdr:cNvPr id="1272" name="Object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238125</xdr:colOff>
          <xdr:row>179</xdr:row>
          <xdr:rowOff>200025</xdr:rowOff>
        </xdr:from>
        <xdr:to>
          <xdr:col>451</xdr:col>
          <xdr:colOff>352425</xdr:colOff>
          <xdr:row>180</xdr:row>
          <xdr:rowOff>371475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400050</xdr:colOff>
          <xdr:row>183</xdr:row>
          <xdr:rowOff>276225</xdr:rowOff>
        </xdr:from>
        <xdr:to>
          <xdr:col>454</xdr:col>
          <xdr:colOff>219075</xdr:colOff>
          <xdr:row>185</xdr:row>
          <xdr:rowOff>266700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188</xdr:row>
          <xdr:rowOff>209550</xdr:rowOff>
        </xdr:from>
        <xdr:to>
          <xdr:col>452</xdr:col>
          <xdr:colOff>161925</xdr:colOff>
          <xdr:row>189</xdr:row>
          <xdr:rowOff>314325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561975</xdr:colOff>
          <xdr:row>67</xdr:row>
          <xdr:rowOff>123825</xdr:rowOff>
        </xdr:from>
        <xdr:to>
          <xdr:col>625</xdr:col>
          <xdr:colOff>590550</xdr:colOff>
          <xdr:row>68</xdr:row>
          <xdr:rowOff>438150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371475</xdr:colOff>
          <xdr:row>71</xdr:row>
          <xdr:rowOff>95250</xdr:rowOff>
        </xdr:from>
        <xdr:to>
          <xdr:col>625</xdr:col>
          <xdr:colOff>600075</xdr:colOff>
          <xdr:row>72</xdr:row>
          <xdr:rowOff>419100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179</xdr:row>
          <xdr:rowOff>200025</xdr:rowOff>
        </xdr:from>
        <xdr:to>
          <xdr:col>667</xdr:col>
          <xdr:colOff>219075</xdr:colOff>
          <xdr:row>181</xdr:row>
          <xdr:rowOff>285750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289220</xdr:colOff>
          <xdr:row>17</xdr:row>
          <xdr:rowOff>149166</xdr:rowOff>
        </xdr:from>
        <xdr:to>
          <xdr:col>950</xdr:col>
          <xdr:colOff>138547</xdr:colOff>
          <xdr:row>18</xdr:row>
          <xdr:rowOff>465639</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247650</xdr:colOff>
          <xdr:row>40</xdr:row>
          <xdr:rowOff>161925</xdr:rowOff>
        </xdr:from>
        <xdr:to>
          <xdr:col>948</xdr:col>
          <xdr:colOff>400050</xdr:colOff>
          <xdr:row>41</xdr:row>
          <xdr:rowOff>190500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257175</xdr:colOff>
          <xdr:row>43</xdr:row>
          <xdr:rowOff>428625</xdr:rowOff>
        </xdr:from>
        <xdr:to>
          <xdr:col>954</xdr:col>
          <xdr:colOff>152400</xdr:colOff>
          <xdr:row>45</xdr:row>
          <xdr:rowOff>504825</xdr:rowOff>
        </xdr:to>
        <xdr:sp macro="" textlink="">
          <xdr:nvSpPr>
            <xdr:cNvPr id="1402" name="Object 378" hidden="1">
              <a:extLst>
                <a:ext uri="{63B3BB69-23CF-44E3-9099-C40C66FF867C}">
                  <a14:compatExt spid="_x0000_s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285750</xdr:colOff>
          <xdr:row>56</xdr:row>
          <xdr:rowOff>314325</xdr:rowOff>
        </xdr:from>
        <xdr:to>
          <xdr:col>949</xdr:col>
          <xdr:colOff>257175</xdr:colOff>
          <xdr:row>57</xdr:row>
          <xdr:rowOff>257175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209550</xdr:colOff>
          <xdr:row>82</xdr:row>
          <xdr:rowOff>285750</xdr:rowOff>
        </xdr:from>
        <xdr:to>
          <xdr:col>955</xdr:col>
          <xdr:colOff>228600</xdr:colOff>
          <xdr:row>84</xdr:row>
          <xdr:rowOff>371475</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295275</xdr:colOff>
          <xdr:row>97</xdr:row>
          <xdr:rowOff>200025</xdr:rowOff>
        </xdr:from>
        <xdr:to>
          <xdr:col>952</xdr:col>
          <xdr:colOff>533400</xdr:colOff>
          <xdr:row>99</xdr:row>
          <xdr:rowOff>371475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419100</xdr:colOff>
          <xdr:row>121</xdr:row>
          <xdr:rowOff>409575</xdr:rowOff>
        </xdr:from>
        <xdr:to>
          <xdr:col>959</xdr:col>
          <xdr:colOff>390525</xdr:colOff>
          <xdr:row>123</xdr:row>
          <xdr:rowOff>438150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285750</xdr:colOff>
          <xdr:row>126</xdr:row>
          <xdr:rowOff>95250</xdr:rowOff>
        </xdr:from>
        <xdr:to>
          <xdr:col>947</xdr:col>
          <xdr:colOff>257175</xdr:colOff>
          <xdr:row>127</xdr:row>
          <xdr:rowOff>447675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400050</xdr:colOff>
          <xdr:row>130</xdr:row>
          <xdr:rowOff>238125</xdr:rowOff>
        </xdr:from>
        <xdr:to>
          <xdr:col>954</xdr:col>
          <xdr:colOff>238125</xdr:colOff>
          <xdr:row>131</xdr:row>
          <xdr:rowOff>266700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314325</xdr:colOff>
          <xdr:row>134</xdr:row>
          <xdr:rowOff>219075</xdr:rowOff>
        </xdr:from>
        <xdr:to>
          <xdr:col>955</xdr:col>
          <xdr:colOff>123825</xdr:colOff>
          <xdr:row>135</xdr:row>
          <xdr:rowOff>190500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945</xdr:col>
          <xdr:colOff>9525</xdr:colOff>
          <xdr:row>142</xdr:row>
          <xdr:rowOff>171450</xdr:rowOff>
        </xdr:from>
        <xdr:to>
          <xdr:col>953</xdr:col>
          <xdr:colOff>19050</xdr:colOff>
          <xdr:row>143</xdr:row>
          <xdr:rowOff>219075</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371475</xdr:colOff>
          <xdr:row>150</xdr:row>
          <xdr:rowOff>238125</xdr:rowOff>
        </xdr:from>
        <xdr:to>
          <xdr:col>951</xdr:col>
          <xdr:colOff>0</xdr:colOff>
          <xdr:row>151</xdr:row>
          <xdr:rowOff>266700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295275</xdr:colOff>
          <xdr:row>146</xdr:row>
          <xdr:rowOff>180975</xdr:rowOff>
        </xdr:from>
        <xdr:to>
          <xdr:col>953</xdr:col>
          <xdr:colOff>47625</xdr:colOff>
          <xdr:row>147</xdr:row>
          <xdr:rowOff>209550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945</xdr:col>
          <xdr:colOff>257175</xdr:colOff>
          <xdr:row>107</xdr:row>
          <xdr:rowOff>142875</xdr:rowOff>
        </xdr:from>
        <xdr:to>
          <xdr:col>951</xdr:col>
          <xdr:colOff>266700</xdr:colOff>
          <xdr:row>108</xdr:row>
          <xdr:rowOff>285750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257175</xdr:colOff>
          <xdr:row>164</xdr:row>
          <xdr:rowOff>533400</xdr:rowOff>
        </xdr:from>
        <xdr:to>
          <xdr:col>947</xdr:col>
          <xdr:colOff>590550</xdr:colOff>
          <xdr:row>166</xdr:row>
          <xdr:rowOff>495300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342900</xdr:colOff>
          <xdr:row>168</xdr:row>
          <xdr:rowOff>476250</xdr:rowOff>
        </xdr:from>
        <xdr:to>
          <xdr:col>948</xdr:col>
          <xdr:colOff>238125</xdr:colOff>
          <xdr:row>170</xdr:row>
          <xdr:rowOff>466725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946</xdr:col>
          <xdr:colOff>504825</xdr:colOff>
          <xdr:row>228</xdr:row>
          <xdr:rowOff>0</xdr:rowOff>
        </xdr:from>
        <xdr:to>
          <xdr:col>948</xdr:col>
          <xdr:colOff>238125</xdr:colOff>
          <xdr:row>229</xdr:row>
          <xdr:rowOff>247650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xdr:col>
          <xdr:colOff>371475</xdr:colOff>
          <xdr:row>216</xdr:row>
          <xdr:rowOff>257175</xdr:rowOff>
        </xdr:from>
        <xdr:to>
          <xdr:col>952</xdr:col>
          <xdr:colOff>0</xdr:colOff>
          <xdr:row>217</xdr:row>
          <xdr:rowOff>247650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342900</xdr:colOff>
          <xdr:row>102</xdr:row>
          <xdr:rowOff>171450</xdr:rowOff>
        </xdr:from>
        <xdr:to>
          <xdr:col>951</xdr:col>
          <xdr:colOff>9525</xdr:colOff>
          <xdr:row>103</xdr:row>
          <xdr:rowOff>161925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123825</xdr:colOff>
          <xdr:row>186</xdr:row>
          <xdr:rowOff>85725</xdr:rowOff>
        </xdr:from>
        <xdr:to>
          <xdr:col>947</xdr:col>
          <xdr:colOff>276225</xdr:colOff>
          <xdr:row>187</xdr:row>
          <xdr:rowOff>314325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945</xdr:col>
          <xdr:colOff>152400</xdr:colOff>
          <xdr:row>177</xdr:row>
          <xdr:rowOff>28575</xdr:rowOff>
        </xdr:from>
        <xdr:to>
          <xdr:col>967</xdr:col>
          <xdr:colOff>85725</xdr:colOff>
          <xdr:row>178</xdr:row>
          <xdr:rowOff>123825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954</xdr:col>
          <xdr:colOff>333375</xdr:colOff>
          <xdr:row>142</xdr:row>
          <xdr:rowOff>0</xdr:rowOff>
        </xdr:from>
        <xdr:to>
          <xdr:col>970</xdr:col>
          <xdr:colOff>285750</xdr:colOff>
          <xdr:row>143</xdr:row>
          <xdr:rowOff>438150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152400</xdr:colOff>
          <xdr:row>126</xdr:row>
          <xdr:rowOff>361950</xdr:rowOff>
        </xdr:from>
        <xdr:to>
          <xdr:col>213</xdr:col>
          <xdr:colOff>447675</xdr:colOff>
          <xdr:row>127</xdr:row>
          <xdr:rowOff>285750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323850</xdr:colOff>
          <xdr:row>23</xdr:row>
          <xdr:rowOff>114300</xdr:rowOff>
        </xdr:from>
        <xdr:to>
          <xdr:col>100</xdr:col>
          <xdr:colOff>266700</xdr:colOff>
          <xdr:row>24</xdr:row>
          <xdr:rowOff>495300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361950</xdr:colOff>
          <xdr:row>51</xdr:row>
          <xdr:rowOff>142875</xdr:rowOff>
        </xdr:from>
        <xdr:to>
          <xdr:col>102</xdr:col>
          <xdr:colOff>266700</xdr:colOff>
          <xdr:row>52</xdr:row>
          <xdr:rowOff>447675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123825</xdr:colOff>
          <xdr:row>125</xdr:row>
          <xdr:rowOff>228600</xdr:rowOff>
        </xdr:from>
        <xdr:to>
          <xdr:col>106</xdr:col>
          <xdr:colOff>447675</xdr:colOff>
          <xdr:row>126</xdr:row>
          <xdr:rowOff>219075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161925</xdr:colOff>
          <xdr:row>146</xdr:row>
          <xdr:rowOff>238125</xdr:rowOff>
        </xdr:from>
        <xdr:to>
          <xdr:col>280</xdr:col>
          <xdr:colOff>209550</xdr:colOff>
          <xdr:row>147</xdr:row>
          <xdr:rowOff>171450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266700</xdr:colOff>
          <xdr:row>18</xdr:row>
          <xdr:rowOff>323850</xdr:rowOff>
        </xdr:from>
        <xdr:to>
          <xdr:col>806</xdr:col>
          <xdr:colOff>295275</xdr:colOff>
          <xdr:row>19</xdr:row>
          <xdr:rowOff>238125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323850</xdr:colOff>
          <xdr:row>60</xdr:row>
          <xdr:rowOff>247650</xdr:rowOff>
        </xdr:from>
        <xdr:to>
          <xdr:col>808</xdr:col>
          <xdr:colOff>361950</xdr:colOff>
          <xdr:row>62</xdr:row>
          <xdr:rowOff>304800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20</xdr:row>
          <xdr:rowOff>361950</xdr:rowOff>
        </xdr:from>
        <xdr:to>
          <xdr:col>630</xdr:col>
          <xdr:colOff>285750</xdr:colOff>
          <xdr:row>21</xdr:row>
          <xdr:rowOff>295275</xdr:rowOff>
        </xdr:to>
        <xdr:sp macro="" textlink="">
          <xdr:nvSpPr>
            <xdr:cNvPr id="1625" name="Object 601" hidden="1">
              <a:extLst>
                <a:ext uri="{63B3BB69-23CF-44E3-9099-C40C66FF867C}">
                  <a14:compatExt spid="_x0000_s1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285750</xdr:colOff>
          <xdr:row>22</xdr:row>
          <xdr:rowOff>333375</xdr:rowOff>
        </xdr:from>
        <xdr:to>
          <xdr:col>630</xdr:col>
          <xdr:colOff>371475</xdr:colOff>
          <xdr:row>23</xdr:row>
          <xdr:rowOff>295275</xdr:rowOff>
        </xdr:to>
        <xdr:sp macro="" textlink="">
          <xdr:nvSpPr>
            <xdr:cNvPr id="1626" name="Object 602" hidden="1">
              <a:extLst>
                <a:ext uri="{63B3BB69-23CF-44E3-9099-C40C66FF867C}">
                  <a14:compatExt spid="_x0000_s1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26</xdr:row>
          <xdr:rowOff>314325</xdr:rowOff>
        </xdr:from>
        <xdr:to>
          <xdr:col>631</xdr:col>
          <xdr:colOff>352425</xdr:colOff>
          <xdr:row>27</xdr:row>
          <xdr:rowOff>190500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152400</xdr:colOff>
          <xdr:row>28</xdr:row>
          <xdr:rowOff>247650</xdr:rowOff>
        </xdr:from>
        <xdr:to>
          <xdr:col>631</xdr:col>
          <xdr:colOff>400050</xdr:colOff>
          <xdr:row>29</xdr:row>
          <xdr:rowOff>180975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30</xdr:row>
          <xdr:rowOff>314325</xdr:rowOff>
        </xdr:from>
        <xdr:to>
          <xdr:col>631</xdr:col>
          <xdr:colOff>304800</xdr:colOff>
          <xdr:row>31</xdr:row>
          <xdr:rowOff>228600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32</xdr:row>
          <xdr:rowOff>266700</xdr:rowOff>
        </xdr:from>
        <xdr:to>
          <xdr:col>631</xdr:col>
          <xdr:colOff>476250</xdr:colOff>
          <xdr:row>33</xdr:row>
          <xdr:rowOff>171450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36</xdr:row>
          <xdr:rowOff>333375</xdr:rowOff>
        </xdr:from>
        <xdr:to>
          <xdr:col>632</xdr:col>
          <xdr:colOff>323850</xdr:colOff>
          <xdr:row>37</xdr:row>
          <xdr:rowOff>190500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38</xdr:row>
          <xdr:rowOff>390525</xdr:rowOff>
        </xdr:from>
        <xdr:to>
          <xdr:col>632</xdr:col>
          <xdr:colOff>390525</xdr:colOff>
          <xdr:row>39</xdr:row>
          <xdr:rowOff>257175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40</xdr:row>
          <xdr:rowOff>200025</xdr:rowOff>
        </xdr:from>
        <xdr:to>
          <xdr:col>631</xdr:col>
          <xdr:colOff>466725</xdr:colOff>
          <xdr:row>41</xdr:row>
          <xdr:rowOff>161925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161925</xdr:colOff>
          <xdr:row>42</xdr:row>
          <xdr:rowOff>342900</xdr:rowOff>
        </xdr:from>
        <xdr:to>
          <xdr:col>630</xdr:col>
          <xdr:colOff>323850</xdr:colOff>
          <xdr:row>43</xdr:row>
          <xdr:rowOff>200025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171450</xdr:colOff>
          <xdr:row>44</xdr:row>
          <xdr:rowOff>295275</xdr:rowOff>
        </xdr:from>
        <xdr:to>
          <xdr:col>632</xdr:col>
          <xdr:colOff>200025</xdr:colOff>
          <xdr:row>45</xdr:row>
          <xdr:rowOff>152400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180975</xdr:colOff>
          <xdr:row>46</xdr:row>
          <xdr:rowOff>257175</xdr:rowOff>
        </xdr:from>
        <xdr:to>
          <xdr:col>632</xdr:col>
          <xdr:colOff>0</xdr:colOff>
          <xdr:row>47</xdr:row>
          <xdr:rowOff>114300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48</xdr:row>
          <xdr:rowOff>342900</xdr:rowOff>
        </xdr:from>
        <xdr:to>
          <xdr:col>631</xdr:col>
          <xdr:colOff>447675</xdr:colOff>
          <xdr:row>49</xdr:row>
          <xdr:rowOff>161925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50</xdr:row>
          <xdr:rowOff>142875</xdr:rowOff>
        </xdr:from>
        <xdr:to>
          <xdr:col>633</xdr:col>
          <xdr:colOff>66675</xdr:colOff>
          <xdr:row>51</xdr:row>
          <xdr:rowOff>352425</xdr:rowOff>
        </xdr:to>
        <xdr:sp macro="" textlink="">
          <xdr:nvSpPr>
            <xdr:cNvPr id="1639" name="Object 615" hidden="1">
              <a:extLst>
                <a:ext uri="{63B3BB69-23CF-44E3-9099-C40C66FF867C}">
                  <a14:compatExt spid="_x0000_s16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54</xdr:row>
          <xdr:rowOff>409575</xdr:rowOff>
        </xdr:from>
        <xdr:to>
          <xdr:col>631</xdr:col>
          <xdr:colOff>552450</xdr:colOff>
          <xdr:row>55</xdr:row>
          <xdr:rowOff>304800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56</xdr:row>
          <xdr:rowOff>400050</xdr:rowOff>
        </xdr:from>
        <xdr:to>
          <xdr:col>631</xdr:col>
          <xdr:colOff>571500</xdr:colOff>
          <xdr:row>57</xdr:row>
          <xdr:rowOff>285750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58</xdr:row>
          <xdr:rowOff>438150</xdr:rowOff>
        </xdr:from>
        <xdr:to>
          <xdr:col>631</xdr:col>
          <xdr:colOff>552450</xdr:colOff>
          <xdr:row>59</xdr:row>
          <xdr:rowOff>285750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114300</xdr:colOff>
          <xdr:row>24</xdr:row>
          <xdr:rowOff>304800</xdr:rowOff>
        </xdr:from>
        <xdr:to>
          <xdr:col>631</xdr:col>
          <xdr:colOff>438150</xdr:colOff>
          <xdr:row>25</xdr:row>
          <xdr:rowOff>209550</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34</xdr:row>
          <xdr:rowOff>361950</xdr:rowOff>
        </xdr:from>
        <xdr:to>
          <xdr:col>631</xdr:col>
          <xdr:colOff>266700</xdr:colOff>
          <xdr:row>35</xdr:row>
          <xdr:rowOff>190500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52</xdr:row>
          <xdr:rowOff>180975</xdr:rowOff>
        </xdr:from>
        <xdr:to>
          <xdr:col>632</xdr:col>
          <xdr:colOff>247650</xdr:colOff>
          <xdr:row>53</xdr:row>
          <xdr:rowOff>466725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333375</xdr:colOff>
          <xdr:row>39</xdr:row>
          <xdr:rowOff>400050</xdr:rowOff>
        </xdr:from>
        <xdr:to>
          <xdr:col>949</xdr:col>
          <xdr:colOff>533400</xdr:colOff>
          <xdr:row>41</xdr:row>
          <xdr:rowOff>266700</xdr:rowOff>
        </xdr:to>
        <xdr:sp macro="" textlink="">
          <xdr:nvSpPr>
            <xdr:cNvPr id="1678" name="Object 654" hidden="1">
              <a:extLst>
                <a:ext uri="{63B3BB69-23CF-44E3-9099-C40C66FF867C}">
                  <a14:compatExt spid="_x0000_s1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409575</xdr:colOff>
          <xdr:row>86</xdr:row>
          <xdr:rowOff>314325</xdr:rowOff>
        </xdr:from>
        <xdr:to>
          <xdr:col>950</xdr:col>
          <xdr:colOff>38100</xdr:colOff>
          <xdr:row>88</xdr:row>
          <xdr:rowOff>219075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945</xdr:col>
          <xdr:colOff>28575</xdr:colOff>
          <xdr:row>238</xdr:row>
          <xdr:rowOff>47625</xdr:rowOff>
        </xdr:from>
        <xdr:to>
          <xdr:col>947</xdr:col>
          <xdr:colOff>9525</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952</xdr:col>
          <xdr:colOff>66675</xdr:colOff>
          <xdr:row>231</xdr:row>
          <xdr:rowOff>314325</xdr:rowOff>
        </xdr:from>
        <xdr:to>
          <xdr:col>953</xdr:col>
          <xdr:colOff>19050</xdr:colOff>
          <xdr:row>232</xdr:row>
          <xdr:rowOff>361950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950</xdr:col>
          <xdr:colOff>133350</xdr:colOff>
          <xdr:row>232</xdr:row>
          <xdr:rowOff>219075</xdr:rowOff>
        </xdr:from>
        <xdr:to>
          <xdr:col>951</xdr:col>
          <xdr:colOff>57150</xdr:colOff>
          <xdr:row>233</xdr:row>
          <xdr:rowOff>228600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944</xdr:col>
          <xdr:colOff>333375</xdr:colOff>
          <xdr:row>192</xdr:row>
          <xdr:rowOff>66675</xdr:rowOff>
        </xdr:from>
        <xdr:to>
          <xdr:col>952</xdr:col>
          <xdr:colOff>342900</xdr:colOff>
          <xdr:row>193</xdr:row>
          <xdr:rowOff>466725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945</xdr:col>
          <xdr:colOff>123825</xdr:colOff>
          <xdr:row>196</xdr:row>
          <xdr:rowOff>95250</xdr:rowOff>
        </xdr:from>
        <xdr:to>
          <xdr:col>949</xdr:col>
          <xdr:colOff>190500</xdr:colOff>
          <xdr:row>197</xdr:row>
          <xdr:rowOff>428625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438150</xdr:colOff>
          <xdr:row>18</xdr:row>
          <xdr:rowOff>419100</xdr:rowOff>
        </xdr:from>
        <xdr:to>
          <xdr:col>629</xdr:col>
          <xdr:colOff>180975</xdr:colOff>
          <xdr:row>19</xdr:row>
          <xdr:rowOff>247650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492</xdr:col>
          <xdr:colOff>419100</xdr:colOff>
          <xdr:row>16</xdr:row>
          <xdr:rowOff>381000</xdr:rowOff>
        </xdr:from>
        <xdr:to>
          <xdr:col>495</xdr:col>
          <xdr:colOff>342900</xdr:colOff>
          <xdr:row>17</xdr:row>
          <xdr:rowOff>238125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525</xdr:col>
          <xdr:colOff>180975</xdr:colOff>
          <xdr:row>16</xdr:row>
          <xdr:rowOff>333375</xdr:rowOff>
        </xdr:from>
        <xdr:to>
          <xdr:col>527</xdr:col>
          <xdr:colOff>314325</xdr:colOff>
          <xdr:row>17</xdr:row>
          <xdr:rowOff>180975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528</xdr:col>
          <xdr:colOff>133350</xdr:colOff>
          <xdr:row>16</xdr:row>
          <xdr:rowOff>371475</xdr:rowOff>
        </xdr:from>
        <xdr:to>
          <xdr:col>531</xdr:col>
          <xdr:colOff>381000</xdr:colOff>
          <xdr:row>17</xdr:row>
          <xdr:rowOff>200025</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532</xdr:col>
          <xdr:colOff>123825</xdr:colOff>
          <xdr:row>16</xdr:row>
          <xdr:rowOff>371475</xdr:rowOff>
        </xdr:from>
        <xdr:to>
          <xdr:col>535</xdr:col>
          <xdr:colOff>371475</xdr:colOff>
          <xdr:row>17</xdr:row>
          <xdr:rowOff>200025</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536</xdr:col>
          <xdr:colOff>104775</xdr:colOff>
          <xdr:row>16</xdr:row>
          <xdr:rowOff>409575</xdr:rowOff>
        </xdr:from>
        <xdr:to>
          <xdr:col>539</xdr:col>
          <xdr:colOff>381000</xdr:colOff>
          <xdr:row>17</xdr:row>
          <xdr:rowOff>238125</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556</xdr:col>
          <xdr:colOff>171450</xdr:colOff>
          <xdr:row>16</xdr:row>
          <xdr:rowOff>390525</xdr:rowOff>
        </xdr:from>
        <xdr:to>
          <xdr:col>559</xdr:col>
          <xdr:colOff>361950</xdr:colOff>
          <xdr:row>17</xdr:row>
          <xdr:rowOff>238125</xdr:rowOff>
        </xdr:to>
        <xdr:sp macro="" textlink="">
          <xdr:nvSpPr>
            <xdr:cNvPr id="1707" name="Object 683" hidden="1">
              <a:extLst>
                <a:ext uri="{63B3BB69-23CF-44E3-9099-C40C66FF867C}">
                  <a14:compatExt spid="_x0000_s1707"/>
                </a:ext>
              </a:extLst>
            </xdr:cNvPr>
            <xdr:cNvSpPr/>
          </xdr:nvSpPr>
          <xdr:spPr>
            <a:xfrm>
              <a:off x="0" y="0"/>
              <a:ext cx="0" cy="0"/>
            </a:xfrm>
            <a:prstGeom prst="rect">
              <a:avLst/>
            </a:prstGeom>
          </xdr:spPr>
        </xdr:sp>
        <xdr:clientData/>
      </xdr:twoCellAnchor>
    </mc:Choice>
    <mc:Fallback/>
  </mc:AlternateContent>
  <xdr:twoCellAnchor editAs="oneCell">
    <xdr:from>
      <xdr:col>573</xdr:col>
      <xdr:colOff>65039</xdr:colOff>
      <xdr:row>17</xdr:row>
      <xdr:rowOff>100013</xdr:rowOff>
    </xdr:from>
    <xdr:to>
      <xdr:col>597</xdr:col>
      <xdr:colOff>20697</xdr:colOff>
      <xdr:row>37</xdr:row>
      <xdr:rowOff>58753</xdr:rowOff>
    </xdr:to>
    <xdr:pic>
      <xdr:nvPicPr>
        <xdr:cNvPr id="311" name="Picture 308"/>
        <xdr:cNvPicPr>
          <a:picLocks noChangeAspect="1" noChangeArrowheads="1"/>
        </xdr:cNvPicPr>
      </xdr:nvPicPr>
      <xdr:blipFill>
        <a:blip xmlns:r="http://schemas.openxmlformats.org/officeDocument/2006/relationships" r:embed="rId1" cstate="print"/>
        <a:srcRect/>
        <a:stretch>
          <a:fillRect/>
        </a:stretch>
      </xdr:blipFill>
      <xdr:spPr bwMode="auto">
        <a:xfrm>
          <a:off x="354823664" y="10625138"/>
          <a:ext cx="14814658" cy="123412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169</xdr:col>
      <xdr:colOff>384466</xdr:colOff>
      <xdr:row>86</xdr:row>
      <xdr:rowOff>458928</xdr:rowOff>
    </xdr:from>
    <xdr:to>
      <xdr:col>183</xdr:col>
      <xdr:colOff>166258</xdr:colOff>
      <xdr:row>100</xdr:row>
      <xdr:rowOff>86587</xdr:rowOff>
    </xdr:to>
    <xdr:pic>
      <xdr:nvPicPr>
        <xdr:cNvPr id="304" name="Рисунок 303" descr="9,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65216" y="49607928"/>
          <a:ext cx="9116292" cy="762865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151</xdr:col>
          <xdr:colOff>352425</xdr:colOff>
          <xdr:row>122</xdr:row>
          <xdr:rowOff>238125</xdr:rowOff>
        </xdr:from>
        <xdr:to>
          <xdr:col>157</xdr:col>
          <xdr:colOff>247650</xdr:colOff>
          <xdr:row>123</xdr:row>
          <xdr:rowOff>142875</xdr:rowOff>
        </xdr:to>
        <xdr:sp macro="" textlink="">
          <xdr:nvSpPr>
            <xdr:cNvPr id="1733" name="Object 709" hidden="1">
              <a:extLst>
                <a:ext uri="{63B3BB69-23CF-44E3-9099-C40C66FF867C}">
                  <a14:compatExt spid="_x0000_s17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161925</xdr:colOff>
          <xdr:row>90</xdr:row>
          <xdr:rowOff>323850</xdr:rowOff>
        </xdr:from>
        <xdr:to>
          <xdr:col>156</xdr:col>
          <xdr:colOff>342900</xdr:colOff>
          <xdr:row>91</xdr:row>
          <xdr:rowOff>247650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98</xdr:row>
          <xdr:rowOff>361950</xdr:rowOff>
        </xdr:from>
        <xdr:to>
          <xdr:col>157</xdr:col>
          <xdr:colOff>457200</xdr:colOff>
          <xdr:row>99</xdr:row>
          <xdr:rowOff>257175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361950</xdr:colOff>
          <xdr:row>134</xdr:row>
          <xdr:rowOff>104775</xdr:rowOff>
        </xdr:from>
        <xdr:to>
          <xdr:col>211</xdr:col>
          <xdr:colOff>485775</xdr:colOff>
          <xdr:row>135</xdr:row>
          <xdr:rowOff>390525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117</xdr:row>
          <xdr:rowOff>257175</xdr:rowOff>
        </xdr:from>
        <xdr:to>
          <xdr:col>278</xdr:col>
          <xdr:colOff>247650</xdr:colOff>
          <xdr:row>119</xdr:row>
          <xdr:rowOff>419100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485775</xdr:colOff>
          <xdr:row>30</xdr:row>
          <xdr:rowOff>95250</xdr:rowOff>
        </xdr:from>
        <xdr:to>
          <xdr:col>277</xdr:col>
          <xdr:colOff>38100</xdr:colOff>
          <xdr:row>31</xdr:row>
          <xdr:rowOff>476250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21</xdr:row>
          <xdr:rowOff>333375</xdr:rowOff>
        </xdr:from>
        <xdr:to>
          <xdr:col>278</xdr:col>
          <xdr:colOff>428625</xdr:colOff>
          <xdr:row>23</xdr:row>
          <xdr:rowOff>323850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381000</xdr:colOff>
          <xdr:row>69</xdr:row>
          <xdr:rowOff>342900</xdr:rowOff>
        </xdr:from>
        <xdr:to>
          <xdr:col>278</xdr:col>
          <xdr:colOff>123825</xdr:colOff>
          <xdr:row>71</xdr:row>
          <xdr:rowOff>133350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36</xdr:row>
          <xdr:rowOff>247650</xdr:rowOff>
        </xdr:from>
        <xdr:to>
          <xdr:col>276</xdr:col>
          <xdr:colOff>419100</xdr:colOff>
          <xdr:row>37</xdr:row>
          <xdr:rowOff>352425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26</xdr:row>
          <xdr:rowOff>123825</xdr:rowOff>
        </xdr:from>
        <xdr:to>
          <xdr:col>277</xdr:col>
          <xdr:colOff>333375</xdr:colOff>
          <xdr:row>27</xdr:row>
          <xdr:rowOff>438150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70</xdr:row>
          <xdr:rowOff>352425</xdr:rowOff>
        </xdr:from>
        <xdr:to>
          <xdr:col>158</xdr:col>
          <xdr:colOff>400050</xdr:colOff>
          <xdr:row>72</xdr:row>
          <xdr:rowOff>219075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51</xdr:row>
          <xdr:rowOff>142875</xdr:rowOff>
        </xdr:from>
        <xdr:to>
          <xdr:col>212</xdr:col>
          <xdr:colOff>381000</xdr:colOff>
          <xdr:row>52</xdr:row>
          <xdr:rowOff>352425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314325</xdr:colOff>
          <xdr:row>47</xdr:row>
          <xdr:rowOff>228600</xdr:rowOff>
        </xdr:from>
        <xdr:to>
          <xdr:col>213</xdr:col>
          <xdr:colOff>171450</xdr:colOff>
          <xdr:row>48</xdr:row>
          <xdr:rowOff>200025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65</xdr:row>
          <xdr:rowOff>209550</xdr:rowOff>
        </xdr:from>
        <xdr:to>
          <xdr:col>279</xdr:col>
          <xdr:colOff>238125</xdr:colOff>
          <xdr:row>66</xdr:row>
          <xdr:rowOff>219075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80</xdr:row>
          <xdr:rowOff>152400</xdr:rowOff>
        </xdr:from>
        <xdr:to>
          <xdr:col>214</xdr:col>
          <xdr:colOff>142875</xdr:colOff>
          <xdr:row>81</xdr:row>
          <xdr:rowOff>495300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285750</xdr:colOff>
          <xdr:row>89</xdr:row>
          <xdr:rowOff>238125</xdr:rowOff>
        </xdr:from>
        <xdr:to>
          <xdr:col>217</xdr:col>
          <xdr:colOff>238125</xdr:colOff>
          <xdr:row>92</xdr:row>
          <xdr:rowOff>304800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219075</xdr:colOff>
          <xdr:row>48</xdr:row>
          <xdr:rowOff>285750</xdr:rowOff>
        </xdr:from>
        <xdr:to>
          <xdr:col>159</xdr:col>
          <xdr:colOff>104775</xdr:colOff>
          <xdr:row>50</xdr:row>
          <xdr:rowOff>285750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257175</xdr:colOff>
          <xdr:row>118</xdr:row>
          <xdr:rowOff>266700</xdr:rowOff>
        </xdr:from>
        <xdr:to>
          <xdr:col>157</xdr:col>
          <xdr:colOff>190500</xdr:colOff>
          <xdr:row>119</xdr:row>
          <xdr:rowOff>190500</xdr:rowOff>
        </xdr:to>
        <xdr:sp macro="" textlink="">
          <xdr:nvSpPr>
            <xdr:cNvPr id="1972" name="Object 948" hidden="1">
              <a:extLst>
                <a:ext uri="{63B3BB69-23CF-44E3-9099-C40C66FF867C}">
                  <a14:compatExt spid="_x0000_s19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285750</xdr:colOff>
          <xdr:row>106</xdr:row>
          <xdr:rowOff>257175</xdr:rowOff>
        </xdr:from>
        <xdr:to>
          <xdr:col>158</xdr:col>
          <xdr:colOff>361950</xdr:colOff>
          <xdr:row>107</xdr:row>
          <xdr:rowOff>228600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110</xdr:row>
          <xdr:rowOff>190500</xdr:rowOff>
        </xdr:from>
        <xdr:to>
          <xdr:col>160</xdr:col>
          <xdr:colOff>400050</xdr:colOff>
          <xdr:row>111</xdr:row>
          <xdr:rowOff>476250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247650</xdr:colOff>
          <xdr:row>138</xdr:row>
          <xdr:rowOff>342900</xdr:rowOff>
        </xdr:from>
        <xdr:to>
          <xdr:col>213</xdr:col>
          <xdr:colOff>190500</xdr:colOff>
          <xdr:row>139</xdr:row>
          <xdr:rowOff>209550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100</xdr:row>
          <xdr:rowOff>361950</xdr:rowOff>
        </xdr:from>
        <xdr:to>
          <xdr:col>222</xdr:col>
          <xdr:colOff>76200</xdr:colOff>
          <xdr:row>102</xdr:row>
          <xdr:rowOff>209550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105</xdr:row>
          <xdr:rowOff>447675</xdr:rowOff>
        </xdr:from>
        <xdr:to>
          <xdr:col>221</xdr:col>
          <xdr:colOff>533400</xdr:colOff>
          <xdr:row>107</xdr:row>
          <xdr:rowOff>190500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84</xdr:row>
          <xdr:rowOff>352425</xdr:rowOff>
        </xdr:from>
        <xdr:to>
          <xdr:col>222</xdr:col>
          <xdr:colOff>219075</xdr:colOff>
          <xdr:row>86</xdr:row>
          <xdr:rowOff>257175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130</xdr:row>
          <xdr:rowOff>238125</xdr:rowOff>
        </xdr:from>
        <xdr:to>
          <xdr:col>213</xdr:col>
          <xdr:colOff>333375</xdr:colOff>
          <xdr:row>131</xdr:row>
          <xdr:rowOff>219075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314325</xdr:colOff>
          <xdr:row>29</xdr:row>
          <xdr:rowOff>57150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95250</xdr:colOff>
          <xdr:row>95</xdr:row>
          <xdr:rowOff>304800</xdr:rowOff>
        </xdr:from>
        <xdr:to>
          <xdr:col>216</xdr:col>
          <xdr:colOff>228600</xdr:colOff>
          <xdr:row>97</xdr:row>
          <xdr:rowOff>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50</xdr:row>
          <xdr:rowOff>371475</xdr:rowOff>
        </xdr:from>
        <xdr:to>
          <xdr:col>277</xdr:col>
          <xdr:colOff>219075</xdr:colOff>
          <xdr:row>52</xdr:row>
          <xdr:rowOff>171450</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419100</xdr:colOff>
          <xdr:row>35</xdr:row>
          <xdr:rowOff>238125</xdr:rowOff>
        </xdr:from>
        <xdr:to>
          <xdr:col>213</xdr:col>
          <xdr:colOff>152400</xdr:colOff>
          <xdr:row>36</xdr:row>
          <xdr:rowOff>285750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90</xdr:row>
          <xdr:rowOff>381000</xdr:rowOff>
        </xdr:from>
        <xdr:to>
          <xdr:col>277</xdr:col>
          <xdr:colOff>266700</xdr:colOff>
          <xdr:row>92</xdr:row>
          <xdr:rowOff>209550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333375</xdr:colOff>
          <xdr:row>103</xdr:row>
          <xdr:rowOff>95250</xdr:rowOff>
        </xdr:from>
        <xdr:to>
          <xdr:col>106</xdr:col>
          <xdr:colOff>371475</xdr:colOff>
          <xdr:row>104</xdr:row>
          <xdr:rowOff>466725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75</xdr:row>
          <xdr:rowOff>333375</xdr:rowOff>
        </xdr:from>
        <xdr:to>
          <xdr:col>100</xdr:col>
          <xdr:colOff>314325</xdr:colOff>
          <xdr:row>76</xdr:row>
          <xdr:rowOff>247650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87</xdr:row>
          <xdr:rowOff>171450</xdr:rowOff>
        </xdr:from>
        <xdr:to>
          <xdr:col>101</xdr:col>
          <xdr:colOff>419100</xdr:colOff>
          <xdr:row>88</xdr:row>
          <xdr:rowOff>447675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158</xdr:row>
          <xdr:rowOff>123825</xdr:rowOff>
        </xdr:from>
        <xdr:to>
          <xdr:col>277</xdr:col>
          <xdr:colOff>238125</xdr:colOff>
          <xdr:row>159</xdr:row>
          <xdr:rowOff>371475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496</xdr:col>
          <xdr:colOff>228600</xdr:colOff>
          <xdr:row>16</xdr:row>
          <xdr:rowOff>333375</xdr:rowOff>
        </xdr:from>
        <xdr:to>
          <xdr:col>499</xdr:col>
          <xdr:colOff>228600</xdr:colOff>
          <xdr:row>17</xdr:row>
          <xdr:rowOff>209550</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560</xdr:col>
          <xdr:colOff>247650</xdr:colOff>
          <xdr:row>16</xdr:row>
          <xdr:rowOff>142875</xdr:rowOff>
        </xdr:from>
        <xdr:to>
          <xdr:col>563</xdr:col>
          <xdr:colOff>323850</xdr:colOff>
          <xdr:row>17</xdr:row>
          <xdr:rowOff>419100</xdr:rowOff>
        </xdr:to>
        <xdr:sp macro="" textlink="">
          <xdr:nvSpPr>
            <xdr:cNvPr id="13341" name="Object 1053" hidden="1">
              <a:extLst>
                <a:ext uri="{63B3BB69-23CF-44E3-9099-C40C66FF867C}">
                  <a14:compatExt spid="_x0000_s13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xdr:col>
          <xdr:colOff>533400</xdr:colOff>
          <xdr:row>16</xdr:row>
          <xdr:rowOff>190500</xdr:rowOff>
        </xdr:from>
        <xdr:to>
          <xdr:col>567</xdr:col>
          <xdr:colOff>428625</xdr:colOff>
          <xdr:row>17</xdr:row>
          <xdr:rowOff>390525</xdr:rowOff>
        </xdr:to>
        <xdr:sp macro="" textlink="">
          <xdr:nvSpPr>
            <xdr:cNvPr id="13345" name="Object 1057" hidden="1">
              <a:extLst>
                <a:ext uri="{63B3BB69-23CF-44E3-9099-C40C66FF867C}">
                  <a14:compatExt spid="_x0000_s13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295275</xdr:colOff>
          <xdr:row>30</xdr:row>
          <xdr:rowOff>333375</xdr:rowOff>
        </xdr:from>
        <xdr:to>
          <xdr:col>363</xdr:col>
          <xdr:colOff>171450</xdr:colOff>
          <xdr:row>31</xdr:row>
          <xdr:rowOff>228600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228600</xdr:colOff>
          <xdr:row>34</xdr:row>
          <xdr:rowOff>381000</xdr:rowOff>
        </xdr:from>
        <xdr:to>
          <xdr:col>363</xdr:col>
          <xdr:colOff>323850</xdr:colOff>
          <xdr:row>35</xdr:row>
          <xdr:rowOff>266700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52</xdr:row>
          <xdr:rowOff>47625</xdr:rowOff>
        </xdr:from>
        <xdr:to>
          <xdr:col>362</xdr:col>
          <xdr:colOff>228600</xdr:colOff>
          <xdr:row>53</xdr:row>
          <xdr:rowOff>409575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22</xdr:row>
          <xdr:rowOff>123825</xdr:rowOff>
        </xdr:from>
        <xdr:to>
          <xdr:col>361</xdr:col>
          <xdr:colOff>371475</xdr:colOff>
          <xdr:row>23</xdr:row>
          <xdr:rowOff>390525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123825</xdr:colOff>
          <xdr:row>68</xdr:row>
          <xdr:rowOff>123825</xdr:rowOff>
        </xdr:from>
        <xdr:to>
          <xdr:col>361</xdr:col>
          <xdr:colOff>419100</xdr:colOff>
          <xdr:row>69</xdr:row>
          <xdr:rowOff>476250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200025</xdr:colOff>
          <xdr:row>85</xdr:row>
          <xdr:rowOff>114300</xdr:rowOff>
        </xdr:from>
        <xdr:to>
          <xdr:col>364</xdr:col>
          <xdr:colOff>381000</xdr:colOff>
          <xdr:row>86</xdr:row>
          <xdr:rowOff>466725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295275</xdr:colOff>
          <xdr:row>91</xdr:row>
          <xdr:rowOff>161925</xdr:rowOff>
        </xdr:from>
        <xdr:to>
          <xdr:col>363</xdr:col>
          <xdr:colOff>152400</xdr:colOff>
          <xdr:row>92</xdr:row>
          <xdr:rowOff>438150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347</xdr:col>
          <xdr:colOff>361950</xdr:colOff>
          <xdr:row>100</xdr:row>
          <xdr:rowOff>104775</xdr:rowOff>
        </xdr:from>
        <xdr:to>
          <xdr:col>356</xdr:col>
          <xdr:colOff>457200</xdr:colOff>
          <xdr:row>101</xdr:row>
          <xdr:rowOff>438150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401</xdr:col>
          <xdr:colOff>209550</xdr:colOff>
          <xdr:row>122</xdr:row>
          <xdr:rowOff>304800</xdr:rowOff>
        </xdr:from>
        <xdr:to>
          <xdr:col>406</xdr:col>
          <xdr:colOff>419100</xdr:colOff>
          <xdr:row>123</xdr:row>
          <xdr:rowOff>323850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42</xdr:row>
          <xdr:rowOff>142875</xdr:rowOff>
        </xdr:from>
        <xdr:to>
          <xdr:col>364</xdr:col>
          <xdr:colOff>219075</xdr:colOff>
          <xdr:row>43</xdr:row>
          <xdr:rowOff>457200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161925</xdr:colOff>
          <xdr:row>122</xdr:row>
          <xdr:rowOff>238125</xdr:rowOff>
        </xdr:from>
        <xdr:to>
          <xdr:col>370</xdr:col>
          <xdr:colOff>228600</xdr:colOff>
          <xdr:row>123</xdr:row>
          <xdr:rowOff>228600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0</xdr:colOff>
          <xdr:row>128</xdr:row>
          <xdr:rowOff>295275</xdr:rowOff>
        </xdr:from>
        <xdr:to>
          <xdr:col>380</xdr:col>
          <xdr:colOff>171450</xdr:colOff>
          <xdr:row>129</xdr:row>
          <xdr:rowOff>180975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136</xdr:row>
          <xdr:rowOff>285750</xdr:rowOff>
        </xdr:from>
        <xdr:to>
          <xdr:col>370</xdr:col>
          <xdr:colOff>257175</xdr:colOff>
          <xdr:row>138</xdr:row>
          <xdr:rowOff>333375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295275</xdr:colOff>
          <xdr:row>216</xdr:row>
          <xdr:rowOff>352425</xdr:rowOff>
        </xdr:from>
        <xdr:to>
          <xdr:col>369</xdr:col>
          <xdr:colOff>371475</xdr:colOff>
          <xdr:row>218</xdr:row>
          <xdr:rowOff>419100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203</xdr:row>
          <xdr:rowOff>352425</xdr:rowOff>
        </xdr:from>
        <xdr:to>
          <xdr:col>365</xdr:col>
          <xdr:colOff>238125</xdr:colOff>
          <xdr:row>205</xdr:row>
          <xdr:rowOff>257175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141</xdr:row>
          <xdr:rowOff>381000</xdr:rowOff>
        </xdr:from>
        <xdr:to>
          <xdr:col>365</xdr:col>
          <xdr:colOff>219075</xdr:colOff>
          <xdr:row>143</xdr:row>
          <xdr:rowOff>342900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304800</xdr:colOff>
          <xdr:row>228</xdr:row>
          <xdr:rowOff>285750</xdr:rowOff>
        </xdr:from>
        <xdr:to>
          <xdr:col>367</xdr:col>
          <xdr:colOff>133350</xdr:colOff>
          <xdr:row>230</xdr:row>
          <xdr:rowOff>342900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209550</xdr:colOff>
          <xdr:row>146</xdr:row>
          <xdr:rowOff>314325</xdr:rowOff>
        </xdr:from>
        <xdr:to>
          <xdr:col>371</xdr:col>
          <xdr:colOff>409575</xdr:colOff>
          <xdr:row>148</xdr:row>
          <xdr:rowOff>276225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209550</xdr:colOff>
          <xdr:row>187</xdr:row>
          <xdr:rowOff>333375</xdr:rowOff>
        </xdr:from>
        <xdr:to>
          <xdr:col>364</xdr:col>
          <xdr:colOff>104775</xdr:colOff>
          <xdr:row>189</xdr:row>
          <xdr:rowOff>247650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295275</xdr:colOff>
          <xdr:row>81</xdr:row>
          <xdr:rowOff>238125</xdr:rowOff>
        </xdr:from>
        <xdr:to>
          <xdr:col>164</xdr:col>
          <xdr:colOff>323850</xdr:colOff>
          <xdr:row>83</xdr:row>
          <xdr:rowOff>314325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219075</xdr:colOff>
          <xdr:row>59</xdr:row>
          <xdr:rowOff>257175</xdr:rowOff>
        </xdr:from>
        <xdr:to>
          <xdr:col>213</xdr:col>
          <xdr:colOff>400050</xdr:colOff>
          <xdr:row>61</xdr:row>
          <xdr:rowOff>276225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221</xdr:row>
          <xdr:rowOff>238125</xdr:rowOff>
        </xdr:from>
        <xdr:to>
          <xdr:col>367</xdr:col>
          <xdr:colOff>342900</xdr:colOff>
          <xdr:row>223</xdr:row>
          <xdr:rowOff>276225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228600</xdr:colOff>
          <xdr:row>164</xdr:row>
          <xdr:rowOff>504825</xdr:rowOff>
        </xdr:from>
        <xdr:to>
          <xdr:col>276</xdr:col>
          <xdr:colOff>152400</xdr:colOff>
          <xdr:row>166</xdr:row>
          <xdr:rowOff>333375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238125</xdr:colOff>
          <xdr:row>91</xdr:row>
          <xdr:rowOff>238125</xdr:rowOff>
        </xdr:from>
        <xdr:to>
          <xdr:col>629</xdr:col>
          <xdr:colOff>390525</xdr:colOff>
          <xdr:row>92</xdr:row>
          <xdr:rowOff>266700</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238125</xdr:colOff>
          <xdr:row>152</xdr:row>
          <xdr:rowOff>266700</xdr:rowOff>
        </xdr:from>
        <xdr:to>
          <xdr:col>371</xdr:col>
          <xdr:colOff>314325</xdr:colOff>
          <xdr:row>154</xdr:row>
          <xdr:rowOff>323850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400050</xdr:colOff>
          <xdr:row>61</xdr:row>
          <xdr:rowOff>142875</xdr:rowOff>
        </xdr:from>
        <xdr:to>
          <xdr:col>662</xdr:col>
          <xdr:colOff>238125</xdr:colOff>
          <xdr:row>62</xdr:row>
          <xdr:rowOff>428625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66</xdr:row>
          <xdr:rowOff>142875</xdr:rowOff>
        </xdr:from>
        <xdr:to>
          <xdr:col>662</xdr:col>
          <xdr:colOff>190500</xdr:colOff>
          <xdr:row>67</xdr:row>
          <xdr:rowOff>428625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165</xdr:col>
          <xdr:colOff>209550</xdr:colOff>
          <xdr:row>63</xdr:row>
          <xdr:rowOff>85725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257175</xdr:colOff>
          <xdr:row>313</xdr:row>
          <xdr:rowOff>257175</xdr:rowOff>
        </xdr:from>
        <xdr:to>
          <xdr:col>669</xdr:col>
          <xdr:colOff>381000</xdr:colOff>
          <xdr:row>314</xdr:row>
          <xdr:rowOff>257175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190500</xdr:colOff>
          <xdr:row>309</xdr:row>
          <xdr:rowOff>333375</xdr:rowOff>
        </xdr:from>
        <xdr:to>
          <xdr:col>668</xdr:col>
          <xdr:colOff>333375</xdr:colOff>
          <xdr:row>310</xdr:row>
          <xdr:rowOff>361950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304</xdr:row>
          <xdr:rowOff>238125</xdr:rowOff>
        </xdr:from>
        <xdr:to>
          <xdr:col>668</xdr:col>
          <xdr:colOff>247650</xdr:colOff>
          <xdr:row>306</xdr:row>
          <xdr:rowOff>333375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293</xdr:row>
          <xdr:rowOff>152400</xdr:rowOff>
        </xdr:from>
        <xdr:to>
          <xdr:col>662</xdr:col>
          <xdr:colOff>219075</xdr:colOff>
          <xdr:row>294</xdr:row>
          <xdr:rowOff>485775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190500</xdr:colOff>
          <xdr:row>99</xdr:row>
          <xdr:rowOff>228600</xdr:rowOff>
        </xdr:from>
        <xdr:to>
          <xdr:col>667</xdr:col>
          <xdr:colOff>400050</xdr:colOff>
          <xdr:row>100</xdr:row>
          <xdr:rowOff>257175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200025</xdr:colOff>
          <xdr:row>107</xdr:row>
          <xdr:rowOff>285750</xdr:rowOff>
        </xdr:from>
        <xdr:to>
          <xdr:col>668</xdr:col>
          <xdr:colOff>447675</xdr:colOff>
          <xdr:row>108</xdr:row>
          <xdr:rowOff>304800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113</xdr:row>
          <xdr:rowOff>342900</xdr:rowOff>
        </xdr:from>
        <xdr:to>
          <xdr:col>666</xdr:col>
          <xdr:colOff>419100</xdr:colOff>
          <xdr:row>115</xdr:row>
          <xdr:rowOff>228600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304800</xdr:colOff>
          <xdr:row>43</xdr:row>
          <xdr:rowOff>304800</xdr:rowOff>
        </xdr:from>
        <xdr:to>
          <xdr:col>811</xdr:col>
          <xdr:colOff>123825</xdr:colOff>
          <xdr:row>44</xdr:row>
          <xdr:rowOff>342900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247650</xdr:colOff>
          <xdr:row>47</xdr:row>
          <xdr:rowOff>257175</xdr:rowOff>
        </xdr:from>
        <xdr:to>
          <xdr:col>811</xdr:col>
          <xdr:colOff>381000</xdr:colOff>
          <xdr:row>49</xdr:row>
          <xdr:rowOff>314325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257175</xdr:colOff>
          <xdr:row>14</xdr:row>
          <xdr:rowOff>295275</xdr:rowOff>
        </xdr:from>
        <xdr:to>
          <xdr:col>665</xdr:col>
          <xdr:colOff>428625</xdr:colOff>
          <xdr:row>16</xdr:row>
          <xdr:rowOff>228600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320</xdr:row>
          <xdr:rowOff>276225</xdr:rowOff>
        </xdr:from>
        <xdr:to>
          <xdr:col>667</xdr:col>
          <xdr:colOff>504825</xdr:colOff>
          <xdr:row>322</xdr:row>
          <xdr:rowOff>295275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552450</xdr:colOff>
          <xdr:row>232</xdr:row>
          <xdr:rowOff>238125</xdr:rowOff>
        </xdr:from>
        <xdr:to>
          <xdr:col>668</xdr:col>
          <xdr:colOff>38100</xdr:colOff>
          <xdr:row>233</xdr:row>
          <xdr:rowOff>228600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818</xdr:col>
      <xdr:colOff>461096</xdr:colOff>
      <xdr:row>11</xdr:row>
      <xdr:rowOff>424296</xdr:rowOff>
    </xdr:from>
    <xdr:to>
      <xdr:col>831</xdr:col>
      <xdr:colOff>452437</xdr:colOff>
      <xdr:row>30</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834</xdr:col>
      <xdr:colOff>380999</xdr:colOff>
      <xdr:row>10</xdr:row>
      <xdr:rowOff>242456</xdr:rowOff>
    </xdr:from>
    <xdr:to>
      <xdr:col>845</xdr:col>
      <xdr:colOff>113089</xdr:colOff>
      <xdr:row>18</xdr:row>
      <xdr:rowOff>381001</xdr:rowOff>
    </xdr:to>
    <xdr:pic>
      <xdr:nvPicPr>
        <xdr:cNvPr id="302" name="Рисунок 301" descr="Рисунок_2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5781249" y="19101956"/>
          <a:ext cx="7066340" cy="4710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803</xdr:col>
          <xdr:colOff>228600</xdr:colOff>
          <xdr:row>63</xdr:row>
          <xdr:rowOff>200025</xdr:rowOff>
        </xdr:from>
        <xdr:to>
          <xdr:col>811</xdr:col>
          <xdr:colOff>514350</xdr:colOff>
          <xdr:row>65</xdr:row>
          <xdr:rowOff>428625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381000</xdr:colOff>
          <xdr:row>191</xdr:row>
          <xdr:rowOff>342900</xdr:rowOff>
        </xdr:from>
        <xdr:to>
          <xdr:col>667</xdr:col>
          <xdr:colOff>466725</xdr:colOff>
          <xdr:row>192</xdr:row>
          <xdr:rowOff>352425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45</xdr:row>
          <xdr:rowOff>314325</xdr:rowOff>
        </xdr:from>
        <xdr:to>
          <xdr:col>811</xdr:col>
          <xdr:colOff>314325</xdr:colOff>
          <xdr:row>46</xdr:row>
          <xdr:rowOff>342900</xdr:rowOff>
        </xdr:to>
        <xdr:sp macro="" textlink="">
          <xdr:nvSpPr>
            <xdr:cNvPr id="14156" name="Object 1868" hidden="1">
              <a:extLst>
                <a:ext uri="{63B3BB69-23CF-44E3-9099-C40C66FF867C}">
                  <a14:compatExt spid="_x0000_s14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533400</xdr:colOff>
          <xdr:row>174</xdr:row>
          <xdr:rowOff>209550</xdr:rowOff>
        </xdr:from>
        <xdr:to>
          <xdr:col>667</xdr:col>
          <xdr:colOff>142875</xdr:colOff>
          <xdr:row>176</xdr:row>
          <xdr:rowOff>295275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11</xdr:row>
          <xdr:rowOff>381000</xdr:rowOff>
        </xdr:from>
        <xdr:to>
          <xdr:col>809</xdr:col>
          <xdr:colOff>390525</xdr:colOff>
          <xdr:row>12</xdr:row>
          <xdr:rowOff>419100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25</xdr:row>
          <xdr:rowOff>295275</xdr:rowOff>
        </xdr:from>
        <xdr:to>
          <xdr:col>807</xdr:col>
          <xdr:colOff>19050</xdr:colOff>
          <xdr:row>26</xdr:row>
          <xdr:rowOff>257175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834</xdr:col>
      <xdr:colOff>311727</xdr:colOff>
      <xdr:row>21</xdr:row>
      <xdr:rowOff>242455</xdr:rowOff>
    </xdr:from>
    <xdr:to>
      <xdr:col>844</xdr:col>
      <xdr:colOff>416982</xdr:colOff>
      <xdr:row>30</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6661977" y="13244080"/>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620</xdr:col>
          <xdr:colOff>266700</xdr:colOff>
          <xdr:row>147</xdr:row>
          <xdr:rowOff>142875</xdr:rowOff>
        </xdr:from>
        <xdr:to>
          <xdr:col>633</xdr:col>
          <xdr:colOff>228600</xdr:colOff>
          <xdr:row>149</xdr:row>
          <xdr:rowOff>352425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77</xdr:row>
          <xdr:rowOff>142875</xdr:rowOff>
        </xdr:from>
        <xdr:to>
          <xdr:col>662</xdr:col>
          <xdr:colOff>295275</xdr:colOff>
          <xdr:row>78</xdr:row>
          <xdr:rowOff>495300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219075</xdr:colOff>
          <xdr:row>50</xdr:row>
          <xdr:rowOff>142875</xdr:rowOff>
        </xdr:from>
        <xdr:to>
          <xdr:col>662</xdr:col>
          <xdr:colOff>409575</xdr:colOff>
          <xdr:row>51</xdr:row>
          <xdr:rowOff>428625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257175</xdr:colOff>
          <xdr:row>82</xdr:row>
          <xdr:rowOff>190500</xdr:rowOff>
        </xdr:from>
        <xdr:to>
          <xdr:col>278</xdr:col>
          <xdr:colOff>428625</xdr:colOff>
          <xdr:row>83</xdr:row>
          <xdr:rowOff>466725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21</xdr:row>
          <xdr:rowOff>209550</xdr:rowOff>
        </xdr:from>
        <xdr:to>
          <xdr:col>670</xdr:col>
          <xdr:colOff>247650</xdr:colOff>
          <xdr:row>22</xdr:row>
          <xdr:rowOff>238125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266700</xdr:colOff>
          <xdr:row>25</xdr:row>
          <xdr:rowOff>285750</xdr:rowOff>
        </xdr:from>
        <xdr:to>
          <xdr:col>670</xdr:col>
          <xdr:colOff>219075</xdr:colOff>
          <xdr:row>26</xdr:row>
          <xdr:rowOff>314325</xdr:rowOff>
        </xdr:to>
        <xdr:sp macro="" textlink="">
          <xdr:nvSpPr>
            <xdr:cNvPr id="14297" name="Object 2009" hidden="1">
              <a:extLst>
                <a:ext uri="{63B3BB69-23CF-44E3-9099-C40C66FF867C}">
                  <a14:compatExt spid="_x0000_s14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161925</xdr:colOff>
          <xdr:row>29</xdr:row>
          <xdr:rowOff>257175</xdr:rowOff>
        </xdr:from>
        <xdr:to>
          <xdr:col>670</xdr:col>
          <xdr:colOff>257175</xdr:colOff>
          <xdr:row>30</xdr:row>
          <xdr:rowOff>285750</xdr:rowOff>
        </xdr:to>
        <xdr:sp macro="" textlink="">
          <xdr:nvSpPr>
            <xdr:cNvPr id="14298" name="Object 2010" hidden="1">
              <a:extLst>
                <a:ext uri="{63B3BB69-23CF-44E3-9099-C40C66FF867C}">
                  <a14:compatExt spid="_x0000_s14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285750</xdr:colOff>
          <xdr:row>243</xdr:row>
          <xdr:rowOff>257175</xdr:rowOff>
        </xdr:from>
        <xdr:to>
          <xdr:col>666</xdr:col>
          <xdr:colOff>361950</xdr:colOff>
          <xdr:row>244</xdr:row>
          <xdr:rowOff>304800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256</xdr:row>
          <xdr:rowOff>209550</xdr:rowOff>
        </xdr:from>
        <xdr:to>
          <xdr:col>665</xdr:col>
          <xdr:colOff>428625</xdr:colOff>
          <xdr:row>258</xdr:row>
          <xdr:rowOff>304800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145</xdr:row>
          <xdr:rowOff>257175</xdr:rowOff>
        </xdr:from>
        <xdr:to>
          <xdr:col>665</xdr:col>
          <xdr:colOff>304800</xdr:colOff>
          <xdr:row>147</xdr:row>
          <xdr:rowOff>238125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361950</xdr:colOff>
          <xdr:row>139</xdr:row>
          <xdr:rowOff>361950</xdr:rowOff>
        </xdr:from>
        <xdr:to>
          <xdr:col>279</xdr:col>
          <xdr:colOff>142875</xdr:colOff>
          <xdr:row>141</xdr:row>
          <xdr:rowOff>200025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131</xdr:row>
          <xdr:rowOff>352425</xdr:rowOff>
        </xdr:from>
        <xdr:to>
          <xdr:col>665</xdr:col>
          <xdr:colOff>190500</xdr:colOff>
          <xdr:row>133</xdr:row>
          <xdr:rowOff>314325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523875</xdr:colOff>
          <xdr:row>140</xdr:row>
          <xdr:rowOff>238125</xdr:rowOff>
        </xdr:from>
        <xdr:to>
          <xdr:col>668</xdr:col>
          <xdr:colOff>0</xdr:colOff>
          <xdr:row>142</xdr:row>
          <xdr:rowOff>247650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171450</xdr:colOff>
          <xdr:row>235</xdr:row>
          <xdr:rowOff>114300</xdr:rowOff>
        </xdr:from>
        <xdr:to>
          <xdr:col>363</xdr:col>
          <xdr:colOff>190500</xdr:colOff>
          <xdr:row>236</xdr:row>
          <xdr:rowOff>457200</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83</xdr:row>
          <xdr:rowOff>304800</xdr:rowOff>
        </xdr:from>
        <xdr:to>
          <xdr:col>667</xdr:col>
          <xdr:colOff>342900</xdr:colOff>
          <xdr:row>85</xdr:row>
          <xdr:rowOff>247650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136</xdr:row>
          <xdr:rowOff>257175</xdr:rowOff>
        </xdr:from>
        <xdr:to>
          <xdr:col>667</xdr:col>
          <xdr:colOff>581025</xdr:colOff>
          <xdr:row>137</xdr:row>
          <xdr:rowOff>295275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124</xdr:row>
          <xdr:rowOff>342900</xdr:rowOff>
        </xdr:from>
        <xdr:to>
          <xdr:col>666</xdr:col>
          <xdr:colOff>352425</xdr:colOff>
          <xdr:row>125</xdr:row>
          <xdr:rowOff>371475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84</xdr:row>
          <xdr:rowOff>257175</xdr:rowOff>
        </xdr:from>
        <xdr:to>
          <xdr:col>811</xdr:col>
          <xdr:colOff>419100</xdr:colOff>
          <xdr:row>85</xdr:row>
          <xdr:rowOff>295275</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76</xdr:row>
          <xdr:rowOff>180975</xdr:rowOff>
        </xdr:from>
        <xdr:to>
          <xdr:col>809</xdr:col>
          <xdr:colOff>504825</xdr:colOff>
          <xdr:row>78</xdr:row>
          <xdr:rowOff>285750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88</xdr:row>
          <xdr:rowOff>180975</xdr:rowOff>
        </xdr:from>
        <xdr:to>
          <xdr:col>810</xdr:col>
          <xdr:colOff>361950</xdr:colOff>
          <xdr:row>89</xdr:row>
          <xdr:rowOff>352425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86</xdr:row>
          <xdr:rowOff>304800</xdr:rowOff>
        </xdr:from>
        <xdr:to>
          <xdr:col>810</xdr:col>
          <xdr:colOff>419100</xdr:colOff>
          <xdr:row>87</xdr:row>
          <xdr:rowOff>485775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69</xdr:row>
          <xdr:rowOff>390525</xdr:rowOff>
        </xdr:from>
        <xdr:to>
          <xdr:col>812</xdr:col>
          <xdr:colOff>352425</xdr:colOff>
          <xdr:row>71</xdr:row>
          <xdr:rowOff>228600</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447675</xdr:colOff>
          <xdr:row>211</xdr:row>
          <xdr:rowOff>295275</xdr:rowOff>
        </xdr:from>
        <xdr:to>
          <xdr:col>666</xdr:col>
          <xdr:colOff>238125</xdr:colOff>
          <xdr:row>212</xdr:row>
          <xdr:rowOff>333375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150</xdr:row>
          <xdr:rowOff>161925</xdr:rowOff>
        </xdr:from>
        <xdr:to>
          <xdr:col>669</xdr:col>
          <xdr:colOff>9525</xdr:colOff>
          <xdr:row>152</xdr:row>
          <xdr:rowOff>361950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228600</xdr:colOff>
          <xdr:row>61</xdr:row>
          <xdr:rowOff>381000</xdr:rowOff>
        </xdr:from>
        <xdr:to>
          <xdr:col>672</xdr:col>
          <xdr:colOff>457200</xdr:colOff>
          <xdr:row>63</xdr:row>
          <xdr:rowOff>247650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333375</xdr:colOff>
          <xdr:row>66</xdr:row>
          <xdr:rowOff>314325</xdr:rowOff>
        </xdr:from>
        <xdr:to>
          <xdr:col>667</xdr:col>
          <xdr:colOff>66675</xdr:colOff>
          <xdr:row>68</xdr:row>
          <xdr:rowOff>247650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276225</xdr:colOff>
          <xdr:row>273</xdr:row>
          <xdr:rowOff>209550</xdr:rowOff>
        </xdr:from>
        <xdr:to>
          <xdr:col>670</xdr:col>
          <xdr:colOff>466725</xdr:colOff>
          <xdr:row>274</xdr:row>
          <xdr:rowOff>247650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222</xdr:row>
          <xdr:rowOff>209550</xdr:rowOff>
        </xdr:from>
        <xdr:to>
          <xdr:col>667</xdr:col>
          <xdr:colOff>438150</xdr:colOff>
          <xdr:row>223</xdr:row>
          <xdr:rowOff>361950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226</xdr:row>
          <xdr:rowOff>152400</xdr:rowOff>
        </xdr:from>
        <xdr:to>
          <xdr:col>667</xdr:col>
          <xdr:colOff>381000</xdr:colOff>
          <xdr:row>227</xdr:row>
          <xdr:rowOff>304800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197</xdr:row>
          <xdr:rowOff>295275</xdr:rowOff>
        </xdr:from>
        <xdr:to>
          <xdr:col>672</xdr:col>
          <xdr:colOff>238125</xdr:colOff>
          <xdr:row>199</xdr:row>
          <xdr:rowOff>190500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209550</xdr:colOff>
          <xdr:row>236</xdr:row>
          <xdr:rowOff>238125</xdr:rowOff>
        </xdr:from>
        <xdr:to>
          <xdr:col>669</xdr:col>
          <xdr:colOff>171450</xdr:colOff>
          <xdr:row>238</xdr:row>
          <xdr:rowOff>238125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277</xdr:row>
          <xdr:rowOff>295275</xdr:rowOff>
        </xdr:from>
        <xdr:to>
          <xdr:col>668</xdr:col>
          <xdr:colOff>485775</xdr:colOff>
          <xdr:row>279</xdr:row>
          <xdr:rowOff>209550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590550</xdr:colOff>
          <xdr:row>167</xdr:row>
          <xdr:rowOff>238125</xdr:rowOff>
        </xdr:from>
        <xdr:to>
          <xdr:col>674</xdr:col>
          <xdr:colOff>381000</xdr:colOff>
          <xdr:row>169</xdr:row>
          <xdr:rowOff>323850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238125</xdr:colOff>
          <xdr:row>59</xdr:row>
          <xdr:rowOff>257175</xdr:rowOff>
        </xdr:from>
        <xdr:to>
          <xdr:col>100</xdr:col>
          <xdr:colOff>304800</xdr:colOff>
          <xdr:row>60</xdr:row>
          <xdr:rowOff>295275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190500</xdr:colOff>
          <xdr:row>35</xdr:row>
          <xdr:rowOff>161925</xdr:rowOff>
        </xdr:from>
        <xdr:to>
          <xdr:col>101</xdr:col>
          <xdr:colOff>428625</xdr:colOff>
          <xdr:row>36</xdr:row>
          <xdr:rowOff>438150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47</xdr:row>
          <xdr:rowOff>114300</xdr:rowOff>
        </xdr:from>
        <xdr:to>
          <xdr:col>102</xdr:col>
          <xdr:colOff>323850</xdr:colOff>
          <xdr:row>48</xdr:row>
          <xdr:rowOff>504825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352425</xdr:colOff>
          <xdr:row>98</xdr:row>
          <xdr:rowOff>323850</xdr:rowOff>
        </xdr:from>
        <xdr:to>
          <xdr:col>809</xdr:col>
          <xdr:colOff>438150</xdr:colOff>
          <xdr:row>99</xdr:row>
          <xdr:rowOff>333375</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400050</xdr:colOff>
          <xdr:row>100</xdr:row>
          <xdr:rowOff>180975</xdr:rowOff>
        </xdr:from>
        <xdr:to>
          <xdr:col>808</xdr:col>
          <xdr:colOff>200025</xdr:colOff>
          <xdr:row>101</xdr:row>
          <xdr:rowOff>219075</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447675</xdr:colOff>
          <xdr:row>104</xdr:row>
          <xdr:rowOff>371475</xdr:rowOff>
        </xdr:from>
        <xdr:to>
          <xdr:col>808</xdr:col>
          <xdr:colOff>523875</xdr:colOff>
          <xdr:row>105</xdr:row>
          <xdr:rowOff>419100</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102</xdr:row>
          <xdr:rowOff>257175</xdr:rowOff>
        </xdr:from>
        <xdr:to>
          <xdr:col>809</xdr:col>
          <xdr:colOff>542925</xdr:colOff>
          <xdr:row>103</xdr:row>
          <xdr:rowOff>247650</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119</xdr:row>
          <xdr:rowOff>304800</xdr:rowOff>
        </xdr:from>
        <xdr:to>
          <xdr:col>812</xdr:col>
          <xdr:colOff>9525</xdr:colOff>
          <xdr:row>121</xdr:row>
          <xdr:rowOff>219075</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122</xdr:row>
          <xdr:rowOff>247650</xdr:rowOff>
        </xdr:from>
        <xdr:to>
          <xdr:col>808</xdr:col>
          <xdr:colOff>419100</xdr:colOff>
          <xdr:row>124</xdr:row>
          <xdr:rowOff>342900</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390525</xdr:colOff>
          <xdr:row>128</xdr:row>
          <xdr:rowOff>428625</xdr:rowOff>
        </xdr:from>
        <xdr:to>
          <xdr:col>807</xdr:col>
          <xdr:colOff>285750</xdr:colOff>
          <xdr:row>130</xdr:row>
          <xdr:rowOff>419100</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342900</xdr:colOff>
          <xdr:row>289</xdr:row>
          <xdr:rowOff>104775</xdr:rowOff>
        </xdr:from>
        <xdr:to>
          <xdr:col>663</xdr:col>
          <xdr:colOff>276225</xdr:colOff>
          <xdr:row>290</xdr:row>
          <xdr:rowOff>428625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180975</xdr:colOff>
          <xdr:row>282</xdr:row>
          <xdr:rowOff>381000</xdr:rowOff>
        </xdr:from>
        <xdr:to>
          <xdr:col>663</xdr:col>
          <xdr:colOff>361950</xdr:colOff>
          <xdr:row>284</xdr:row>
          <xdr:rowOff>295275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299</xdr:row>
          <xdr:rowOff>361950</xdr:rowOff>
        </xdr:from>
        <xdr:to>
          <xdr:col>670</xdr:col>
          <xdr:colOff>257175</xdr:colOff>
          <xdr:row>301</xdr:row>
          <xdr:rowOff>228600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131</xdr:row>
          <xdr:rowOff>361950</xdr:rowOff>
        </xdr:from>
        <xdr:to>
          <xdr:col>814</xdr:col>
          <xdr:colOff>104775</xdr:colOff>
          <xdr:row>133</xdr:row>
          <xdr:rowOff>419100</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190500</xdr:colOff>
          <xdr:row>56</xdr:row>
          <xdr:rowOff>219075</xdr:rowOff>
        </xdr:from>
        <xdr:to>
          <xdr:col>670</xdr:col>
          <xdr:colOff>266700</xdr:colOff>
          <xdr:row>58</xdr:row>
          <xdr:rowOff>276225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202</xdr:row>
          <xdr:rowOff>142875</xdr:rowOff>
        </xdr:from>
        <xdr:to>
          <xdr:col>664</xdr:col>
          <xdr:colOff>238125</xdr:colOff>
          <xdr:row>203</xdr:row>
          <xdr:rowOff>466725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27</xdr:row>
          <xdr:rowOff>409575</xdr:rowOff>
        </xdr:from>
        <xdr:to>
          <xdr:col>806</xdr:col>
          <xdr:colOff>323850</xdr:colOff>
          <xdr:row>29</xdr:row>
          <xdr:rowOff>314325</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333375</xdr:colOff>
          <xdr:row>30</xdr:row>
          <xdr:rowOff>238125</xdr:rowOff>
        </xdr:from>
        <xdr:to>
          <xdr:col>810</xdr:col>
          <xdr:colOff>257175</xdr:colOff>
          <xdr:row>32</xdr:row>
          <xdr:rowOff>323850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33</xdr:row>
          <xdr:rowOff>361950</xdr:rowOff>
        </xdr:from>
        <xdr:to>
          <xdr:col>810</xdr:col>
          <xdr:colOff>276225</xdr:colOff>
          <xdr:row>35</xdr:row>
          <xdr:rowOff>200025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72</xdr:row>
          <xdr:rowOff>123825</xdr:rowOff>
        </xdr:from>
        <xdr:to>
          <xdr:col>813</xdr:col>
          <xdr:colOff>200025</xdr:colOff>
          <xdr:row>75</xdr:row>
          <xdr:rowOff>419100</xdr:rowOff>
        </xdr:to>
        <xdr:sp macro="" textlink="">
          <xdr:nvSpPr>
            <xdr:cNvPr id="20745" name="Object 2313" hidden="1">
              <a:extLst>
                <a:ext uri="{63B3BB69-23CF-44E3-9099-C40C66FF867C}">
                  <a14:compatExt spid="_x0000_s207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90</xdr:row>
          <xdr:rowOff>447675</xdr:rowOff>
        </xdr:from>
        <xdr:to>
          <xdr:col>813</xdr:col>
          <xdr:colOff>333375</xdr:colOff>
          <xdr:row>93</xdr:row>
          <xdr:rowOff>247650</xdr:rowOff>
        </xdr:to>
        <xdr:sp macro="" textlink="">
          <xdr:nvSpPr>
            <xdr:cNvPr id="20750" name="Object 2318" hidden="1">
              <a:extLst>
                <a:ext uri="{63B3BB69-23CF-44E3-9099-C40C66FF867C}">
                  <a14:compatExt spid="_x0000_s20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94</xdr:row>
          <xdr:rowOff>381000</xdr:rowOff>
        </xdr:from>
        <xdr:to>
          <xdr:col>811</xdr:col>
          <xdr:colOff>571500</xdr:colOff>
          <xdr:row>97</xdr:row>
          <xdr:rowOff>180975</xdr:rowOff>
        </xdr:to>
        <xdr:sp macro="" textlink="">
          <xdr:nvSpPr>
            <xdr:cNvPr id="20751" name="Object 2319" hidden="1">
              <a:extLst>
                <a:ext uri="{63B3BB69-23CF-44E3-9099-C40C66FF867C}">
                  <a14:compatExt spid="_x0000_s207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238125</xdr:colOff>
          <xdr:row>106</xdr:row>
          <xdr:rowOff>542925</xdr:rowOff>
        </xdr:from>
        <xdr:to>
          <xdr:col>813</xdr:col>
          <xdr:colOff>123825</xdr:colOff>
          <xdr:row>109</xdr:row>
          <xdr:rowOff>57150</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52</xdr:row>
          <xdr:rowOff>276225</xdr:rowOff>
        </xdr:from>
        <xdr:to>
          <xdr:col>808</xdr:col>
          <xdr:colOff>285750</xdr:colOff>
          <xdr:row>54</xdr:row>
          <xdr:rowOff>247650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55</xdr:row>
          <xdr:rowOff>476250</xdr:rowOff>
        </xdr:from>
        <xdr:to>
          <xdr:col>810</xdr:col>
          <xdr:colOff>447675</xdr:colOff>
          <xdr:row>57</xdr:row>
          <xdr:rowOff>304800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114300</xdr:colOff>
          <xdr:row>58</xdr:row>
          <xdr:rowOff>219075</xdr:rowOff>
        </xdr:from>
        <xdr:to>
          <xdr:col>811</xdr:col>
          <xdr:colOff>419100</xdr:colOff>
          <xdr:row>59</xdr:row>
          <xdr:rowOff>390525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217</xdr:row>
          <xdr:rowOff>276225</xdr:rowOff>
        </xdr:from>
        <xdr:to>
          <xdr:col>670</xdr:col>
          <xdr:colOff>133350</xdr:colOff>
          <xdr:row>219</xdr:row>
          <xdr:rowOff>266700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249</xdr:row>
          <xdr:rowOff>209550</xdr:rowOff>
        </xdr:from>
        <xdr:to>
          <xdr:col>672</xdr:col>
          <xdr:colOff>523875</xdr:colOff>
          <xdr:row>251</xdr:row>
          <xdr:rowOff>276225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117</xdr:row>
          <xdr:rowOff>314325</xdr:rowOff>
        </xdr:from>
        <xdr:to>
          <xdr:col>813</xdr:col>
          <xdr:colOff>438150</xdr:colOff>
          <xdr:row>118</xdr:row>
          <xdr:rowOff>409575</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110</xdr:row>
          <xdr:rowOff>476250</xdr:rowOff>
        </xdr:from>
        <xdr:to>
          <xdr:col>814</xdr:col>
          <xdr:colOff>323850</xdr:colOff>
          <xdr:row>113</xdr:row>
          <xdr:rowOff>38100</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36</xdr:row>
          <xdr:rowOff>428625</xdr:rowOff>
        </xdr:from>
        <xdr:to>
          <xdr:col>810</xdr:col>
          <xdr:colOff>19050</xdr:colOff>
          <xdr:row>37</xdr:row>
          <xdr:rowOff>457200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50</xdr:row>
          <xdr:rowOff>285750</xdr:rowOff>
        </xdr:from>
        <xdr:to>
          <xdr:col>809</xdr:col>
          <xdr:colOff>333375</xdr:colOff>
          <xdr:row>51</xdr:row>
          <xdr:rowOff>314325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92</xdr:row>
          <xdr:rowOff>285750</xdr:rowOff>
        </xdr:from>
        <xdr:to>
          <xdr:col>667</xdr:col>
          <xdr:colOff>304800</xdr:colOff>
          <xdr:row>93</xdr:row>
          <xdr:rowOff>314325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219075</xdr:colOff>
          <xdr:row>120</xdr:row>
          <xdr:rowOff>257175</xdr:rowOff>
        </xdr:from>
        <xdr:to>
          <xdr:col>666</xdr:col>
          <xdr:colOff>390525</xdr:colOff>
          <xdr:row>121</xdr:row>
          <xdr:rowOff>295275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361950</xdr:colOff>
          <xdr:row>261</xdr:row>
          <xdr:rowOff>504825</xdr:rowOff>
        </xdr:from>
        <xdr:to>
          <xdr:col>671</xdr:col>
          <xdr:colOff>257175</xdr:colOff>
          <xdr:row>264</xdr:row>
          <xdr:rowOff>85725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268</xdr:row>
          <xdr:rowOff>428625</xdr:rowOff>
        </xdr:from>
        <xdr:to>
          <xdr:col>666</xdr:col>
          <xdr:colOff>457200</xdr:colOff>
          <xdr:row>270</xdr:row>
          <xdr:rowOff>342900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114</xdr:row>
          <xdr:rowOff>266700</xdr:rowOff>
        </xdr:from>
        <xdr:to>
          <xdr:col>808</xdr:col>
          <xdr:colOff>476250</xdr:colOff>
          <xdr:row>116</xdr:row>
          <xdr:rowOff>180975</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125</xdr:row>
          <xdr:rowOff>171450</xdr:rowOff>
        </xdr:from>
        <xdr:to>
          <xdr:col>814</xdr:col>
          <xdr:colOff>190500</xdr:colOff>
          <xdr:row>127</xdr:row>
          <xdr:rowOff>400050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52</xdr:row>
          <xdr:rowOff>209550</xdr:rowOff>
        </xdr:from>
        <xdr:to>
          <xdr:col>458</xdr:col>
          <xdr:colOff>323850</xdr:colOff>
          <xdr:row>53</xdr:row>
          <xdr:rowOff>247650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84</xdr:row>
          <xdr:rowOff>333375</xdr:rowOff>
        </xdr:from>
        <xdr:to>
          <xdr:col>452</xdr:col>
          <xdr:colOff>381000</xdr:colOff>
          <xdr:row>85</xdr:row>
          <xdr:rowOff>304800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68</xdr:row>
          <xdr:rowOff>333375</xdr:rowOff>
        </xdr:from>
        <xdr:to>
          <xdr:col>454</xdr:col>
          <xdr:colOff>466725</xdr:colOff>
          <xdr:row>70</xdr:row>
          <xdr:rowOff>276225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428625</xdr:colOff>
          <xdr:row>154</xdr:row>
          <xdr:rowOff>314325</xdr:rowOff>
        </xdr:from>
        <xdr:to>
          <xdr:col>454</xdr:col>
          <xdr:colOff>123825</xdr:colOff>
          <xdr:row>155</xdr:row>
          <xdr:rowOff>361950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134</xdr:row>
          <xdr:rowOff>276225</xdr:rowOff>
        </xdr:from>
        <xdr:to>
          <xdr:col>455</xdr:col>
          <xdr:colOff>457200</xdr:colOff>
          <xdr:row>136</xdr:row>
          <xdr:rowOff>333375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145</xdr:row>
          <xdr:rowOff>295275</xdr:rowOff>
        </xdr:from>
        <xdr:to>
          <xdr:col>452</xdr:col>
          <xdr:colOff>381000</xdr:colOff>
          <xdr:row>147</xdr:row>
          <xdr:rowOff>266700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142875</xdr:colOff>
          <xdr:row>79</xdr:row>
          <xdr:rowOff>238125</xdr:rowOff>
        </xdr:from>
        <xdr:to>
          <xdr:col>462</xdr:col>
          <xdr:colOff>438150</xdr:colOff>
          <xdr:row>81</xdr:row>
          <xdr:rowOff>295275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314325</xdr:colOff>
          <xdr:row>48</xdr:row>
          <xdr:rowOff>295275</xdr:rowOff>
        </xdr:from>
        <xdr:to>
          <xdr:col>459</xdr:col>
          <xdr:colOff>123825</xdr:colOff>
          <xdr:row>49</xdr:row>
          <xdr:rowOff>333375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125</xdr:row>
          <xdr:rowOff>238125</xdr:rowOff>
        </xdr:from>
        <xdr:to>
          <xdr:col>453</xdr:col>
          <xdr:colOff>428625</xdr:colOff>
          <xdr:row>126</xdr:row>
          <xdr:rowOff>266700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119</xdr:row>
          <xdr:rowOff>238125</xdr:rowOff>
        </xdr:from>
        <xdr:to>
          <xdr:col>454</xdr:col>
          <xdr:colOff>438150</xdr:colOff>
          <xdr:row>120</xdr:row>
          <xdr:rowOff>266700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103</xdr:row>
          <xdr:rowOff>266700</xdr:rowOff>
        </xdr:from>
        <xdr:to>
          <xdr:col>454</xdr:col>
          <xdr:colOff>390525</xdr:colOff>
          <xdr:row>105</xdr:row>
          <xdr:rowOff>323850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16</xdr:row>
          <xdr:rowOff>523875</xdr:rowOff>
        </xdr:from>
        <xdr:to>
          <xdr:col>465</xdr:col>
          <xdr:colOff>361950</xdr:colOff>
          <xdr:row>19</xdr:row>
          <xdr:rowOff>9525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352425</xdr:colOff>
          <xdr:row>194</xdr:row>
          <xdr:rowOff>333375</xdr:rowOff>
        </xdr:from>
        <xdr:to>
          <xdr:col>451</xdr:col>
          <xdr:colOff>266700</xdr:colOff>
          <xdr:row>196</xdr:row>
          <xdr:rowOff>352425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825</xdr:col>
          <xdr:colOff>561975</xdr:colOff>
          <xdr:row>33</xdr:row>
          <xdr:rowOff>352425</xdr:rowOff>
        </xdr:from>
        <xdr:to>
          <xdr:col>838</xdr:col>
          <xdr:colOff>533400</xdr:colOff>
          <xdr:row>40</xdr:row>
          <xdr:rowOff>333375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870</xdr:col>
      <xdr:colOff>428624</xdr:colOff>
      <xdr:row>16</xdr:row>
      <xdr:rowOff>14286</xdr:rowOff>
    </xdr:from>
    <xdr:to>
      <xdr:col>892</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848</xdr:col>
      <xdr:colOff>47623</xdr:colOff>
      <xdr:row>15</xdr:row>
      <xdr:rowOff>585788</xdr:rowOff>
    </xdr:from>
    <xdr:to>
      <xdr:col>868</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504825</xdr:colOff>
      <xdr:row>129</xdr:row>
      <xdr:rowOff>323851</xdr:rowOff>
    </xdr:from>
    <xdr:to>
      <xdr:col>595</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847</xdr:col>
      <xdr:colOff>542925</xdr:colOff>
      <xdr:row>9</xdr:row>
      <xdr:rowOff>171451</xdr:rowOff>
    </xdr:from>
    <xdr:to>
      <xdr:col>868</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870</xdr:col>
      <xdr:colOff>423861</xdr:colOff>
      <xdr:row>9</xdr:row>
      <xdr:rowOff>328611</xdr:rowOff>
    </xdr:from>
    <xdr:to>
      <xdr:col>891</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29775736"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604402</xdr:colOff>
      <xdr:row>124</xdr:row>
      <xdr:rowOff>323850</xdr:rowOff>
    </xdr:from>
    <xdr:to>
      <xdr:col>594</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333375</xdr:colOff>
          <xdr:row>63</xdr:row>
          <xdr:rowOff>95250</xdr:rowOff>
        </xdr:from>
        <xdr:to>
          <xdr:col>626</xdr:col>
          <xdr:colOff>133350</xdr:colOff>
          <xdr:row>64</xdr:row>
          <xdr:rowOff>485775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393</xdr:col>
      <xdr:colOff>152403</xdr:colOff>
      <xdr:row>175</xdr:row>
      <xdr:rowOff>123822</xdr:rowOff>
    </xdr:from>
    <xdr:to>
      <xdr:col>411</xdr:col>
      <xdr:colOff>500062</xdr:colOff>
      <xdr:row>185</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2185153" y="100136322"/>
          <a:ext cx="12349159" cy="583900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372</xdr:col>
      <xdr:colOff>327320</xdr:colOff>
      <xdr:row>60</xdr:row>
      <xdr:rowOff>196127</xdr:rowOff>
    </xdr:from>
    <xdr:to>
      <xdr:col>393</xdr:col>
      <xdr:colOff>285694</xdr:colOff>
      <xdr:row>80</xdr:row>
      <xdr:rowOff>429744</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44167320" y="39210527"/>
          <a:ext cx="12759974" cy="1242561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448</xdr:col>
          <xdr:colOff>257175</xdr:colOff>
          <xdr:row>23</xdr:row>
          <xdr:rowOff>285750</xdr:rowOff>
        </xdr:from>
        <xdr:to>
          <xdr:col>462</xdr:col>
          <xdr:colOff>219075</xdr:colOff>
          <xdr:row>25</xdr:row>
          <xdr:rowOff>342900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75</xdr:row>
          <xdr:rowOff>238125</xdr:rowOff>
        </xdr:from>
        <xdr:to>
          <xdr:col>459</xdr:col>
          <xdr:colOff>304800</xdr:colOff>
          <xdr:row>76</xdr:row>
          <xdr:rowOff>342900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400050</xdr:colOff>
          <xdr:row>112</xdr:row>
          <xdr:rowOff>238125</xdr:rowOff>
        </xdr:from>
        <xdr:to>
          <xdr:col>456</xdr:col>
          <xdr:colOff>352425</xdr:colOff>
          <xdr:row>114</xdr:row>
          <xdr:rowOff>295275</xdr:rowOff>
        </xdr:to>
        <xdr:sp macro="" textlink="">
          <xdr:nvSpPr>
            <xdr:cNvPr id="21177" name="Object 2745" hidden="1">
              <a:extLst>
                <a:ext uri="{63B3BB69-23CF-44E3-9099-C40C66FF867C}">
                  <a14:compatExt spid="_x0000_s2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108</xdr:row>
          <xdr:rowOff>238125</xdr:rowOff>
        </xdr:from>
        <xdr:to>
          <xdr:col>459</xdr:col>
          <xdr:colOff>180975</xdr:colOff>
          <xdr:row>109</xdr:row>
          <xdr:rowOff>342900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98</xdr:row>
          <xdr:rowOff>285750</xdr:rowOff>
        </xdr:from>
        <xdr:to>
          <xdr:col>459</xdr:col>
          <xdr:colOff>438150</xdr:colOff>
          <xdr:row>100</xdr:row>
          <xdr:rowOff>342900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572</xdr:col>
      <xdr:colOff>423861</xdr:colOff>
      <xdr:row>102</xdr:row>
      <xdr:rowOff>566739</xdr:rowOff>
    </xdr:from>
    <xdr:to>
      <xdr:col>593</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371475</xdr:colOff>
          <xdr:row>79</xdr:row>
          <xdr:rowOff>295275</xdr:rowOff>
        </xdr:from>
        <xdr:to>
          <xdr:col>626</xdr:col>
          <xdr:colOff>85725</xdr:colOff>
          <xdr:row>80</xdr:row>
          <xdr:rowOff>342900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190500</xdr:colOff>
          <xdr:row>83</xdr:row>
          <xdr:rowOff>304800</xdr:rowOff>
        </xdr:from>
        <xdr:to>
          <xdr:col>625</xdr:col>
          <xdr:colOff>409575</xdr:colOff>
          <xdr:row>84</xdr:row>
          <xdr:rowOff>238125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480</xdr:col>
          <xdr:colOff>190500</xdr:colOff>
          <xdr:row>16</xdr:row>
          <xdr:rowOff>352425</xdr:rowOff>
        </xdr:from>
        <xdr:to>
          <xdr:col>485</xdr:col>
          <xdr:colOff>257175</xdr:colOff>
          <xdr:row>17</xdr:row>
          <xdr:rowOff>276225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171450</xdr:colOff>
          <xdr:row>75</xdr:row>
          <xdr:rowOff>228600</xdr:rowOff>
        </xdr:from>
        <xdr:to>
          <xdr:col>628</xdr:col>
          <xdr:colOff>114300</xdr:colOff>
          <xdr:row>77</xdr:row>
          <xdr:rowOff>57150</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199</xdr:row>
          <xdr:rowOff>295275</xdr:rowOff>
        </xdr:from>
        <xdr:to>
          <xdr:col>452</xdr:col>
          <xdr:colOff>438150</xdr:colOff>
          <xdr:row>200</xdr:row>
          <xdr:rowOff>304800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276225</xdr:colOff>
          <xdr:row>87</xdr:row>
          <xdr:rowOff>361950</xdr:rowOff>
        </xdr:from>
        <xdr:to>
          <xdr:col>624</xdr:col>
          <xdr:colOff>352425</xdr:colOff>
          <xdr:row>88</xdr:row>
          <xdr:rowOff>295275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504</xdr:col>
          <xdr:colOff>238125</xdr:colOff>
          <xdr:row>16</xdr:row>
          <xdr:rowOff>400050</xdr:rowOff>
        </xdr:from>
        <xdr:to>
          <xdr:col>507</xdr:col>
          <xdr:colOff>361950</xdr:colOff>
          <xdr:row>17</xdr:row>
          <xdr:rowOff>257175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xdr:col>
          <xdr:colOff>190500</xdr:colOff>
          <xdr:row>16</xdr:row>
          <xdr:rowOff>381000</xdr:rowOff>
        </xdr:from>
        <xdr:to>
          <xdr:col>491</xdr:col>
          <xdr:colOff>285750</xdr:colOff>
          <xdr:row>17</xdr:row>
          <xdr:rowOff>314325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500</xdr:col>
          <xdr:colOff>190500</xdr:colOff>
          <xdr:row>16</xdr:row>
          <xdr:rowOff>381000</xdr:rowOff>
        </xdr:from>
        <xdr:to>
          <xdr:col>503</xdr:col>
          <xdr:colOff>304800</xdr:colOff>
          <xdr:row>17</xdr:row>
          <xdr:rowOff>228600</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304800</xdr:colOff>
          <xdr:row>172</xdr:row>
          <xdr:rowOff>219075</xdr:rowOff>
        </xdr:from>
        <xdr:to>
          <xdr:col>454</xdr:col>
          <xdr:colOff>333375</xdr:colOff>
          <xdr:row>174</xdr:row>
          <xdr:rowOff>276225</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xdr:col>
          <xdr:colOff>142875</xdr:colOff>
          <xdr:row>16</xdr:row>
          <xdr:rowOff>428625</xdr:rowOff>
        </xdr:from>
        <xdr:to>
          <xdr:col>518</xdr:col>
          <xdr:colOff>428625</xdr:colOff>
          <xdr:row>17</xdr:row>
          <xdr:rowOff>352425</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550</xdr:col>
          <xdr:colOff>0</xdr:colOff>
          <xdr:row>16</xdr:row>
          <xdr:rowOff>209550</xdr:rowOff>
        </xdr:from>
        <xdr:to>
          <xdr:col>554</xdr:col>
          <xdr:colOff>180975</xdr:colOff>
          <xdr:row>17</xdr:row>
          <xdr:rowOff>495300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508</xdr:col>
          <xdr:colOff>114300</xdr:colOff>
          <xdr:row>16</xdr:row>
          <xdr:rowOff>476250</xdr:rowOff>
        </xdr:from>
        <xdr:to>
          <xdr:col>513</xdr:col>
          <xdr:colOff>504825</xdr:colOff>
          <xdr:row>17</xdr:row>
          <xdr:rowOff>400050</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519</xdr:col>
          <xdr:colOff>428625</xdr:colOff>
          <xdr:row>16</xdr:row>
          <xdr:rowOff>381000</xdr:rowOff>
        </xdr:from>
        <xdr:to>
          <xdr:col>524</xdr:col>
          <xdr:colOff>209550</xdr:colOff>
          <xdr:row>17</xdr:row>
          <xdr:rowOff>304800</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540</xdr:col>
          <xdr:colOff>190500</xdr:colOff>
          <xdr:row>16</xdr:row>
          <xdr:rowOff>95250</xdr:rowOff>
        </xdr:from>
        <xdr:to>
          <xdr:col>547</xdr:col>
          <xdr:colOff>457200</xdr:colOff>
          <xdr:row>17</xdr:row>
          <xdr:rowOff>552450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126</xdr:row>
          <xdr:rowOff>257175</xdr:rowOff>
        </xdr:from>
        <xdr:to>
          <xdr:col>159</xdr:col>
          <xdr:colOff>123825</xdr:colOff>
          <xdr:row>128</xdr:row>
          <xdr:rowOff>247650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6</xdr:col>
      <xdr:colOff>384995</xdr:colOff>
      <xdr:row>75</xdr:row>
      <xdr:rowOff>407671</xdr:rowOff>
    </xdr:from>
    <xdr:to>
      <xdr:col>27</xdr:col>
      <xdr:colOff>554802</xdr:colOff>
      <xdr:row>99</xdr:row>
      <xdr:rowOff>285749</xdr:rowOff>
    </xdr:to>
    <xdr:pic>
      <xdr:nvPicPr>
        <xdr:cNvPr id="318" name="Рисунок 317"/>
        <xdr:cNvPicPr/>
      </xdr:nvPicPr>
      <xdr:blipFill>
        <a:blip xmlns:r="http://schemas.openxmlformats.org/officeDocument/2006/relationships" r:embed="rId15"/>
        <a:stretch>
          <a:fillRect/>
        </a:stretch>
      </xdr:blipFill>
      <xdr:spPr>
        <a:xfrm>
          <a:off x="4099745" y="46842046"/>
          <a:ext cx="13171432" cy="14737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428625</xdr:colOff>
      <xdr:row>20</xdr:row>
      <xdr:rowOff>38077</xdr:rowOff>
    </xdr:from>
    <xdr:to>
      <xdr:col>125</xdr:col>
      <xdr:colOff>387000</xdr:colOff>
      <xdr:row>49</xdr:row>
      <xdr:rowOff>10777</xdr:rowOff>
    </xdr:to>
    <xdr:pic>
      <xdr:nvPicPr>
        <xdr:cNvPr id="3" name="Рисунок 2"/>
        <xdr:cNvPicPr>
          <a:picLocks noChangeAspect="1"/>
        </xdr:cNvPicPr>
      </xdr:nvPicPr>
      <xdr:blipFill>
        <a:blip xmlns:r="http://schemas.openxmlformats.org/officeDocument/2006/relationships" r:embed="rId16"/>
        <a:stretch>
          <a:fillRect/>
        </a:stretch>
      </xdr:blipFill>
      <xdr:spPr>
        <a:xfrm>
          <a:off x="64817625" y="12420577"/>
          <a:ext cx="12960000" cy="17927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133</xdr:col>
      <xdr:colOff>432788</xdr:colOff>
      <xdr:row>134</xdr:row>
      <xdr:rowOff>390523</xdr:rowOff>
    </xdr:from>
    <xdr:to>
      <xdr:col>156</xdr:col>
      <xdr:colOff>462560</xdr:colOff>
      <xdr:row>166</xdr:row>
      <xdr:rowOff>514348</xdr:rowOff>
    </xdr:to>
    <xdr:pic>
      <xdr:nvPicPr>
        <xdr:cNvPr id="319" name="Рисунок 318"/>
        <xdr:cNvPicPr/>
      </xdr:nvPicPr>
      <xdr:blipFill>
        <a:blip xmlns:r="http://schemas.openxmlformats.org/officeDocument/2006/relationships" r:embed="rId17"/>
        <a:stretch>
          <a:fillRect/>
        </a:stretch>
      </xdr:blipFill>
      <xdr:spPr>
        <a:xfrm>
          <a:off x="89110538" y="76971523"/>
          <a:ext cx="15365022" cy="184118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359</xdr:col>
          <xdr:colOff>171450</xdr:colOff>
          <xdr:row>193</xdr:row>
          <xdr:rowOff>285750</xdr:rowOff>
        </xdr:from>
        <xdr:to>
          <xdr:col>368</xdr:col>
          <xdr:colOff>409575</xdr:colOff>
          <xdr:row>194</xdr:row>
          <xdr:rowOff>314325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editAs="oneCell">
    <xdr:from>
      <xdr:col>56</xdr:col>
      <xdr:colOff>221117</xdr:colOff>
      <xdr:row>11</xdr:row>
      <xdr:rowOff>102054</xdr:rowOff>
    </xdr:from>
    <xdr:to>
      <xdr:col>58</xdr:col>
      <xdr:colOff>283709</xdr:colOff>
      <xdr:row>12</xdr:row>
      <xdr:rowOff>381001</xdr:rowOff>
    </xdr:to>
    <xdr:pic>
      <xdr:nvPicPr>
        <xdr:cNvPr id="342" name="Picture 341"/>
        <xdr:cNvPicPr>
          <a:picLocks noChangeAspect="1"/>
        </xdr:cNvPicPr>
      </xdr:nvPicPr>
      <xdr:blipFill>
        <a:blip xmlns:r="http://schemas.openxmlformats.org/officeDocument/2006/relationships" r:embed="rId18"/>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56</xdr:col>
      <xdr:colOff>428625</xdr:colOff>
      <xdr:row>33</xdr:row>
      <xdr:rowOff>261938</xdr:rowOff>
    </xdr:from>
    <xdr:to>
      <xdr:col>59</xdr:col>
      <xdr:colOff>149105</xdr:colOff>
      <xdr:row>34</xdr:row>
      <xdr:rowOff>174868</xdr:rowOff>
    </xdr:to>
    <xdr:pic>
      <xdr:nvPicPr>
        <xdr:cNvPr id="8" name="Picture 7"/>
        <xdr:cNvPicPr>
          <a:picLocks noChangeAspect="1"/>
        </xdr:cNvPicPr>
      </xdr:nvPicPr>
      <xdr:blipFill>
        <a:blip xmlns:r="http://schemas.openxmlformats.org/officeDocument/2006/relationships" r:embed="rId19"/>
        <a:stretch>
          <a:fillRect/>
        </a:stretch>
      </xdr:blipFill>
      <xdr:spPr>
        <a:xfrm>
          <a:off x="35099625" y="20693063"/>
          <a:ext cx="1577855" cy="532055"/>
        </a:xfrm>
        <a:prstGeom prst="rect">
          <a:avLst/>
        </a:prstGeom>
        <a:ln w="19050">
          <a:solidFill>
            <a:schemeClr val="tx1"/>
          </a:solidFill>
        </a:ln>
      </xdr:spPr>
    </xdr:pic>
    <xdr:clientData/>
  </xdr:twoCellAnchor>
  <xdr:twoCellAnchor editAs="oneCell">
    <xdr:from>
      <xdr:col>56</xdr:col>
      <xdr:colOff>476251</xdr:colOff>
      <xdr:row>37</xdr:row>
      <xdr:rowOff>108856</xdr:rowOff>
    </xdr:from>
    <xdr:to>
      <xdr:col>58</xdr:col>
      <xdr:colOff>343995</xdr:colOff>
      <xdr:row>38</xdr:row>
      <xdr:rowOff>407655</xdr:rowOff>
    </xdr:to>
    <xdr:pic>
      <xdr:nvPicPr>
        <xdr:cNvPr id="9" name="Picture 8"/>
        <xdr:cNvPicPr>
          <a:picLocks noChangeAspect="1"/>
        </xdr:cNvPicPr>
      </xdr:nvPicPr>
      <xdr:blipFill>
        <a:blip xmlns:r="http://schemas.openxmlformats.org/officeDocument/2006/relationships" r:embed="rId20"/>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56</xdr:col>
      <xdr:colOff>353786</xdr:colOff>
      <xdr:row>41</xdr:row>
      <xdr:rowOff>163285</xdr:rowOff>
    </xdr:from>
    <xdr:to>
      <xdr:col>60</xdr:col>
      <xdr:colOff>455952</xdr:colOff>
      <xdr:row>42</xdr:row>
      <xdr:rowOff>483318</xdr:rowOff>
    </xdr:to>
    <xdr:pic>
      <xdr:nvPicPr>
        <xdr:cNvPr id="10" name="Picture 9"/>
        <xdr:cNvPicPr>
          <a:picLocks noChangeAspect="1"/>
        </xdr:cNvPicPr>
      </xdr:nvPicPr>
      <xdr:blipFill>
        <a:blip xmlns:r="http://schemas.openxmlformats.org/officeDocument/2006/relationships" r:embed="rId21"/>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57</xdr:col>
      <xdr:colOff>217713</xdr:colOff>
      <xdr:row>77</xdr:row>
      <xdr:rowOff>136071</xdr:rowOff>
    </xdr:from>
    <xdr:to>
      <xdr:col>59</xdr:col>
      <xdr:colOff>287136</xdr:colOff>
      <xdr:row>78</xdr:row>
      <xdr:rowOff>429495</xdr:rowOff>
    </xdr:to>
    <xdr:pic>
      <xdr:nvPicPr>
        <xdr:cNvPr id="11" name="Picture 10"/>
        <xdr:cNvPicPr>
          <a:picLocks noChangeAspect="1"/>
        </xdr:cNvPicPr>
      </xdr:nvPicPr>
      <xdr:blipFill>
        <a:blip xmlns:r="http://schemas.openxmlformats.org/officeDocument/2006/relationships" r:embed="rId22"/>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60</xdr:col>
      <xdr:colOff>95251</xdr:colOff>
      <xdr:row>81</xdr:row>
      <xdr:rowOff>95249</xdr:rowOff>
    </xdr:from>
    <xdr:to>
      <xdr:col>65</xdr:col>
      <xdr:colOff>574914</xdr:colOff>
      <xdr:row>82</xdr:row>
      <xdr:rowOff>504596</xdr:rowOff>
    </xdr:to>
    <xdr:pic>
      <xdr:nvPicPr>
        <xdr:cNvPr id="12" name="Picture 11"/>
        <xdr:cNvPicPr>
          <a:picLocks noChangeAspect="1"/>
        </xdr:cNvPicPr>
      </xdr:nvPicPr>
      <xdr:blipFill>
        <a:blip xmlns:r="http://schemas.openxmlformats.org/officeDocument/2006/relationships" r:embed="rId23"/>
        <a:stretch>
          <a:fillRect/>
        </a:stretch>
      </xdr:blipFill>
      <xdr:spPr>
        <a:xfrm>
          <a:off x="37650965" y="49693285"/>
          <a:ext cx="3609306" cy="1021668"/>
        </a:xfrm>
        <a:prstGeom prst="rect">
          <a:avLst/>
        </a:prstGeom>
        <a:ln w="19050">
          <a:solidFill>
            <a:schemeClr val="tx1"/>
          </a:solidFill>
        </a:ln>
      </xdr:spPr>
    </xdr:pic>
    <xdr:clientData/>
  </xdr:twoCellAnchor>
  <xdr:twoCellAnchor editAs="oneCell">
    <xdr:from>
      <xdr:col>56</xdr:col>
      <xdr:colOff>449036</xdr:colOff>
      <xdr:row>89</xdr:row>
      <xdr:rowOff>163287</xdr:rowOff>
    </xdr:from>
    <xdr:to>
      <xdr:col>57</xdr:col>
      <xdr:colOff>572212</xdr:colOff>
      <xdr:row>90</xdr:row>
      <xdr:rowOff>405224</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35501036" y="54659894"/>
          <a:ext cx="749105" cy="854259"/>
        </a:xfrm>
        <a:prstGeom prst="rect">
          <a:avLst/>
        </a:prstGeom>
        <a:ln w="19050">
          <a:solidFill>
            <a:schemeClr val="tx1"/>
          </a:solidFill>
        </a:ln>
      </xdr:spPr>
    </xdr:pic>
    <xdr:clientData/>
  </xdr:twoCellAnchor>
  <xdr:twoCellAnchor>
    <xdr:from>
      <xdr:col>572</xdr:col>
      <xdr:colOff>593270</xdr:colOff>
      <xdr:row>40</xdr:row>
      <xdr:rowOff>287789</xdr:rowOff>
    </xdr:from>
    <xdr:to>
      <xdr:col>589</xdr:col>
      <xdr:colOff>569459</xdr:colOff>
      <xdr:row>52</xdr:row>
      <xdr:rowOff>46264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575</xdr:col>
      <xdr:colOff>428625</xdr:colOff>
      <xdr:row>55</xdr:row>
      <xdr:rowOff>200025</xdr:rowOff>
    </xdr:from>
    <xdr:to>
      <xdr:col>592</xdr:col>
      <xdr:colOff>13204</xdr:colOff>
      <xdr:row>66</xdr:row>
      <xdr:rowOff>89621</xdr:rowOff>
    </xdr:to>
    <xdr:graphicFrame macro="">
      <xdr:nvGraphicFramePr>
        <xdr:cNvPr id="344" name="Chart 3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452</xdr:col>
      <xdr:colOff>381000</xdr:colOff>
      <xdr:row>55</xdr:row>
      <xdr:rowOff>95250</xdr:rowOff>
    </xdr:from>
    <xdr:to>
      <xdr:col>468</xdr:col>
      <xdr:colOff>584704</xdr:colOff>
      <xdr:row>66</xdr:row>
      <xdr:rowOff>32471</xdr:rowOff>
    </xdr:to>
    <xdr:graphicFrame macro="">
      <xdr:nvGraphicFramePr>
        <xdr:cNvPr id="345" name="Chart 3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373</xdr:col>
      <xdr:colOff>95250</xdr:colOff>
      <xdr:row>163</xdr:row>
      <xdr:rowOff>381000</xdr:rowOff>
    </xdr:from>
    <xdr:to>
      <xdr:col>390</xdr:col>
      <xdr:colOff>61914</xdr:colOff>
      <xdr:row>175</xdr:row>
      <xdr:rowOff>129950</xdr:rowOff>
    </xdr:to>
    <xdr:graphicFrame macro="">
      <xdr:nvGraphicFramePr>
        <xdr:cNvPr id="320" name="Chart 3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373</xdr:col>
      <xdr:colOff>444955</xdr:colOff>
      <xdr:row>181</xdr:row>
      <xdr:rowOff>521836</xdr:rowOff>
    </xdr:from>
    <xdr:to>
      <xdr:col>390</xdr:col>
      <xdr:colOff>29534</xdr:colOff>
      <xdr:row>192</xdr:row>
      <xdr:rowOff>411432</xdr:rowOff>
    </xdr:to>
    <xdr:graphicFrame macro="">
      <xdr:nvGraphicFramePr>
        <xdr:cNvPr id="322" name="Chart 3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365</xdr:col>
      <xdr:colOff>595313</xdr:colOff>
      <xdr:row>45</xdr:row>
      <xdr:rowOff>595313</xdr:rowOff>
    </xdr:from>
    <xdr:to>
      <xdr:col>382</xdr:col>
      <xdr:colOff>561977</xdr:colOff>
      <xdr:row>57</xdr:row>
      <xdr:rowOff>344263</xdr:rowOff>
    </xdr:to>
    <xdr:graphicFrame macro="">
      <xdr:nvGraphicFramePr>
        <xdr:cNvPr id="323" name="Chart 3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960</xdr:col>
      <xdr:colOff>452437</xdr:colOff>
      <xdr:row>21</xdr:row>
      <xdr:rowOff>214312</xdr:rowOff>
    </xdr:from>
    <xdr:to>
      <xdr:col>969</xdr:col>
      <xdr:colOff>176212</xdr:colOff>
      <xdr:row>33</xdr:row>
      <xdr:rowOff>252412</xdr:rowOff>
    </xdr:to>
    <xdr:pic>
      <xdr:nvPicPr>
        <xdr:cNvPr id="2" name="Picture 1"/>
        <xdr:cNvPicPr>
          <a:picLocks noChangeAspect="1"/>
        </xdr:cNvPicPr>
      </xdr:nvPicPr>
      <xdr:blipFill>
        <a:blip xmlns:r="http://schemas.openxmlformats.org/officeDocument/2006/relationships" r:embed="rId31"/>
        <a:stretch>
          <a:fillRect/>
        </a:stretch>
      </xdr:blipFill>
      <xdr:spPr>
        <a:xfrm>
          <a:off x="594812437" y="13215937"/>
          <a:ext cx="5295900" cy="746760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0.10689</cdr:x>
      <cdr:y>0.0243</cdr:y>
    </cdr:from>
    <cdr:to>
      <cdr:x>0.91285</cdr:x>
      <cdr:y>0.09162</cdr:y>
    </cdr:to>
    <cdr:sp macro="" textlink="">
      <cdr:nvSpPr>
        <cdr:cNvPr id="2" name="TextBox 1"/>
        <cdr:cNvSpPr txBox="1"/>
      </cdr:nvSpPr>
      <cdr:spPr>
        <a:xfrm xmlns:a="http://schemas.openxmlformats.org/drawingml/2006/main">
          <a:off x="1134837" y="172687"/>
          <a:ext cx="8556852" cy="47841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 </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0.06201</cdr:x>
      <cdr:y>0.03857</cdr:y>
    </cdr:from>
    <cdr:to>
      <cdr:x>0.25415</cdr:x>
      <cdr:y>0.11863</cdr:y>
    </cdr:to>
    <cdr:sp macro="" textlink="">
      <cdr:nvSpPr>
        <cdr:cNvPr id="2"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4"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6"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8"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0.6937</cdr:x>
      <cdr:y>0.02969</cdr:y>
    </cdr:from>
    <cdr:to>
      <cdr:x>0.9928</cdr:x>
      <cdr:y>0.10147</cdr:y>
    </cdr:to>
    <cdr:sp macro="" textlink="">
      <cdr:nvSpPr>
        <cdr:cNvPr id="9" name="TextBox 1"/>
        <cdr:cNvSpPr txBox="1"/>
      </cdr:nvSpPr>
      <cdr:spPr>
        <a:xfrm xmlns:a="http://schemas.openxmlformats.org/drawingml/2006/main">
          <a:off x="7093319" y="196704"/>
          <a:ext cx="3058425" cy="475578"/>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4.xml><?xml version="1.0" encoding="utf-8"?>
<c:userShapes xmlns:c="http://schemas.openxmlformats.org/drawingml/2006/chart">
  <cdr:relSizeAnchor xmlns:cdr="http://schemas.openxmlformats.org/drawingml/2006/chartDrawing">
    <cdr:from>
      <cdr:x>0.06201</cdr:x>
      <cdr:y>0.03857</cdr:y>
    </cdr:from>
    <cdr:to>
      <cdr:x>0.25415</cdr:x>
      <cdr:y>0.11863</cdr:y>
    </cdr:to>
    <cdr:sp macro="" textlink="">
      <cdr:nvSpPr>
        <cdr:cNvPr id="2"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0.80049</cdr:x>
      <cdr:y>0.0368</cdr:y>
    </cdr:from>
    <cdr:to>
      <cdr:x>0.97746</cdr:x>
      <cdr:y>0.12012</cdr:y>
    </cdr:to>
    <cdr:sp macro="" textlink="">
      <cdr:nvSpPr>
        <cdr:cNvPr id="3" name="TextBox 1"/>
        <cdr:cNvSpPr txBox="1"/>
      </cdr:nvSpPr>
      <cdr:spPr>
        <a:xfrm xmlns:a="http://schemas.openxmlformats.org/drawingml/2006/main">
          <a:off x="9004300" y="241300"/>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dr:relSizeAnchor xmlns:cdr="http://schemas.openxmlformats.org/drawingml/2006/chartDrawing">
    <cdr:from>
      <cdr:x>0.06201</cdr:x>
      <cdr:y>0.03857</cdr:y>
    </cdr:from>
    <cdr:to>
      <cdr:x>0.25415</cdr:x>
      <cdr:y>0.11863</cdr:y>
    </cdr:to>
    <cdr:sp macro="" textlink="">
      <cdr:nvSpPr>
        <cdr:cNvPr id="4"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0.80049</cdr:x>
      <cdr:y>0.0368</cdr:y>
    </cdr:from>
    <cdr:to>
      <cdr:x>0.97746</cdr:x>
      <cdr:y>0.12012</cdr:y>
    </cdr:to>
    <cdr:sp macro="" textlink="">
      <cdr:nvSpPr>
        <cdr:cNvPr id="5" name="TextBox 1"/>
        <cdr:cNvSpPr txBox="1"/>
      </cdr:nvSpPr>
      <cdr:spPr>
        <a:xfrm xmlns:a="http://schemas.openxmlformats.org/drawingml/2006/main">
          <a:off x="9004300" y="241300"/>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dr:relSizeAnchor xmlns:cdr="http://schemas.openxmlformats.org/drawingml/2006/chartDrawing">
    <cdr:from>
      <cdr:x>0.06201</cdr:x>
      <cdr:y>0.03857</cdr:y>
    </cdr:from>
    <cdr:to>
      <cdr:x>0.25415</cdr:x>
      <cdr:y>0.11863</cdr:y>
    </cdr:to>
    <cdr:sp macro="" textlink="">
      <cdr:nvSpPr>
        <cdr:cNvPr id="6"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0.80049</cdr:x>
      <cdr:y>0.0368</cdr:y>
    </cdr:from>
    <cdr:to>
      <cdr:x>0.97746</cdr:x>
      <cdr:y>0.12012</cdr:y>
    </cdr:to>
    <cdr:sp macro="" textlink="">
      <cdr:nvSpPr>
        <cdr:cNvPr id="7" name="TextBox 1"/>
        <cdr:cNvSpPr txBox="1"/>
      </cdr:nvSpPr>
      <cdr:spPr>
        <a:xfrm xmlns:a="http://schemas.openxmlformats.org/drawingml/2006/main">
          <a:off x="9004300" y="241300"/>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dr:relSizeAnchor xmlns:cdr="http://schemas.openxmlformats.org/drawingml/2006/chartDrawing">
    <cdr:from>
      <cdr:x>0.06201</cdr:x>
      <cdr:y>0.03857</cdr:y>
    </cdr:from>
    <cdr:to>
      <cdr:x>0.25415</cdr:x>
      <cdr:y>0.11863</cdr:y>
    </cdr:to>
    <cdr:sp macro="" textlink="">
      <cdr:nvSpPr>
        <cdr:cNvPr id="8"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0.80049</cdr:x>
      <cdr:y>0.0368</cdr:y>
    </cdr:from>
    <cdr:to>
      <cdr:x>0.97746</cdr:x>
      <cdr:y>0.12012</cdr:y>
    </cdr:to>
    <cdr:sp macro="" textlink="">
      <cdr:nvSpPr>
        <cdr:cNvPr id="9" name="TextBox 1"/>
        <cdr:cNvSpPr txBox="1"/>
      </cdr:nvSpPr>
      <cdr:spPr>
        <a:xfrm xmlns:a="http://schemas.openxmlformats.org/drawingml/2006/main">
          <a:off x="9004300" y="241300"/>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5.xml><?xml version="1.0" encoding="utf-8"?>
<c:userShapes xmlns:c="http://schemas.openxmlformats.org/drawingml/2006/chart">
  <cdr:relSizeAnchor xmlns:cdr="http://schemas.openxmlformats.org/drawingml/2006/chartDrawing">
    <cdr:from>
      <cdr:x>0.10689</cdr:x>
      <cdr:y>0.0243</cdr:y>
    </cdr:from>
    <cdr:to>
      <cdr:x>0.91285</cdr:x>
      <cdr:y>0.09162</cdr:y>
    </cdr:to>
    <cdr:sp macro="" textlink="">
      <cdr:nvSpPr>
        <cdr:cNvPr id="2" name="TextBox 1"/>
        <cdr:cNvSpPr txBox="1"/>
      </cdr:nvSpPr>
      <cdr:spPr>
        <a:xfrm xmlns:a="http://schemas.openxmlformats.org/drawingml/2006/main">
          <a:off x="1134837" y="172687"/>
          <a:ext cx="8556852" cy="47841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 </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0.06201</cdr:x>
      <cdr:y>0.03857</cdr:y>
    </cdr:from>
    <cdr:to>
      <cdr:x>0.25415</cdr:x>
      <cdr:y>0.11863</cdr:y>
    </cdr:to>
    <cdr:sp macro="" textlink="">
      <cdr:nvSpPr>
        <cdr:cNvPr id="2"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4"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6"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0.06201</cdr:x>
      <cdr:y>0.03857</cdr:y>
    </cdr:from>
    <cdr:to>
      <cdr:x>0.25415</cdr:x>
      <cdr:y>0.11863</cdr:y>
    </cdr:to>
    <cdr:sp macro="" textlink="">
      <cdr:nvSpPr>
        <cdr:cNvPr id="8"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0.6937</cdr:x>
      <cdr:y>0.02969</cdr:y>
    </cdr:from>
    <cdr:to>
      <cdr:x>0.9928</cdr:x>
      <cdr:y>0.10147</cdr:y>
    </cdr:to>
    <cdr:sp macro="" textlink="">
      <cdr:nvSpPr>
        <cdr:cNvPr id="9" name="TextBox 1"/>
        <cdr:cNvSpPr txBox="1"/>
      </cdr:nvSpPr>
      <cdr:spPr>
        <a:xfrm xmlns:a="http://schemas.openxmlformats.org/drawingml/2006/main">
          <a:off x="7093319" y="196704"/>
          <a:ext cx="3058425" cy="475578"/>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7.xml><?xml version="1.0" encoding="utf-8"?>
<c:userShapes xmlns:c="http://schemas.openxmlformats.org/drawingml/2006/chart">
  <cdr:relSizeAnchor xmlns:cdr="http://schemas.openxmlformats.org/drawingml/2006/chartDrawing">
    <cdr:from>
      <cdr:x>0.10689</cdr:x>
      <cdr:y>0.0243</cdr:y>
    </cdr:from>
    <cdr:to>
      <cdr:x>0.91285</cdr:x>
      <cdr:y>0.09162</cdr:y>
    </cdr:to>
    <cdr:sp macro="" textlink="">
      <cdr:nvSpPr>
        <cdr:cNvPr id="2" name="TextBox 1"/>
        <cdr:cNvSpPr txBox="1"/>
      </cdr:nvSpPr>
      <cdr:spPr>
        <a:xfrm xmlns:a="http://schemas.openxmlformats.org/drawingml/2006/main">
          <a:off x="1134837" y="172687"/>
          <a:ext cx="8556852" cy="47841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 </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738966</xdr:colOff>
      <xdr:row>30</xdr:row>
      <xdr:rowOff>361516</xdr:rowOff>
    </xdr:from>
    <xdr:to>
      <xdr:col>35</xdr:col>
      <xdr:colOff>1019109</xdr:colOff>
      <xdr:row>39</xdr:row>
      <xdr:rowOff>262377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85466" y="18935266"/>
          <a:ext cx="13638956" cy="54729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298012" y="37259263"/>
          <a:ext cx="10172358" cy="112143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13</xdr:col>
      <xdr:colOff>1237141</xdr:colOff>
      <xdr:row>162</xdr:row>
      <xdr:rowOff>518311</xdr:rowOff>
    </xdr:from>
    <xdr:to>
      <xdr:col>21</xdr:col>
      <xdr:colOff>965044</xdr:colOff>
      <xdr:row>170</xdr:row>
      <xdr:rowOff>272430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7334391" y="100816561"/>
          <a:ext cx="9590875" cy="47071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xdr:colOff>
      <xdr:row>453</xdr:row>
      <xdr:rowOff>372782</xdr:rowOff>
    </xdr:from>
    <xdr:to>
      <xdr:col>48</xdr:col>
      <xdr:colOff>1109662</xdr:colOff>
      <xdr:row>467</xdr:row>
      <xdr:rowOff>357188</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4292499" y="302410532"/>
          <a:ext cx="15397163" cy="931890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476251</xdr:colOff>
      <xdr:row>59</xdr:row>
      <xdr:rowOff>209550</xdr:rowOff>
    </xdr:from>
    <xdr:to>
      <xdr:col>39</xdr:col>
      <xdr:colOff>569978</xdr:colOff>
      <xdr:row>69</xdr:row>
      <xdr:rowOff>381000</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7052251" y="36175950"/>
          <a:ext cx="11066527" cy="62674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518127</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58</xdr:row>
      <xdr:rowOff>488188</xdr:rowOff>
    </xdr:from>
    <xdr:to>
      <xdr:col>67</xdr:col>
      <xdr:colOff>640772</xdr:colOff>
      <xdr:row>74</xdr:row>
      <xdr:rowOff>246453</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2770875" y="36792045"/>
          <a:ext cx="9920968" cy="9773122"/>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43</xdr:col>
      <xdr:colOff>138111</xdr:colOff>
      <xdr:row>123</xdr:row>
      <xdr:rowOff>204788</xdr:rowOff>
    </xdr:from>
    <xdr:to>
      <xdr:col>62</xdr:col>
      <xdr:colOff>331390</xdr:colOff>
      <xdr:row>139</xdr:row>
      <xdr:rowOff>128589</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6760486" y="38280976"/>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54</xdr:col>
      <xdr:colOff>510204</xdr:colOff>
      <xdr:row>65</xdr:row>
      <xdr:rowOff>131681</xdr:rowOff>
    </xdr:from>
    <xdr:to>
      <xdr:col>70</xdr:col>
      <xdr:colOff>368988</xdr:colOff>
      <xdr:row>85</xdr:row>
      <xdr:rowOff>251206</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3942954" y="20253244"/>
          <a:ext cx="9764784" cy="6310775"/>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7840153" y="7645110"/>
          <a:ext cx="2993620" cy="31202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39</xdr:row>
      <xdr:rowOff>0</xdr:rowOff>
    </xdr:from>
    <xdr:to>
      <xdr:col>130</xdr:col>
      <xdr:colOff>356553</xdr:colOff>
      <xdr:row>54</xdr:row>
      <xdr:rowOff>58919</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70104000" y="11887200"/>
          <a:ext cx="950055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image" Target="../media/image112.emf"/><Relationship Id="rId21" Type="http://schemas.openxmlformats.org/officeDocument/2006/relationships/hyperlink" Target="&#1052;&#1077;&#1090;&#1086;&#1076;&#1080;&#1095;&#1082;&#1072;%20&#1084;&#1086;&#1103;%202.pdf" TargetMode="External"/><Relationship Id="rId63"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oleObject" Target="../embeddings/oleObject131.bin"/><Relationship Id="rId366" Type="http://schemas.openxmlformats.org/officeDocument/2006/relationships/oleObject" Target="../embeddings/oleObject152.bin"/><Relationship Id="rId531" Type="http://schemas.openxmlformats.org/officeDocument/2006/relationships/oleObject" Target="../embeddings/oleObject239.bin"/><Relationship Id="rId573" Type="http://schemas.openxmlformats.org/officeDocument/2006/relationships/oleObject" Target="../embeddings/oleObject261.bin"/><Relationship Id="rId629" Type="http://schemas.openxmlformats.org/officeDocument/2006/relationships/oleObject" Target="../embeddings/oleObject289.bin"/><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image" Target="../media/image179.emf"/><Relationship Id="rId268" Type="http://schemas.openxmlformats.org/officeDocument/2006/relationships/oleObject" Target="../embeddings/oleObject103.bin"/><Relationship Id="rId475" Type="http://schemas.openxmlformats.org/officeDocument/2006/relationships/oleObject" Target="../embeddings/oleObject207.bin"/><Relationship Id="rId32" Type="http://schemas.openxmlformats.org/officeDocument/2006/relationships/hyperlink" Targe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image" Target="../media/image130.emf"/><Relationship Id="rId377" Type="http://schemas.openxmlformats.org/officeDocument/2006/relationships/image" Target="../media/image151.emf"/><Relationship Id="rId500" Type="http://schemas.openxmlformats.org/officeDocument/2006/relationships/image" Target="../media/image212.emf"/><Relationship Id="rId542" Type="http://schemas.openxmlformats.org/officeDocument/2006/relationships/oleObject" Target="../embeddings/oleObject245.bin"/><Relationship Id="rId584" Type="http://schemas.openxmlformats.org/officeDocument/2006/relationships/image" Target="../media/image249.emf"/><Relationship Id="rId5" Type="http://schemas.openxmlformats.org/officeDocument/2006/relationships/hyperlink" Target="&#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oleObject" Target="../embeddings/oleObject170.bin"/><Relationship Id="rId279" Type="http://schemas.openxmlformats.org/officeDocument/2006/relationships/image" Target="../media/image102.emf"/><Relationship Id="rId444" Type="http://schemas.openxmlformats.org/officeDocument/2006/relationships/oleObject" Target="../embeddings/oleObject191.bin"/><Relationship Id="rId486" Type="http://schemas.openxmlformats.org/officeDocument/2006/relationships/image" Target="../media/image205.emf"/><Relationship Id="rId43" Type="http://schemas.openxmlformats.org/officeDocument/2006/relationships/hyperlink" Target="&#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oleObject" Target="../embeddings/oleObject114.bin"/><Relationship Id="rId304" Type="http://schemas.openxmlformats.org/officeDocument/2006/relationships/oleObject" Target="../embeddings/oleObject121.bin"/><Relationship Id="rId346" Type="http://schemas.openxmlformats.org/officeDocument/2006/relationships/oleObject" Target="../embeddings/oleObject142.bin"/><Relationship Id="rId388" Type="http://schemas.openxmlformats.org/officeDocument/2006/relationships/oleObject" Target="../embeddings/oleObject163.bin"/><Relationship Id="rId511" Type="http://schemas.openxmlformats.org/officeDocument/2006/relationships/oleObject" Target="../embeddings/oleObject228.bin"/><Relationship Id="rId553" Type="http://schemas.openxmlformats.org/officeDocument/2006/relationships/image" Target="../media/image234.emf"/><Relationship Id="rId609" Type="http://schemas.openxmlformats.org/officeDocument/2006/relationships/oleObject" Target="../embeddings/oleObject279.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image" Target="../media/image169.emf"/><Relationship Id="rId595" Type="http://schemas.openxmlformats.org/officeDocument/2006/relationships/oleObject" Target="../embeddings/oleObject272.bin"/><Relationship Id="rId248" Type="http://schemas.openxmlformats.org/officeDocument/2006/relationships/oleObject" Target="../embeddings/oleObject90.bin"/><Relationship Id="rId455" Type="http://schemas.openxmlformats.org/officeDocument/2006/relationships/image" Target="../media/image190.emf"/><Relationship Id="rId497" Type="http://schemas.openxmlformats.org/officeDocument/2006/relationships/oleObject" Target="../embeddings/oleObject218.bin"/><Relationship Id="rId620" Type="http://schemas.openxmlformats.org/officeDocument/2006/relationships/image" Target="../media/image267.emf"/><Relationship Id="rId12" Type="http://schemas.openxmlformats.org/officeDocument/2006/relationships/hyperlink" Target="&#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image" Target="../media/image120.emf"/><Relationship Id="rId357" Type="http://schemas.openxmlformats.org/officeDocument/2006/relationships/image" Target="../media/image141.emf"/><Relationship Id="rId522" Type="http://schemas.openxmlformats.org/officeDocument/2006/relationships/image" Target="../media/image219.emf"/><Relationship Id="rId54" Type="http://schemas.openxmlformats.org/officeDocument/2006/relationships/hyperlink" Target="&#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image" Target="../media/image162.emf"/><Relationship Id="rId564" Type="http://schemas.openxmlformats.org/officeDocument/2006/relationships/image" Target="../media/image239.emf"/><Relationship Id="rId259" Type="http://schemas.openxmlformats.org/officeDocument/2006/relationships/oleObject" Target="../embeddings/oleObject96.bin"/><Relationship Id="rId424" Type="http://schemas.openxmlformats.org/officeDocument/2006/relationships/oleObject" Target="../embeddings/oleObject181.bin"/><Relationship Id="rId466" Type="http://schemas.openxmlformats.org/officeDocument/2006/relationships/oleObject" Target="../embeddings/oleObject202.bin"/><Relationship Id="rId631" Type="http://schemas.openxmlformats.org/officeDocument/2006/relationships/oleObject" Target="../embeddings/oleObject290.bin"/><Relationship Id="rId23" Type="http://schemas.openxmlformats.org/officeDocument/2006/relationships/hyperlink" Target="&#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oleObject" Target="../embeddings/oleObject104.bin"/><Relationship Id="rId326" Type="http://schemas.openxmlformats.org/officeDocument/2006/relationships/oleObject" Target="../embeddings/oleObject132.bin"/><Relationship Id="rId533" Type="http://schemas.openxmlformats.org/officeDocument/2006/relationships/oleObject" Target="../embeddings/oleObject240.bin"/><Relationship Id="rId65" Type="http://schemas.openxmlformats.org/officeDocument/2006/relationships/hyperlink" Target="&#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oleObject" Target="../embeddings/oleObject153.bin"/><Relationship Id="rId575" Type="http://schemas.openxmlformats.org/officeDocument/2006/relationships/oleObject" Target="../embeddings/oleObject262.bin"/><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image" Target="../media/image180.emf"/><Relationship Id="rId477" Type="http://schemas.openxmlformats.org/officeDocument/2006/relationships/oleObject" Target="../embeddings/oleObject208.bin"/><Relationship Id="rId600" Type="http://schemas.openxmlformats.org/officeDocument/2006/relationships/image" Target="../media/image257.emf"/><Relationship Id="rId281" Type="http://schemas.openxmlformats.org/officeDocument/2006/relationships/image" Target="../media/image103.emf"/><Relationship Id="rId337" Type="http://schemas.openxmlformats.org/officeDocument/2006/relationships/image" Target="../media/image131.emf"/><Relationship Id="rId502" Type="http://schemas.openxmlformats.org/officeDocument/2006/relationships/oleObject" Target="../embeddings/oleObject221.bin"/><Relationship Id="rId34" Type="http://schemas.openxmlformats.org/officeDocument/2006/relationships/hyperlink" Targe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image" Target="../media/image152.emf"/><Relationship Id="rId544" Type="http://schemas.openxmlformats.org/officeDocument/2006/relationships/oleObject" Target="../embeddings/oleObject246.bin"/><Relationship Id="rId586" Type="http://schemas.openxmlformats.org/officeDocument/2006/relationships/image" Target="../media/image250.emf"/><Relationship Id="rId7" Type="http://schemas.openxmlformats.org/officeDocument/2006/relationships/hyperlink" Target="&#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oleObject" Target="../embeddings/oleObject164.bin"/><Relationship Id="rId404" Type="http://schemas.openxmlformats.org/officeDocument/2006/relationships/oleObject" Target="../embeddings/oleObject171.bin"/><Relationship Id="rId446" Type="http://schemas.openxmlformats.org/officeDocument/2006/relationships/oleObject" Target="../embeddings/oleObject192.bin"/><Relationship Id="rId611" Type="http://schemas.openxmlformats.org/officeDocument/2006/relationships/oleObject" Target="../embeddings/oleObject280.bin"/><Relationship Id="rId250" Type="http://schemas.openxmlformats.org/officeDocument/2006/relationships/oleObject" Target="../embeddings/oleObject91.bin"/><Relationship Id="rId292" Type="http://schemas.openxmlformats.org/officeDocument/2006/relationships/oleObject" Target="../embeddings/oleObject115.bin"/><Relationship Id="rId306" Type="http://schemas.openxmlformats.org/officeDocument/2006/relationships/oleObject" Target="../embeddings/oleObject122.bin"/><Relationship Id="rId488" Type="http://schemas.openxmlformats.org/officeDocument/2006/relationships/image" Target="../media/image206.emf"/><Relationship Id="rId45" Type="http://schemas.openxmlformats.org/officeDocument/2006/relationships/hyperlink" Target="&#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oleObject" Target="../embeddings/oleObject143.bin"/><Relationship Id="rId513" Type="http://schemas.openxmlformats.org/officeDocument/2006/relationships/oleObject" Target="../embeddings/oleObject229.bin"/><Relationship Id="rId555" Type="http://schemas.openxmlformats.org/officeDocument/2006/relationships/image" Target="../media/image235.emf"/><Relationship Id="rId597" Type="http://schemas.openxmlformats.org/officeDocument/2006/relationships/oleObject" Target="../embeddings/oleObject273.bin"/><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image" Target="../media/image170.emf"/><Relationship Id="rId457" Type="http://schemas.openxmlformats.org/officeDocument/2006/relationships/image" Target="../media/image191.emf"/><Relationship Id="rId622" Type="http://schemas.openxmlformats.org/officeDocument/2006/relationships/image" Target="../media/image268.emf"/><Relationship Id="rId261" Type="http://schemas.openxmlformats.org/officeDocument/2006/relationships/oleObject" Target="../embeddings/oleObject98.bin"/><Relationship Id="rId499" Type="http://schemas.openxmlformats.org/officeDocument/2006/relationships/oleObject" Target="../embeddings/oleObject219.bin"/><Relationship Id="rId14" Type="http://schemas.openxmlformats.org/officeDocument/2006/relationships/hyperlink" Target="&#1055;&#1088;&#1086;&#1075;&#1088;&#1072;&#1084;&#1084;&#1072;%20XLCS%20&#1040;&#1044;%204&#1040;.txt" TargetMode="External"/><Relationship Id="rId56"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image" Target="../media/image121.emf"/><Relationship Id="rId359" Type="http://schemas.openxmlformats.org/officeDocument/2006/relationships/image" Target="../media/image142.emf"/><Relationship Id="rId524" Type="http://schemas.openxmlformats.org/officeDocument/2006/relationships/image" Target="../media/image220.emf"/><Relationship Id="rId566" Type="http://schemas.openxmlformats.org/officeDocument/2006/relationships/image" Target="../media/image240.emf"/><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oleObject" Target="../embeddings/oleObject154.bin"/><Relationship Id="rId426" Type="http://schemas.openxmlformats.org/officeDocument/2006/relationships/oleObject" Target="../embeddings/oleObject182.bin"/><Relationship Id="rId633" Type="http://schemas.openxmlformats.org/officeDocument/2006/relationships/oleObject" Target="../embeddings/oleObject291.bin"/><Relationship Id="rId230" Type="http://schemas.openxmlformats.org/officeDocument/2006/relationships/oleObject" Target="../embeddings/oleObject81.bin"/><Relationship Id="rId468" Type="http://schemas.openxmlformats.org/officeDocument/2006/relationships/image" Target="../media/image196.emf"/><Relationship Id="rId25" Type="http://schemas.openxmlformats.org/officeDocument/2006/relationships/hyperlink" Target="&#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oleObject" Target="../embeddings/oleObject105.bin"/><Relationship Id="rId328" Type="http://schemas.openxmlformats.org/officeDocument/2006/relationships/oleObject" Target="../embeddings/oleObject133.bin"/><Relationship Id="rId535" Type="http://schemas.openxmlformats.org/officeDocument/2006/relationships/oleObject" Target="../embeddings/oleObject241.bin"/><Relationship Id="rId577" Type="http://schemas.openxmlformats.org/officeDocument/2006/relationships/oleObject" Target="../embeddings/oleObject263.bin"/><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image" Target="../media/image153.emf"/><Relationship Id="rId602" Type="http://schemas.openxmlformats.org/officeDocument/2006/relationships/image" Target="../media/image258.emf"/><Relationship Id="rId241" Type="http://schemas.openxmlformats.org/officeDocument/2006/relationships/image" Target="../media/image86.emf"/><Relationship Id="rId437" Type="http://schemas.openxmlformats.org/officeDocument/2006/relationships/image" Target="../media/image181.emf"/><Relationship Id="rId479" Type="http://schemas.openxmlformats.org/officeDocument/2006/relationships/oleObject" Target="../embeddings/oleObject209.bin"/><Relationship Id="rId36" Type="http://schemas.openxmlformats.org/officeDocument/2006/relationships/hyperlink" Target="..\&#1052;&#1044;&#1050;%2001.02" TargetMode="External"/><Relationship Id="rId283" Type="http://schemas.openxmlformats.org/officeDocument/2006/relationships/image" Target="../media/image104.emf"/><Relationship Id="rId339" Type="http://schemas.openxmlformats.org/officeDocument/2006/relationships/image" Target="../media/image132.emf"/><Relationship Id="rId490" Type="http://schemas.openxmlformats.org/officeDocument/2006/relationships/image" Target="../media/image207.emf"/><Relationship Id="rId504" Type="http://schemas.openxmlformats.org/officeDocument/2006/relationships/oleObject" Target="../embeddings/oleObject223.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oleObject" Target="../embeddings/oleObject144.bin"/><Relationship Id="rId406" Type="http://schemas.openxmlformats.org/officeDocument/2006/relationships/oleObject" Target="../embeddings/oleObject172.bin"/><Relationship Id="rId588" Type="http://schemas.openxmlformats.org/officeDocument/2006/relationships/image" Target="../media/image251.emf"/><Relationship Id="rId9" Type="http://schemas.openxmlformats.org/officeDocument/2006/relationships/hyperlink" Target="&#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oleObject" Target="../embeddings/oleObject165.bin"/><Relationship Id="rId448" Type="http://schemas.openxmlformats.org/officeDocument/2006/relationships/oleObject" Target="../embeddings/oleObject193.bin"/><Relationship Id="rId613" Type="http://schemas.openxmlformats.org/officeDocument/2006/relationships/oleObject" Target="../embeddings/oleObject281.bin"/><Relationship Id="rId252" Type="http://schemas.openxmlformats.org/officeDocument/2006/relationships/oleObject" Target="../embeddings/oleObject92.bin"/><Relationship Id="rId294" Type="http://schemas.openxmlformats.org/officeDocument/2006/relationships/oleObject" Target="../embeddings/oleObject116.bin"/><Relationship Id="rId308" Type="http://schemas.openxmlformats.org/officeDocument/2006/relationships/oleObject" Target="../embeddings/oleObject123.bin"/><Relationship Id="rId515" Type="http://schemas.openxmlformats.org/officeDocument/2006/relationships/oleObject" Target="../embeddings/oleObject230.bin"/><Relationship Id="rId47" Type="http://schemas.openxmlformats.org/officeDocument/2006/relationships/hyperlink" Targe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image" Target="../media/image143.emf"/><Relationship Id="rId557" Type="http://schemas.openxmlformats.org/officeDocument/2006/relationships/image" Target="../media/image236.emf"/><Relationship Id="rId599" Type="http://schemas.openxmlformats.org/officeDocument/2006/relationships/oleObject" Target="../embeddings/oleObject274.bin"/><Relationship Id="rId196" Type="http://schemas.openxmlformats.org/officeDocument/2006/relationships/oleObject" Target="../embeddings/oleObject64.bin"/><Relationship Id="rId417" Type="http://schemas.openxmlformats.org/officeDocument/2006/relationships/image" Target="../media/image171.emf"/><Relationship Id="rId459" Type="http://schemas.openxmlformats.org/officeDocument/2006/relationships/image" Target="../media/image192.emf"/><Relationship Id="rId624" Type="http://schemas.openxmlformats.org/officeDocument/2006/relationships/image" Target="../media/image269.emf"/><Relationship Id="rId16" Type="http://schemas.openxmlformats.org/officeDocument/2006/relationships/hyperlink" Target="&#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image" Target="../media/image122.emf"/><Relationship Id="rId470" Type="http://schemas.openxmlformats.org/officeDocument/2006/relationships/image" Target="../media/image197.emf"/><Relationship Id="rId526" Type="http://schemas.openxmlformats.org/officeDocument/2006/relationships/image" Target="../media/image221.emf"/><Relationship Id="rId58"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oleObject" Target="../embeddings/oleObject134.bin"/><Relationship Id="rId568" Type="http://schemas.openxmlformats.org/officeDocument/2006/relationships/image" Target="../media/image241.emf"/><Relationship Id="rId165" Type="http://schemas.openxmlformats.org/officeDocument/2006/relationships/image" Target="../media/image48.emf"/><Relationship Id="rId372" Type="http://schemas.openxmlformats.org/officeDocument/2006/relationships/oleObject" Target="../embeddings/oleObject155.bin"/><Relationship Id="rId428" Type="http://schemas.openxmlformats.org/officeDocument/2006/relationships/oleObject" Target="../embeddings/oleObject183.bin"/><Relationship Id="rId635" Type="http://schemas.openxmlformats.org/officeDocument/2006/relationships/comments" Target="../comments1.xml"/><Relationship Id="rId232" Type="http://schemas.openxmlformats.org/officeDocument/2006/relationships/oleObject" Target="../embeddings/oleObject82.bin"/><Relationship Id="rId274" Type="http://schemas.openxmlformats.org/officeDocument/2006/relationships/oleObject" Target="../embeddings/oleObject106.bin"/><Relationship Id="rId481" Type="http://schemas.openxmlformats.org/officeDocument/2006/relationships/oleObject" Target="../embeddings/oleObject210.bin"/><Relationship Id="rId27" Type="http://schemas.openxmlformats.org/officeDocument/2006/relationships/hyperlink" Target="&#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34" Type="http://schemas.openxmlformats.org/officeDocument/2006/relationships/oleObject" Target="../embeddings/oleObject33.bin"/><Relationship Id="rId537" Type="http://schemas.openxmlformats.org/officeDocument/2006/relationships/oleObject" Target="../embeddings/oleObject242.bin"/><Relationship Id="rId579" Type="http://schemas.openxmlformats.org/officeDocument/2006/relationships/oleObject" Target="../embeddings/oleObject264.bin"/><Relationship Id="rId80" Type="http://schemas.openxmlformats.org/officeDocument/2006/relationships/oleObject" Target="../embeddings/oleObject6.bin"/><Relationship Id="rId176" Type="http://schemas.openxmlformats.org/officeDocument/2006/relationships/oleObject" Target="../embeddings/oleObject54.bin"/><Relationship Id="rId341" Type="http://schemas.openxmlformats.org/officeDocument/2006/relationships/image" Target="../media/image133.emf"/><Relationship Id="rId383" Type="http://schemas.openxmlformats.org/officeDocument/2006/relationships/image" Target="../media/image154.emf"/><Relationship Id="rId439" Type="http://schemas.openxmlformats.org/officeDocument/2006/relationships/image" Target="../media/image182.emf"/><Relationship Id="rId590" Type="http://schemas.openxmlformats.org/officeDocument/2006/relationships/image" Target="../media/image252.emf"/><Relationship Id="rId604" Type="http://schemas.openxmlformats.org/officeDocument/2006/relationships/image" Target="../media/image259.emf"/><Relationship Id="rId201" Type="http://schemas.openxmlformats.org/officeDocument/2006/relationships/image" Target="../media/image66.emf"/><Relationship Id="rId243" Type="http://schemas.openxmlformats.org/officeDocument/2006/relationships/image" Target="../media/image87.emf"/><Relationship Id="rId285" Type="http://schemas.openxmlformats.org/officeDocument/2006/relationships/image" Target="../media/image105.emf"/><Relationship Id="rId450" Type="http://schemas.openxmlformats.org/officeDocument/2006/relationships/oleObject" Target="../embeddings/oleObject194.bin"/><Relationship Id="rId506" Type="http://schemas.openxmlformats.org/officeDocument/2006/relationships/oleObject" Target="../embeddings/oleObject225.bin"/><Relationship Id="rId17" Type="http://schemas.openxmlformats.org/officeDocument/2006/relationships/hyperlink" Target="&#1052;&#1077;&#1090;&#1086;&#1076;&#1080;&#1095;&#1082;&#1072;%20&#1084;&#1086;&#1103;%202.pdf" TargetMode="External"/><Relationship Id="rId38" Type="http://schemas.openxmlformats.org/officeDocument/2006/relationships/hyperlink" Target="&#1043;&#1051;&#1040;&#1042;&#1040;%209%20&#1055;&#1088;&#1086;&#1077;&#1082;&#1090;&#1080;&#1088;&#1086;&#1074;&#1072;&#1085;&#1080;&#1077;%20&#1072;&#1089;&#1080;&#1085;&#1093;&#1088;&#1086;&#1085;&#1085;&#1099;&#1093;%20&#1084;&#1072;&#1096;&#1080;&#1085;.doc" TargetMode="External"/><Relationship Id="rId59"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oleObject" Target="../embeddings/oleObject124.bin"/><Relationship Id="rId492" Type="http://schemas.openxmlformats.org/officeDocument/2006/relationships/image" Target="../media/image208.emf"/><Relationship Id="rId527" Type="http://schemas.openxmlformats.org/officeDocument/2006/relationships/oleObject" Target="../embeddings/oleObject237.bin"/><Relationship Id="rId548" Type="http://schemas.openxmlformats.org/officeDocument/2006/relationships/oleObject" Target="../embeddings/oleObject248.bin"/><Relationship Id="rId569" Type="http://schemas.openxmlformats.org/officeDocument/2006/relationships/oleObject" Target="../embeddings/oleObject259.bin"/><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image" Target="../media/image128.emf"/><Relationship Id="rId352" Type="http://schemas.openxmlformats.org/officeDocument/2006/relationships/oleObject" Target="../embeddings/oleObject145.bin"/><Relationship Id="rId373" Type="http://schemas.openxmlformats.org/officeDocument/2006/relationships/image" Target="../media/image149.emf"/><Relationship Id="rId394" Type="http://schemas.openxmlformats.org/officeDocument/2006/relationships/oleObject" Target="../embeddings/oleObject166.bin"/><Relationship Id="rId408" Type="http://schemas.openxmlformats.org/officeDocument/2006/relationships/oleObject" Target="../embeddings/oleObject173.bin"/><Relationship Id="rId429" Type="http://schemas.openxmlformats.org/officeDocument/2006/relationships/image" Target="../media/image177.emf"/><Relationship Id="rId580" Type="http://schemas.openxmlformats.org/officeDocument/2006/relationships/image" Target="../media/image247.emf"/><Relationship Id="rId615" Type="http://schemas.openxmlformats.org/officeDocument/2006/relationships/oleObject" Target="../embeddings/oleObject282.bin"/><Relationship Id="rId1" Type="http://schemas.openxmlformats.org/officeDocument/2006/relationships/hyperlink" Target="&#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oleObject" Target="../embeddings/oleObject93.bin"/><Relationship Id="rId440" Type="http://schemas.openxmlformats.org/officeDocument/2006/relationships/oleObject" Target="../embeddings/oleObject189.bin"/><Relationship Id="rId28" Type="http://schemas.openxmlformats.org/officeDocument/2006/relationships/hyperlink" Target="&#1052;&#1077;&#1090;&#1086;&#1076;&#1080;&#1095;&#1077;&#1089;&#1082;&#1080;&#1077;%20&#1089;&#1087;&#1088;&#1072;&#1074;&#1082;&#1080;.docx" TargetMode="External"/><Relationship Id="rId49" Type="http://schemas.openxmlformats.org/officeDocument/2006/relationships/hyperlink" Target="&#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image" Target="../media/image100.emf"/><Relationship Id="rId296" Type="http://schemas.openxmlformats.org/officeDocument/2006/relationships/oleObject" Target="../embeddings/oleObject117.bin"/><Relationship Id="rId300" Type="http://schemas.openxmlformats.org/officeDocument/2006/relationships/oleObject" Target="../embeddings/oleObject119.bin"/><Relationship Id="rId461" Type="http://schemas.openxmlformats.org/officeDocument/2006/relationships/image" Target="../media/image193.emf"/><Relationship Id="rId482" Type="http://schemas.openxmlformats.org/officeDocument/2006/relationships/image" Target="../media/image203.emf"/><Relationship Id="rId517" Type="http://schemas.openxmlformats.org/officeDocument/2006/relationships/image" Target="../media/image217.emf"/><Relationship Id="rId538" Type="http://schemas.openxmlformats.org/officeDocument/2006/relationships/image" Target="../media/image227.emf"/><Relationship Id="rId559" Type="http://schemas.openxmlformats.org/officeDocument/2006/relationships/oleObject" Target="../embeddings/oleObject254.bin"/><Relationship Id="rId60"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image" Target="../media/image123.emf"/><Relationship Id="rId342" Type="http://schemas.openxmlformats.org/officeDocument/2006/relationships/oleObject" Target="../embeddings/oleObject140.bin"/><Relationship Id="rId363" Type="http://schemas.openxmlformats.org/officeDocument/2006/relationships/image" Target="../media/image144.emf"/><Relationship Id="rId384" Type="http://schemas.openxmlformats.org/officeDocument/2006/relationships/oleObject" Target="../embeddings/oleObject161.bin"/><Relationship Id="rId419" Type="http://schemas.openxmlformats.org/officeDocument/2006/relationships/image" Target="../media/image172.emf"/><Relationship Id="rId570" Type="http://schemas.openxmlformats.org/officeDocument/2006/relationships/image" Target="../media/image242.emf"/><Relationship Id="rId591" Type="http://schemas.openxmlformats.org/officeDocument/2006/relationships/oleObject" Target="../embeddings/oleObject270.bin"/><Relationship Id="rId605" Type="http://schemas.openxmlformats.org/officeDocument/2006/relationships/oleObject" Target="../embeddings/oleObject277.bin"/><Relationship Id="rId626" Type="http://schemas.openxmlformats.org/officeDocument/2006/relationships/image" Target="../media/image270.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oleObject" Target="../embeddings/oleObject184.bin"/><Relationship Id="rId18" Type="http://schemas.openxmlformats.org/officeDocument/2006/relationships/hyperlink" Target="&#1055;&#1088;&#1086;&#1075;&#1088;&#1072;&#1084;&#1084;&#1072;%20XLCS%20&#1040;&#1044;%204&#1040;.txt" TargetMode="External"/><Relationship Id="rId39" Type="http://schemas.openxmlformats.org/officeDocument/2006/relationships/hyperlink" Target="&#1052;&#1077;&#1090;&#1086;&#1076;&#1080;&#1095;&#1077;&#1089;&#1082;&#1080;&#1077;%20&#1089;&#1087;&#1088;&#1072;&#1074;&#1082;&#1080;.docx" TargetMode="External"/><Relationship Id="rId265" Type="http://schemas.openxmlformats.org/officeDocument/2006/relationships/image" Target="../media/image95.emf"/><Relationship Id="rId286" Type="http://schemas.openxmlformats.org/officeDocument/2006/relationships/oleObject" Target="../embeddings/oleObject112.bin"/><Relationship Id="rId451" Type="http://schemas.openxmlformats.org/officeDocument/2006/relationships/image" Target="../media/image188.emf"/><Relationship Id="rId472" Type="http://schemas.openxmlformats.org/officeDocument/2006/relationships/image" Target="../media/image198.emf"/><Relationship Id="rId493" Type="http://schemas.openxmlformats.org/officeDocument/2006/relationships/oleObject" Target="../embeddings/oleObject216.bin"/><Relationship Id="rId507" Type="http://schemas.openxmlformats.org/officeDocument/2006/relationships/oleObject" Target="../embeddings/oleObject226.bin"/><Relationship Id="rId528" Type="http://schemas.openxmlformats.org/officeDocument/2006/relationships/image" Target="../media/image222.emf"/><Relationship Id="rId549" Type="http://schemas.openxmlformats.org/officeDocument/2006/relationships/image" Target="../media/image232.emf"/><Relationship Id="rId50" Type="http://schemas.openxmlformats.org/officeDocument/2006/relationships/hyperlink" Target="&#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image" Target="../media/image118.emf"/><Relationship Id="rId332" Type="http://schemas.openxmlformats.org/officeDocument/2006/relationships/oleObject" Target="../embeddings/oleObject135.bin"/><Relationship Id="rId353" Type="http://schemas.openxmlformats.org/officeDocument/2006/relationships/image" Target="../media/image139.emf"/><Relationship Id="rId374" Type="http://schemas.openxmlformats.org/officeDocument/2006/relationships/oleObject" Target="../embeddings/oleObject156.bin"/><Relationship Id="rId395" Type="http://schemas.openxmlformats.org/officeDocument/2006/relationships/image" Target="../media/image160.emf"/><Relationship Id="rId409" Type="http://schemas.openxmlformats.org/officeDocument/2006/relationships/image" Target="../media/image167.emf"/><Relationship Id="rId560" Type="http://schemas.openxmlformats.org/officeDocument/2006/relationships/image" Target="../media/image237.emf"/><Relationship Id="rId581" Type="http://schemas.openxmlformats.org/officeDocument/2006/relationships/oleObject" Target="../embeddings/oleObject265.bin"/><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oleObject" Target="../embeddings/oleObject179.bin"/><Relationship Id="rId616" Type="http://schemas.openxmlformats.org/officeDocument/2006/relationships/image" Target="../media/image265.emf"/><Relationship Id="rId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1052;&#1077;&#1090;&#1086;&#1076;&#1080;&#1095;&#1082;&#1072;%20&#1084;&#1086;&#1103;%202.pdf" TargetMode="External"/><Relationship Id="rId255" Type="http://schemas.openxmlformats.org/officeDocument/2006/relationships/image" Target="../media/image93.emf"/><Relationship Id="rId276" Type="http://schemas.openxmlformats.org/officeDocument/2006/relationships/oleObject" Target="../embeddings/oleObject107.bin"/><Relationship Id="rId297" Type="http://schemas.openxmlformats.org/officeDocument/2006/relationships/image" Target="../media/image111.emf"/><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oleObject" Target="../embeddings/oleObject211.bin"/><Relationship Id="rId518" Type="http://schemas.openxmlformats.org/officeDocument/2006/relationships/oleObject" Target="../embeddings/oleObject232.bin"/><Relationship Id="rId539" Type="http://schemas.openxmlformats.org/officeDocument/2006/relationships/oleObject" Target="../embeddings/oleObject243.bin"/><Relationship Id="rId40" Type="http://schemas.openxmlformats.org/officeDocument/2006/relationships/hyperlink" Target="&#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image" Target="../media/image113.emf"/><Relationship Id="rId322" Type="http://schemas.openxmlformats.org/officeDocument/2006/relationships/oleObject" Target="../embeddings/oleObject130.bin"/><Relationship Id="rId343" Type="http://schemas.openxmlformats.org/officeDocument/2006/relationships/image" Target="../media/image134.emf"/><Relationship Id="rId364" Type="http://schemas.openxmlformats.org/officeDocument/2006/relationships/oleObject" Target="../embeddings/oleObject151.bin"/><Relationship Id="rId550" Type="http://schemas.openxmlformats.org/officeDocument/2006/relationships/oleObject" Target="../embeddings/oleObject249.bin"/><Relationship Id="rId61"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image" Target="../media/image155.emf"/><Relationship Id="rId571" Type="http://schemas.openxmlformats.org/officeDocument/2006/relationships/oleObject" Target="../embeddings/oleObject260.bin"/><Relationship Id="rId592" Type="http://schemas.openxmlformats.org/officeDocument/2006/relationships/image" Target="../media/image253.emf"/><Relationship Id="rId606" Type="http://schemas.openxmlformats.org/officeDocument/2006/relationships/image" Target="../media/image260.emf"/><Relationship Id="rId627" Type="http://schemas.openxmlformats.org/officeDocument/2006/relationships/oleObject" Target="../embeddings/oleObject288.bin"/><Relationship Id="rId19" Type="http://schemas.openxmlformats.org/officeDocument/2006/relationships/hyperlink" Target="&#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oleObject" Target="../embeddings/oleObject102.bin"/><Relationship Id="rId287" Type="http://schemas.openxmlformats.org/officeDocument/2006/relationships/image" Target="../media/image106.emf"/><Relationship Id="rId410" Type="http://schemas.openxmlformats.org/officeDocument/2006/relationships/oleObject" Target="../embeddings/oleObject174.bin"/><Relationship Id="rId431" Type="http://schemas.openxmlformats.org/officeDocument/2006/relationships/image" Target="../media/image178.emf"/><Relationship Id="rId452" Type="http://schemas.openxmlformats.org/officeDocument/2006/relationships/oleObject" Target="../embeddings/oleObject195.bin"/><Relationship Id="rId473" Type="http://schemas.openxmlformats.org/officeDocument/2006/relationships/oleObject" Target="../embeddings/oleObject206.bin"/><Relationship Id="rId494" Type="http://schemas.openxmlformats.org/officeDocument/2006/relationships/image" Target="../media/image209.emf"/><Relationship Id="rId508" Type="http://schemas.openxmlformats.org/officeDocument/2006/relationships/image" Target="../media/image213.emf"/><Relationship Id="rId529" Type="http://schemas.openxmlformats.org/officeDocument/2006/relationships/oleObject" Target="../embeddings/oleObject238.bin"/><Relationship Id="rId30" Type="http://schemas.openxmlformats.org/officeDocument/2006/relationships/hyperlink" Target="&#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oleObject" Target="../embeddings/oleObject125.bin"/><Relationship Id="rId333" Type="http://schemas.openxmlformats.org/officeDocument/2006/relationships/image" Target="../media/image129.emf"/><Relationship Id="rId354" Type="http://schemas.openxmlformats.org/officeDocument/2006/relationships/oleObject" Target="../embeddings/oleObject146.bin"/><Relationship Id="rId540" Type="http://schemas.openxmlformats.org/officeDocument/2006/relationships/oleObject" Target="../embeddings/oleObject244.bin"/><Relationship Id="rId51" Type="http://schemas.openxmlformats.org/officeDocument/2006/relationships/hyperlink" Target="&#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image" Target="../media/image150.emf"/><Relationship Id="rId396" Type="http://schemas.openxmlformats.org/officeDocument/2006/relationships/oleObject" Target="../embeddings/oleObject167.bin"/><Relationship Id="rId561" Type="http://schemas.openxmlformats.org/officeDocument/2006/relationships/oleObject" Target="../embeddings/oleObject255.bin"/><Relationship Id="rId582" Type="http://schemas.openxmlformats.org/officeDocument/2006/relationships/image" Target="../media/image248.emf"/><Relationship Id="rId617" Type="http://schemas.openxmlformats.org/officeDocument/2006/relationships/oleObject" Target="../embeddings/oleObject283.bin"/><Relationship Id="rId3" Type="http://schemas.openxmlformats.org/officeDocument/2006/relationships/hyperlink" Target="&#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oleObject" Target="../embeddings/oleObject94.bin"/><Relationship Id="rId277" Type="http://schemas.openxmlformats.org/officeDocument/2006/relationships/image" Target="../media/image101.emf"/><Relationship Id="rId298" Type="http://schemas.openxmlformats.org/officeDocument/2006/relationships/oleObject" Target="../embeddings/oleObject118.bin"/><Relationship Id="rId400" Type="http://schemas.openxmlformats.org/officeDocument/2006/relationships/oleObject" Target="../embeddings/oleObject169.bin"/><Relationship Id="rId421" Type="http://schemas.openxmlformats.org/officeDocument/2006/relationships/image" Target="../media/image173.emf"/><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image" Target="../media/image204.emf"/><Relationship Id="rId519" Type="http://schemas.openxmlformats.org/officeDocument/2006/relationships/image" Target="../media/image218.emf"/><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oleObject" Target="../embeddings/oleObject120.bin"/><Relationship Id="rId323" Type="http://schemas.openxmlformats.org/officeDocument/2006/relationships/image" Target="../media/image124.emf"/><Relationship Id="rId344" Type="http://schemas.openxmlformats.org/officeDocument/2006/relationships/oleObject" Target="../embeddings/oleObject141.bin"/><Relationship Id="rId530" Type="http://schemas.openxmlformats.org/officeDocument/2006/relationships/image" Target="../media/image223.emf"/><Relationship Id="rId20" Type="http://schemas.openxmlformats.org/officeDocument/2006/relationships/hyperlink" Target="&#1052;&#1077;&#1090;&#1086;&#1076;&#1080;&#1095;&#1077;&#1089;&#1082;&#1080;&#1077;%20&#1089;&#1087;&#1088;&#1072;&#1074;&#1082;&#1080;.docx" TargetMode="External"/><Relationship Id="rId41" Type="http://schemas.openxmlformats.org/officeDocument/2006/relationships/hyperlink" Target="&#1055;&#1088;&#1086;&#1075;&#1088;&#1072;&#1084;&#1084;&#1072;%20XLCS%20&#1040;&#1044;%204&#1040;.txt" TargetMode="External"/><Relationship Id="rId6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image" Target="../media/image145.emf"/><Relationship Id="rId386" Type="http://schemas.openxmlformats.org/officeDocument/2006/relationships/oleObject" Target="../embeddings/oleObject162.bin"/><Relationship Id="rId551" Type="http://schemas.openxmlformats.org/officeDocument/2006/relationships/image" Target="../media/image233.emf"/><Relationship Id="rId572" Type="http://schemas.openxmlformats.org/officeDocument/2006/relationships/image" Target="../media/image243.emf"/><Relationship Id="rId593" Type="http://schemas.openxmlformats.org/officeDocument/2006/relationships/oleObject" Target="../embeddings/oleObject271.bin"/><Relationship Id="rId607" Type="http://schemas.openxmlformats.org/officeDocument/2006/relationships/oleObject" Target="../embeddings/oleObject278.bin"/><Relationship Id="rId628" Type="http://schemas.openxmlformats.org/officeDocument/2006/relationships/image" Target="../media/image271.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image" Target="../media/image96.emf"/><Relationship Id="rId288" Type="http://schemas.openxmlformats.org/officeDocument/2006/relationships/oleObject" Target="../embeddings/oleObject113.bin"/><Relationship Id="rId411" Type="http://schemas.openxmlformats.org/officeDocument/2006/relationships/image" Target="../media/image168.emf"/><Relationship Id="rId432" Type="http://schemas.openxmlformats.org/officeDocument/2006/relationships/oleObject" Target="../embeddings/oleObject185.bin"/><Relationship Id="rId453" Type="http://schemas.openxmlformats.org/officeDocument/2006/relationships/image" Target="../media/image189.emf"/><Relationship Id="rId474" Type="http://schemas.openxmlformats.org/officeDocument/2006/relationships/image" Target="../media/image199.emf"/><Relationship Id="rId509" Type="http://schemas.openxmlformats.org/officeDocument/2006/relationships/oleObject" Target="../embeddings/oleObject227.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image" Target="../media/image119.emf"/><Relationship Id="rId495" Type="http://schemas.openxmlformats.org/officeDocument/2006/relationships/oleObject" Target="../embeddings/oleObject217.bin"/><Relationship Id="rId10" Type="http://schemas.openxmlformats.org/officeDocument/2006/relationships/hyperlink" Target="&#1052;&#1077;&#1090;&#1086;&#1076;&#1080;&#1095;&#1077;&#1089;&#1082;&#1080;&#1077;%20&#1089;&#1087;&#1088;&#1072;&#1074;&#1082;&#1080;%201.pdf" TargetMode="External"/><Relationship Id="rId31" Type="http://schemas.openxmlformats.org/officeDocument/2006/relationships/hyperlink" Target="..\&#1052;&#1044;&#1050;%2001.02" TargetMode="External"/><Relationship Id="rId52" Type="http://schemas.openxmlformats.org/officeDocument/2006/relationships/hyperlink" Targe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oleObject" Target="../embeddings/oleObject136.bin"/><Relationship Id="rId355" Type="http://schemas.openxmlformats.org/officeDocument/2006/relationships/image" Target="../media/image140.emf"/><Relationship Id="rId376" Type="http://schemas.openxmlformats.org/officeDocument/2006/relationships/oleObject" Target="../embeddings/oleObject157.bin"/><Relationship Id="rId397" Type="http://schemas.openxmlformats.org/officeDocument/2006/relationships/image" Target="../media/image161.emf"/><Relationship Id="rId520" Type="http://schemas.openxmlformats.org/officeDocument/2006/relationships/oleObject" Target="../embeddings/oleObject233.bin"/><Relationship Id="rId541" Type="http://schemas.openxmlformats.org/officeDocument/2006/relationships/image" Target="../media/image228.emf"/><Relationship Id="rId562" Type="http://schemas.openxmlformats.org/officeDocument/2006/relationships/image" Target="../media/image238.emf"/><Relationship Id="rId583" Type="http://schemas.openxmlformats.org/officeDocument/2006/relationships/oleObject" Target="../embeddings/oleObject266.bin"/><Relationship Id="rId618" Type="http://schemas.openxmlformats.org/officeDocument/2006/relationships/image" Target="../media/image266.emf"/><Relationship Id="rId4" Type="http://schemas.openxmlformats.org/officeDocument/2006/relationships/hyperlink" Targe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image" Target="../media/image94.emf"/><Relationship Id="rId278" Type="http://schemas.openxmlformats.org/officeDocument/2006/relationships/oleObject" Target="../embeddings/oleObject108.bin"/><Relationship Id="rId401" Type="http://schemas.openxmlformats.org/officeDocument/2006/relationships/image" Target="../media/image163.emf"/><Relationship Id="rId422" Type="http://schemas.openxmlformats.org/officeDocument/2006/relationships/oleObject" Target="../embeddings/oleObject180.bin"/><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image" Target="../media/image114.emf"/><Relationship Id="rId485" Type="http://schemas.openxmlformats.org/officeDocument/2006/relationships/oleObject" Target="../embeddings/oleObject212.bin"/><Relationship Id="rId42" Type="http://schemas.openxmlformats.org/officeDocument/2006/relationships/hyperlink" Targe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image" Target="../media/image135.emf"/><Relationship Id="rId387" Type="http://schemas.openxmlformats.org/officeDocument/2006/relationships/image" Target="../media/image156.emf"/><Relationship Id="rId510" Type="http://schemas.openxmlformats.org/officeDocument/2006/relationships/image" Target="../media/image214.emf"/><Relationship Id="rId552" Type="http://schemas.openxmlformats.org/officeDocument/2006/relationships/oleObject" Target="../embeddings/oleObject250.bin"/><Relationship Id="rId594" Type="http://schemas.openxmlformats.org/officeDocument/2006/relationships/image" Target="../media/image254.emf"/><Relationship Id="rId608" Type="http://schemas.openxmlformats.org/officeDocument/2006/relationships/image" Target="../media/image261.emf"/><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image" Target="../media/image89.emf"/><Relationship Id="rId412" Type="http://schemas.openxmlformats.org/officeDocument/2006/relationships/oleObject" Target="../embeddings/oleObject175.bin"/><Relationship Id="rId107" Type="http://schemas.openxmlformats.org/officeDocument/2006/relationships/image" Target="../media/image19.emf"/><Relationship Id="rId289" Type="http://schemas.openxmlformats.org/officeDocument/2006/relationships/image" Target="../media/image107.emf"/><Relationship Id="rId454" Type="http://schemas.openxmlformats.org/officeDocument/2006/relationships/oleObject" Target="../embeddings/oleObject196.bin"/><Relationship Id="rId496" Type="http://schemas.openxmlformats.org/officeDocument/2006/relationships/image" Target="../media/image210.emf"/><Relationship Id="rId11" Type="http://schemas.openxmlformats.org/officeDocument/2006/relationships/hyperlink" Target="&#1055;&#1088;&#1086;&#1075;&#1088;&#1072;&#1084;&#1084;&#1072;%20XLCS%20&#1040;&#1044;%204&#1040;.txt" TargetMode="External"/><Relationship Id="rId53" Type="http://schemas.openxmlformats.org/officeDocument/2006/relationships/hyperlink" Target="&#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oleObject" Target="../embeddings/oleObject126.bin"/><Relationship Id="rId356" Type="http://schemas.openxmlformats.org/officeDocument/2006/relationships/oleObject" Target="../embeddings/oleObject147.bin"/><Relationship Id="rId398" Type="http://schemas.openxmlformats.org/officeDocument/2006/relationships/oleObject" Target="../embeddings/oleObject168.bin"/><Relationship Id="rId521" Type="http://schemas.openxmlformats.org/officeDocument/2006/relationships/oleObject" Target="../embeddings/oleObject234.bin"/><Relationship Id="rId563" Type="http://schemas.openxmlformats.org/officeDocument/2006/relationships/oleObject" Target="../embeddings/oleObject256.bin"/><Relationship Id="rId619" Type="http://schemas.openxmlformats.org/officeDocument/2006/relationships/oleObject" Target="../embeddings/oleObject284.bin"/><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image" Target="../media/image174.emf"/><Relationship Id="rId258" Type="http://schemas.openxmlformats.org/officeDocument/2006/relationships/oleObject" Target="../embeddings/oleObject95.bin"/><Relationship Id="rId465" Type="http://schemas.openxmlformats.org/officeDocument/2006/relationships/image" Target="../media/image195.emf"/><Relationship Id="rId630" Type="http://schemas.openxmlformats.org/officeDocument/2006/relationships/image" Target="../media/image272.emf"/><Relationship Id="rId22" Type="http://schemas.openxmlformats.org/officeDocument/2006/relationships/hyperlink" Target="&#1055;&#1088;&#1086;&#1075;&#1088;&#1072;&#1084;&#1084;&#1072;%20XLCS%20&#1040;&#1044;%204&#1040;.txt" TargetMode="External"/><Relationship Id="rId64" Type="http://schemas.openxmlformats.org/officeDocument/2006/relationships/hyperlink" Target="&#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image" Target="../media/image125.emf"/><Relationship Id="rId367" Type="http://schemas.openxmlformats.org/officeDocument/2006/relationships/image" Target="../media/image146.emf"/><Relationship Id="rId532" Type="http://schemas.openxmlformats.org/officeDocument/2006/relationships/image" Target="../media/image224.emf"/><Relationship Id="rId574" Type="http://schemas.openxmlformats.org/officeDocument/2006/relationships/image" Target="../media/image244.emf"/><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image" Target="../media/image97.emf"/><Relationship Id="rId434" Type="http://schemas.openxmlformats.org/officeDocument/2006/relationships/oleObject" Target="../embeddings/oleObject186.bin"/><Relationship Id="rId476" Type="http://schemas.openxmlformats.org/officeDocument/2006/relationships/image" Target="../media/image200.emf"/><Relationship Id="rId33" Type="http://schemas.openxmlformats.org/officeDocument/2006/relationships/hyperlink" Target="..\&#1052;&#1044;&#1050;%2001.02" TargetMode="External"/><Relationship Id="rId129" Type="http://schemas.openxmlformats.org/officeDocument/2006/relationships/image" Target="../media/image30.emf"/><Relationship Id="rId280" Type="http://schemas.openxmlformats.org/officeDocument/2006/relationships/oleObject" Target="../embeddings/oleObject109.bin"/><Relationship Id="rId336" Type="http://schemas.openxmlformats.org/officeDocument/2006/relationships/oleObject" Target="../embeddings/oleObject137.bin"/><Relationship Id="rId501" Type="http://schemas.openxmlformats.org/officeDocument/2006/relationships/oleObject" Target="../embeddings/oleObject220.bin"/><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oleObject" Target="../embeddings/oleObject158.bin"/><Relationship Id="rId403" Type="http://schemas.openxmlformats.org/officeDocument/2006/relationships/image" Target="../media/image164.emf"/><Relationship Id="rId585" Type="http://schemas.openxmlformats.org/officeDocument/2006/relationships/oleObject" Target="../embeddings/oleObject267.bin"/><Relationship Id="rId6" Type="http://schemas.openxmlformats.org/officeDocument/2006/relationships/hyperlink" Target="&#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oleObject" Target="../embeddings/oleObject213.bin"/><Relationship Id="rId610" Type="http://schemas.openxmlformats.org/officeDocument/2006/relationships/image" Target="../media/image262.emf"/><Relationship Id="rId291" Type="http://schemas.openxmlformats.org/officeDocument/2006/relationships/image" Target="../media/image108.emf"/><Relationship Id="rId305" Type="http://schemas.openxmlformats.org/officeDocument/2006/relationships/image" Target="../media/image115.emf"/><Relationship Id="rId347" Type="http://schemas.openxmlformats.org/officeDocument/2006/relationships/image" Target="../media/image136.emf"/><Relationship Id="rId512" Type="http://schemas.openxmlformats.org/officeDocument/2006/relationships/image" Target="../media/image215.emf"/><Relationship Id="rId44" Type="http://schemas.openxmlformats.org/officeDocument/2006/relationships/hyperlink" Target="&#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image" Target="../media/image157.emf"/><Relationship Id="rId554" Type="http://schemas.openxmlformats.org/officeDocument/2006/relationships/oleObject" Target="../embeddings/oleObject251.bin"/><Relationship Id="rId596" Type="http://schemas.openxmlformats.org/officeDocument/2006/relationships/image" Target="../media/image255.emf"/><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image" Target="../media/image90.emf"/><Relationship Id="rId414" Type="http://schemas.openxmlformats.org/officeDocument/2006/relationships/oleObject" Target="../embeddings/oleObject176.bin"/><Relationship Id="rId456" Type="http://schemas.openxmlformats.org/officeDocument/2006/relationships/oleObject" Target="../embeddings/oleObject197.bin"/><Relationship Id="rId498" Type="http://schemas.openxmlformats.org/officeDocument/2006/relationships/image" Target="../media/image211.emf"/><Relationship Id="rId621" Type="http://schemas.openxmlformats.org/officeDocument/2006/relationships/oleObject" Target="../embeddings/oleObject285.bin"/><Relationship Id="rId13" Type="http://schemas.openxmlformats.org/officeDocument/2006/relationships/hyperlink" Target="&#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oleObject" Target="../embeddings/oleObject97.bin"/><Relationship Id="rId316" Type="http://schemas.openxmlformats.org/officeDocument/2006/relationships/oleObject" Target="../embeddings/oleObject127.bin"/><Relationship Id="rId523" Type="http://schemas.openxmlformats.org/officeDocument/2006/relationships/oleObject" Target="../embeddings/oleObject235.bin"/><Relationship Id="rId55" Type="http://schemas.openxmlformats.org/officeDocument/2006/relationships/hyperlink" Target="&#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oleObject" Target="../embeddings/oleObject148.bin"/><Relationship Id="rId565" Type="http://schemas.openxmlformats.org/officeDocument/2006/relationships/oleObject" Target="../embeddings/oleObject257.bin"/><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image" Target="../media/image175.emf"/><Relationship Id="rId467" Type="http://schemas.openxmlformats.org/officeDocument/2006/relationships/oleObject" Target="../embeddings/oleObject203.bin"/><Relationship Id="rId632" Type="http://schemas.openxmlformats.org/officeDocument/2006/relationships/image" Target="../media/image273.emf"/><Relationship Id="rId271" Type="http://schemas.openxmlformats.org/officeDocument/2006/relationships/image" Target="../media/image98.emf"/><Relationship Id="rId24" Type="http://schemas.openxmlformats.org/officeDocument/2006/relationships/hyperlink" Target="&#1052;&#1077;&#1090;&#1086;&#1076;&#1080;&#1095;&#1077;&#1089;&#1082;&#1080;&#1077;%20&#1089;&#1087;&#1088;&#1072;&#1074;&#1082;&#1080;.docx" TargetMode="External"/><Relationship Id="rId66" Type="http://schemas.openxmlformats.org/officeDocument/2006/relationships/hyperlink" Target="&#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image" Target="../media/image126.emf"/><Relationship Id="rId369" Type="http://schemas.openxmlformats.org/officeDocument/2006/relationships/image" Target="../media/image147.emf"/><Relationship Id="rId534" Type="http://schemas.openxmlformats.org/officeDocument/2006/relationships/image" Target="../media/image225.emf"/><Relationship Id="rId576" Type="http://schemas.openxmlformats.org/officeDocument/2006/relationships/image" Target="../media/image245.emf"/><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oleObject" Target="../embeddings/oleObject159.bin"/><Relationship Id="rId436" Type="http://schemas.openxmlformats.org/officeDocument/2006/relationships/oleObject" Target="../embeddings/oleObject187.bin"/><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image" Target="../media/image201.emf"/><Relationship Id="rId35" Type="http://schemas.openxmlformats.org/officeDocument/2006/relationships/hyperlink" Targe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oleObject" Target="../embeddings/oleObject110.bin"/><Relationship Id="rId338" Type="http://schemas.openxmlformats.org/officeDocument/2006/relationships/oleObject" Target="../embeddings/oleObject138.bin"/><Relationship Id="rId503" Type="http://schemas.openxmlformats.org/officeDocument/2006/relationships/oleObject" Target="../embeddings/oleObject222.bin"/><Relationship Id="rId545" Type="http://schemas.openxmlformats.org/officeDocument/2006/relationships/image" Target="../media/image230.emf"/><Relationship Id="rId587" Type="http://schemas.openxmlformats.org/officeDocument/2006/relationships/oleObject" Target="../embeddings/oleObject268.bin"/><Relationship Id="rId8" Type="http://schemas.openxmlformats.org/officeDocument/2006/relationships/hyperlink" Target="&#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image" Target="../media/image158.emf"/><Relationship Id="rId405" Type="http://schemas.openxmlformats.org/officeDocument/2006/relationships/image" Target="../media/image165.emf"/><Relationship Id="rId447" Type="http://schemas.openxmlformats.org/officeDocument/2006/relationships/image" Target="../media/image186.emf"/><Relationship Id="rId612" Type="http://schemas.openxmlformats.org/officeDocument/2006/relationships/image" Target="../media/image263.emf"/><Relationship Id="rId251" Type="http://schemas.openxmlformats.org/officeDocument/2006/relationships/image" Target="../media/image91.emf"/><Relationship Id="rId489" Type="http://schemas.openxmlformats.org/officeDocument/2006/relationships/oleObject" Target="../embeddings/oleObject214.bin"/><Relationship Id="rId46" Type="http://schemas.openxmlformats.org/officeDocument/2006/relationships/hyperlink" Target="&#1055;&#1088;&#1086;&#1075;&#1088;&#1072;&#1084;&#1084;&#1072;%20XLCS%20&#1040;&#1044;%204&#1040;.txt" TargetMode="External"/><Relationship Id="rId293" Type="http://schemas.openxmlformats.org/officeDocument/2006/relationships/image" Target="../media/image109.emf"/><Relationship Id="rId307" Type="http://schemas.openxmlformats.org/officeDocument/2006/relationships/image" Target="../media/image116.emf"/><Relationship Id="rId349" Type="http://schemas.openxmlformats.org/officeDocument/2006/relationships/image" Target="../media/image137.emf"/><Relationship Id="rId514" Type="http://schemas.openxmlformats.org/officeDocument/2006/relationships/image" Target="../media/image216.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oleObject" Target="../embeddings/oleObject149.bin"/><Relationship Id="rId416" Type="http://schemas.openxmlformats.org/officeDocument/2006/relationships/oleObject" Target="../embeddings/oleObject177.bin"/><Relationship Id="rId598" Type="http://schemas.openxmlformats.org/officeDocument/2006/relationships/image" Target="../media/image256.emf"/><Relationship Id="rId220" Type="http://schemas.openxmlformats.org/officeDocument/2006/relationships/oleObject" Target="../embeddings/oleObject76.bin"/><Relationship Id="rId458" Type="http://schemas.openxmlformats.org/officeDocument/2006/relationships/oleObject" Target="../embeddings/oleObject198.bin"/><Relationship Id="rId623" Type="http://schemas.openxmlformats.org/officeDocument/2006/relationships/oleObject" Target="../embeddings/oleObject286.bin"/><Relationship Id="rId15" Type="http://schemas.openxmlformats.org/officeDocument/2006/relationships/hyperlink" Target="&#1043;&#1051;&#1040;&#1042;&#1040;%209%20&#1055;&#1088;&#1086;&#1077;&#1082;&#1090;&#1080;&#1088;&#1086;&#1074;&#1072;&#1085;&#1080;&#1077;%20&#1072;&#1089;&#1080;&#1085;&#1093;&#1088;&#1086;&#1085;&#1085;&#1099;&#1093;%20&#1084;&#1072;&#1096;&#1080;&#1085;.doc" TargetMode="External"/><Relationship Id="rId57"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oleObject" Target="../embeddings/oleObject99.bin"/><Relationship Id="rId318" Type="http://schemas.openxmlformats.org/officeDocument/2006/relationships/oleObject" Target="../embeddings/oleObject128.bin"/><Relationship Id="rId525" Type="http://schemas.openxmlformats.org/officeDocument/2006/relationships/oleObject" Target="../embeddings/oleObject236.bin"/><Relationship Id="rId567" Type="http://schemas.openxmlformats.org/officeDocument/2006/relationships/oleObject" Target="../embeddings/oleObject258.bin"/><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image" Target="../media/image148.emf"/><Relationship Id="rId427" Type="http://schemas.openxmlformats.org/officeDocument/2006/relationships/image" Target="../media/image176.emf"/><Relationship Id="rId469" Type="http://schemas.openxmlformats.org/officeDocument/2006/relationships/oleObject" Target="../embeddings/oleObject204.bin"/><Relationship Id="rId634" Type="http://schemas.openxmlformats.org/officeDocument/2006/relationships/image" Target="../media/image274.emf"/><Relationship Id="rId26" Type="http://schemas.openxmlformats.org/officeDocument/2006/relationships/hyperlink" Target="&#1055;&#1088;&#1086;&#1075;&#1088;&#1072;&#1084;&#1084;&#1072;%20XLCS%20&#1040;&#1044;%204&#1040;.txt" TargetMode="External"/><Relationship Id="rId231" Type="http://schemas.openxmlformats.org/officeDocument/2006/relationships/image" Target="../media/image81.emf"/><Relationship Id="rId273" Type="http://schemas.openxmlformats.org/officeDocument/2006/relationships/image" Target="../media/image99.emf"/><Relationship Id="rId329" Type="http://schemas.openxmlformats.org/officeDocument/2006/relationships/image" Target="../media/image127.emf"/><Relationship Id="rId480" Type="http://schemas.openxmlformats.org/officeDocument/2006/relationships/image" Target="../media/image202.emf"/><Relationship Id="rId536" Type="http://schemas.openxmlformats.org/officeDocument/2006/relationships/image" Target="../media/image226.emf"/><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oleObject" Target="../embeddings/oleObject139.bin"/><Relationship Id="rId578" Type="http://schemas.openxmlformats.org/officeDocument/2006/relationships/image" Target="../media/image246.emf"/><Relationship Id="rId200" Type="http://schemas.openxmlformats.org/officeDocument/2006/relationships/oleObject" Target="../embeddings/oleObject66.bin"/><Relationship Id="rId382" Type="http://schemas.openxmlformats.org/officeDocument/2006/relationships/oleObject" Target="../embeddings/oleObject160.bin"/><Relationship Id="rId438" Type="http://schemas.openxmlformats.org/officeDocument/2006/relationships/oleObject" Target="../embeddings/oleObject188.bin"/><Relationship Id="rId603" Type="http://schemas.openxmlformats.org/officeDocument/2006/relationships/oleObject" Target="../embeddings/oleObject276.bin"/><Relationship Id="rId242" Type="http://schemas.openxmlformats.org/officeDocument/2006/relationships/oleObject" Target="../embeddings/oleObject87.bin"/><Relationship Id="rId284" Type="http://schemas.openxmlformats.org/officeDocument/2006/relationships/oleObject" Target="../embeddings/oleObject111.bin"/><Relationship Id="rId491" Type="http://schemas.openxmlformats.org/officeDocument/2006/relationships/oleObject" Target="../embeddings/oleObject215.bin"/><Relationship Id="rId505" Type="http://schemas.openxmlformats.org/officeDocument/2006/relationships/oleObject" Target="../embeddings/oleObject224.bin"/><Relationship Id="rId37" Type="http://schemas.openxmlformats.org/officeDocument/2006/relationships/hyperlink" Targe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oleObject" Target="../embeddings/oleObject269.bin"/><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image" Target="../media/image138.emf"/><Relationship Id="rId393" Type="http://schemas.openxmlformats.org/officeDocument/2006/relationships/image" Target="../media/image159.emf"/><Relationship Id="rId407" Type="http://schemas.openxmlformats.org/officeDocument/2006/relationships/image" Target="../media/image166.emf"/><Relationship Id="rId449" Type="http://schemas.openxmlformats.org/officeDocument/2006/relationships/image" Target="../media/image187.emf"/><Relationship Id="rId614" Type="http://schemas.openxmlformats.org/officeDocument/2006/relationships/image" Target="../media/image264.emf"/><Relationship Id="rId211" Type="http://schemas.openxmlformats.org/officeDocument/2006/relationships/image" Target="../media/image71.emf"/><Relationship Id="rId253" Type="http://schemas.openxmlformats.org/officeDocument/2006/relationships/image" Target="../media/image92.emf"/><Relationship Id="rId295" Type="http://schemas.openxmlformats.org/officeDocument/2006/relationships/image" Target="../media/image110.emf"/><Relationship Id="rId309" Type="http://schemas.openxmlformats.org/officeDocument/2006/relationships/image" Target="../media/image117.emf"/><Relationship Id="rId460" Type="http://schemas.openxmlformats.org/officeDocument/2006/relationships/oleObject" Target="../embeddings/oleObject199.bin"/><Relationship Id="rId516" Type="http://schemas.openxmlformats.org/officeDocument/2006/relationships/oleObject" Target="../embeddings/oleObject231.bin"/><Relationship Id="rId48" Type="http://schemas.openxmlformats.org/officeDocument/2006/relationships/hyperlink" Target="&#1043;&#1051;&#1040;&#1042;&#1040;%209%20&#1055;&#1088;&#1086;&#1077;&#1082;&#1090;&#1080;&#1088;&#1086;&#1074;&#1072;&#1085;&#1080;&#1077;%20&#1072;&#1089;&#1080;&#1085;&#1093;&#1088;&#1086;&#1085;&#1085;&#1099;&#1093;%20&#1084;&#1072;&#1096;&#1080;&#1085;.doc" TargetMode="External"/><Relationship Id="rId113" Type="http://schemas.openxmlformats.org/officeDocument/2006/relationships/image" Target="../media/image22.emf"/><Relationship Id="rId320" Type="http://schemas.openxmlformats.org/officeDocument/2006/relationships/oleObject" Target="../embeddings/oleObject129.bin"/><Relationship Id="rId558" Type="http://schemas.openxmlformats.org/officeDocument/2006/relationships/oleObject" Target="../embeddings/oleObject253.bin"/><Relationship Id="rId155" Type="http://schemas.openxmlformats.org/officeDocument/2006/relationships/image" Target="../media/image43.emf"/><Relationship Id="rId197" Type="http://schemas.openxmlformats.org/officeDocument/2006/relationships/image" Target="../media/image64.emf"/><Relationship Id="rId362" Type="http://schemas.openxmlformats.org/officeDocument/2006/relationships/oleObject" Target="../embeddings/oleObject150.bin"/><Relationship Id="rId418" Type="http://schemas.openxmlformats.org/officeDocument/2006/relationships/oleObject" Target="../embeddings/oleObject178.bin"/><Relationship Id="rId625" Type="http://schemas.openxmlformats.org/officeDocument/2006/relationships/oleObject" Target="../embeddings/oleObject287.bin"/><Relationship Id="rId222" Type="http://schemas.openxmlformats.org/officeDocument/2006/relationships/oleObject" Target="../embeddings/oleObject77.bin"/><Relationship Id="rId264" Type="http://schemas.openxmlformats.org/officeDocument/2006/relationships/oleObject" Target="../embeddings/oleObject101.bin"/><Relationship Id="rId471" Type="http://schemas.openxmlformats.org/officeDocument/2006/relationships/oleObject" Target="../embeddings/oleObject205.bin"/></Relationships>
</file>

<file path=xl/worksheets/_rels/sheet2.xml.rels><?xml version="1.0" encoding="UTF-8" standalone="yes"?>
<Relationships xmlns="http://schemas.openxmlformats.org/package/2006/relationships"><Relationship Id="rId13" Type="http://schemas.openxmlformats.org/officeDocument/2006/relationships/hyperlink" Target="&#1052;&#1077;&#1090;&#1086;&#1076;&#1080;&#1095;&#1082;&#1072;%20&#1084;&#1086;&#1103;%202.pdf" TargetMode="External"/><Relationship Id="rId18" Type="http://schemas.openxmlformats.org/officeDocument/2006/relationships/hyperlink" Target="&#1043;&#1054;&#1057;&#1058;\GOST-31605-2012-Mashiny-elektricheskie.pdf" TargetMode="External"/><Relationship Id="rId26" Type="http://schemas.openxmlformats.org/officeDocument/2006/relationships/image" Target="../media/image301.emf"/><Relationship Id="rId39" Type="http://schemas.openxmlformats.org/officeDocument/2006/relationships/oleObject" Target="../embeddings/oleObject300.bin"/><Relationship Id="rId21" Type="http://schemas.openxmlformats.org/officeDocument/2006/relationships/drawing" Target="../drawings/drawing8.xml"/><Relationship Id="rId34" Type="http://schemas.openxmlformats.org/officeDocument/2006/relationships/image" Target="../media/image305.emf"/><Relationship Id="rId42" Type="http://schemas.openxmlformats.org/officeDocument/2006/relationships/image" Target="../media/image308.wmf"/><Relationship Id="rId47" Type="http://schemas.openxmlformats.org/officeDocument/2006/relationships/image" Target="../media/image310.wmf"/><Relationship Id="rId50" Type="http://schemas.openxmlformats.org/officeDocument/2006/relationships/oleObject" Target="../embeddings/oleObject307.bin"/><Relationship Id="rId55" Type="http://schemas.openxmlformats.org/officeDocument/2006/relationships/oleObject" Target="../embeddings/oleObject310.bin"/><Relationship Id="rId63" Type="http://schemas.openxmlformats.org/officeDocument/2006/relationships/oleObject" Target="../embeddings/oleObject314.bin"/><Relationship Id="rId68" Type="http://schemas.openxmlformats.org/officeDocument/2006/relationships/image" Target="../media/image320.emf"/><Relationship Id="rId76" Type="http://schemas.openxmlformats.org/officeDocument/2006/relationships/image" Target="../media/image324.emf"/><Relationship Id="rId7" Type="http://schemas.openxmlformats.org/officeDocument/2006/relationships/hyperlink" Target="&#1043;&#1054;&#1057;&#1058;\&#1043;&#1054;&#1057;&#1058;%2031606-2012_&#1042;2_269KB.pdf" TargetMode="External"/><Relationship Id="rId71" Type="http://schemas.openxmlformats.org/officeDocument/2006/relationships/oleObject" Target="../embeddings/oleObject318.bin"/><Relationship Id="rId2" Type="http://schemas.openxmlformats.org/officeDocument/2006/relationships/hyperlink" Target="&#1043;&#1054;&#1057;&#1058;\&#1043;&#1054;&#1057;&#1058;%2013267-1973.pdf" TargetMode="External"/><Relationship Id="rId16" Type="http://schemas.openxmlformats.org/officeDocument/2006/relationships/hyperlink" Target="&#1043;&#1054;&#1057;&#1058;\GOST-31605-2012-Mashiny-elektricheskie.pdf" TargetMode="External"/><Relationship Id="rId29" Type="http://schemas.openxmlformats.org/officeDocument/2006/relationships/oleObject" Target="../embeddings/oleObject295.bin"/><Relationship Id="rId11" Type="http://schemas.openxmlformats.org/officeDocument/2006/relationships/hyperlink" Target="&#1052;&#1077;&#1090;&#1086;&#1076;&#1080;&#1095;&#1082;&#1072;%20&#1084;&#1086;&#1103;%202.pdf" TargetMode="External"/><Relationship Id="rId24" Type="http://schemas.openxmlformats.org/officeDocument/2006/relationships/image" Target="../media/image300.wmf"/><Relationship Id="rId32" Type="http://schemas.openxmlformats.org/officeDocument/2006/relationships/image" Target="../media/image304.emf"/><Relationship Id="rId37" Type="http://schemas.openxmlformats.org/officeDocument/2006/relationships/oleObject" Target="../embeddings/oleObject299.bin"/><Relationship Id="rId40" Type="http://schemas.openxmlformats.org/officeDocument/2006/relationships/oleObject" Target="../embeddings/oleObject301.bin"/><Relationship Id="rId45" Type="http://schemas.openxmlformats.org/officeDocument/2006/relationships/image" Target="../media/image309.wmf"/><Relationship Id="rId53" Type="http://schemas.openxmlformats.org/officeDocument/2006/relationships/oleObject" Target="../embeddings/oleObject309.bin"/><Relationship Id="rId58" Type="http://schemas.openxmlformats.org/officeDocument/2006/relationships/image" Target="../media/image315.emf"/><Relationship Id="rId66" Type="http://schemas.openxmlformats.org/officeDocument/2006/relationships/image" Target="../media/image319.emf"/><Relationship Id="rId74" Type="http://schemas.openxmlformats.org/officeDocument/2006/relationships/image" Target="../media/image323.emf"/><Relationship Id="rId79" Type="http://schemas.openxmlformats.org/officeDocument/2006/relationships/oleObject" Target="../embeddings/oleObject322.bin"/><Relationship Id="rId5" Type="http://schemas.openxmlformats.org/officeDocument/2006/relationships/hyperlink" Target="&#1043;&#1054;&#1057;&#1058;" TargetMode="External"/><Relationship Id="rId61" Type="http://schemas.openxmlformats.org/officeDocument/2006/relationships/oleObject" Target="../embeddings/oleObject313.bin"/><Relationship Id="rId82" Type="http://schemas.openxmlformats.org/officeDocument/2006/relationships/image" Target="../media/image327.emf"/><Relationship Id="rId10" Type="http://schemas.openxmlformats.org/officeDocument/2006/relationships/hyperlink" Target="&#1052;&#1077;&#1090;&#1086;&#1076;&#1080;&#1095;&#1077;&#1089;&#1082;&#1080;&#1077;%20&#1089;&#1087;&#1088;&#1072;&#1074;&#1082;&#1080;.docx" TargetMode="External"/><Relationship Id="rId19" Type="http://schemas.openxmlformats.org/officeDocument/2006/relationships/hyperlink" Target="&#1043;&#1054;&#1057;&#1058;\&#1043;&#1054;&#1057;&#1058;%2031606-2012_&#1042;1_463KB.pdf" TargetMode="External"/><Relationship Id="rId31" Type="http://schemas.openxmlformats.org/officeDocument/2006/relationships/oleObject" Target="../embeddings/oleObject296.bin"/><Relationship Id="rId44" Type="http://schemas.openxmlformats.org/officeDocument/2006/relationships/oleObject" Target="../embeddings/oleObject304.bin"/><Relationship Id="rId52" Type="http://schemas.openxmlformats.org/officeDocument/2006/relationships/oleObject" Target="../embeddings/oleObject308.bin"/><Relationship Id="rId60" Type="http://schemas.openxmlformats.org/officeDocument/2006/relationships/image" Target="../media/image316.emf"/><Relationship Id="rId65" Type="http://schemas.openxmlformats.org/officeDocument/2006/relationships/oleObject" Target="../embeddings/oleObject315.bin"/><Relationship Id="rId73" Type="http://schemas.openxmlformats.org/officeDocument/2006/relationships/oleObject" Target="../embeddings/oleObject319.bin"/><Relationship Id="rId78" Type="http://schemas.openxmlformats.org/officeDocument/2006/relationships/image" Target="../media/image325.emf"/><Relationship Id="rId81" Type="http://schemas.openxmlformats.org/officeDocument/2006/relationships/oleObject" Target="../embeddings/oleObject323.bin"/><Relationship Id="rId4" Type="http://schemas.openxmlformats.org/officeDocument/2006/relationships/hyperlink" Target="&#1043;&#1054;&#1057;&#1058;\&#1043;&#1054;&#1057;&#1058;%2031606-2012_&#1042;2_269KB.pdf" TargetMode="External"/><Relationship Id="rId9" Type="http://schemas.openxmlformats.org/officeDocument/2006/relationships/hyperlink" Target="&#1043;&#1054;&#1057;&#1058;\&#1043;&#1054;&#1057;&#1058;%2031606-2012_&#1042;1_463KB.pdf" TargetMode="External"/><Relationship Id="rId14" Type="http://schemas.openxmlformats.org/officeDocument/2006/relationships/hyperlink" Target="&#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94.bin"/><Relationship Id="rId30" Type="http://schemas.openxmlformats.org/officeDocument/2006/relationships/image" Target="../media/image303.emf"/><Relationship Id="rId35" Type="http://schemas.openxmlformats.org/officeDocument/2006/relationships/oleObject" Target="../embeddings/oleObject298.bin"/><Relationship Id="rId43" Type="http://schemas.openxmlformats.org/officeDocument/2006/relationships/oleObject" Target="../embeddings/oleObject303.bin"/><Relationship Id="rId48" Type="http://schemas.openxmlformats.org/officeDocument/2006/relationships/oleObject" Target="../embeddings/oleObject306.bin"/><Relationship Id="rId56" Type="http://schemas.openxmlformats.org/officeDocument/2006/relationships/image" Target="../media/image314.emf"/><Relationship Id="rId64" Type="http://schemas.openxmlformats.org/officeDocument/2006/relationships/image" Target="../media/image318.emf"/><Relationship Id="rId69" Type="http://schemas.openxmlformats.org/officeDocument/2006/relationships/oleObject" Target="../embeddings/oleObject317.bin"/><Relationship Id="rId77" Type="http://schemas.openxmlformats.org/officeDocument/2006/relationships/oleObject" Target="../embeddings/oleObject321.bin"/><Relationship Id="rId8" Type="http://schemas.openxmlformats.org/officeDocument/2006/relationships/hyperlink" Target="&#1043;&#1054;&#1057;&#1058;\&#1043;&#1054;&#1057;&#1058;%2031606-2012_&#1042;1_463KB.pdf" TargetMode="External"/><Relationship Id="rId51" Type="http://schemas.openxmlformats.org/officeDocument/2006/relationships/image" Target="../media/image312.emf"/><Relationship Id="rId72" Type="http://schemas.openxmlformats.org/officeDocument/2006/relationships/image" Target="../media/image322.emf"/><Relationship Id="rId80" Type="http://schemas.openxmlformats.org/officeDocument/2006/relationships/image" Target="../media/image326.emf"/><Relationship Id="rId3" Type="http://schemas.openxmlformats.org/officeDocument/2006/relationships/hyperlink" Target="&#1043;&#1054;&#1057;&#1058;\&#1043;&#1054;&#1057;&#1058;%2013267-1973.pdf" TargetMode="External"/><Relationship Id="rId12" Type="http://schemas.openxmlformats.org/officeDocument/2006/relationships/hyperlink" Target="&#1052;&#1077;&#1090;&#1086;&#1076;&#1080;&#1095;&#1077;&#1089;&#1082;&#1080;&#1077;%20&#1089;&#1087;&#1088;&#1072;&#1074;&#1082;&#1080;.docx" TargetMode="External"/><Relationship Id="rId17" Type="http://schemas.openxmlformats.org/officeDocument/2006/relationships/hyperlink" Target="&#1043;&#1054;&#1057;&#1058;\GOST-31605-2012-Mashiny-elektricheskie.pdf" TargetMode="External"/><Relationship Id="rId25" Type="http://schemas.openxmlformats.org/officeDocument/2006/relationships/oleObject" Target="../embeddings/oleObject293.bin"/><Relationship Id="rId33" Type="http://schemas.openxmlformats.org/officeDocument/2006/relationships/oleObject" Target="../embeddings/oleObject297.bin"/><Relationship Id="rId38" Type="http://schemas.openxmlformats.org/officeDocument/2006/relationships/image" Target="../media/image307.emf"/><Relationship Id="rId46" Type="http://schemas.openxmlformats.org/officeDocument/2006/relationships/oleObject" Target="../embeddings/oleObject305.bin"/><Relationship Id="rId59" Type="http://schemas.openxmlformats.org/officeDocument/2006/relationships/oleObject" Target="../embeddings/oleObject312.bin"/><Relationship Id="rId67" Type="http://schemas.openxmlformats.org/officeDocument/2006/relationships/oleObject" Target="../embeddings/oleObject316.bin"/><Relationship Id="rId20" Type="http://schemas.openxmlformats.org/officeDocument/2006/relationships/printerSettings" Target="../printerSettings/printerSettings2.bin"/><Relationship Id="rId41" Type="http://schemas.openxmlformats.org/officeDocument/2006/relationships/oleObject" Target="../embeddings/oleObject302.bin"/><Relationship Id="rId54" Type="http://schemas.openxmlformats.org/officeDocument/2006/relationships/image" Target="../media/image313.emf"/><Relationship Id="rId62" Type="http://schemas.openxmlformats.org/officeDocument/2006/relationships/image" Target="../media/image317.emf"/><Relationship Id="rId70" Type="http://schemas.openxmlformats.org/officeDocument/2006/relationships/image" Target="../media/image321.emf"/><Relationship Id="rId75" Type="http://schemas.openxmlformats.org/officeDocument/2006/relationships/oleObject" Target="../embeddings/oleObject320.bin"/><Relationship Id="rId1" Type="http://schemas.openxmlformats.org/officeDocument/2006/relationships/hyperlink" Target="&#1043;&#1054;&#1057;&#1058;" TargetMode="External"/><Relationship Id="rId6" Type="http://schemas.openxmlformats.org/officeDocument/2006/relationships/hyperlink" Target="&#1043;&#1054;&#1057;&#1058;" TargetMode="External"/><Relationship Id="rId15" Type="http://schemas.openxmlformats.org/officeDocument/2006/relationships/hyperlink" Target="..\&#1052;&#1044;&#1050;%2001.02" TargetMode="External"/><Relationship Id="rId23" Type="http://schemas.openxmlformats.org/officeDocument/2006/relationships/oleObject" Target="../embeddings/oleObject292.bin"/><Relationship Id="rId28" Type="http://schemas.openxmlformats.org/officeDocument/2006/relationships/image" Target="../media/image302.emf"/><Relationship Id="rId36" Type="http://schemas.openxmlformats.org/officeDocument/2006/relationships/image" Target="../media/image306.emf"/><Relationship Id="rId49" Type="http://schemas.openxmlformats.org/officeDocument/2006/relationships/image" Target="../media/image311.emf"/><Relationship Id="rId57" Type="http://schemas.openxmlformats.org/officeDocument/2006/relationships/oleObject" Target="../embeddings/oleObject31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388.emf"/><Relationship Id="rId2" Type="http://schemas.openxmlformats.org/officeDocument/2006/relationships/drawing" Target="../drawings/drawing9.xml"/><Relationship Id="rId1" Type="http://schemas.openxmlformats.org/officeDocument/2006/relationships/printerSettings" Target="../printerSettings/printerSettings4.bin"/><Relationship Id="rId6" Type="http://schemas.openxmlformats.org/officeDocument/2006/relationships/oleObject" Target="../embeddings/oleObject325.bin"/><Relationship Id="rId5" Type="http://schemas.openxmlformats.org/officeDocument/2006/relationships/image" Target="../media/image387.emf"/><Relationship Id="rId4" Type="http://schemas.openxmlformats.org/officeDocument/2006/relationships/oleObject" Target="../embeddings/oleObject32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12.emf"/><Relationship Id="rId2" Type="http://schemas.openxmlformats.org/officeDocument/2006/relationships/drawing" Target="../drawings/drawing12.xml"/><Relationship Id="rId1" Type="http://schemas.openxmlformats.org/officeDocument/2006/relationships/printerSettings" Target="../printerSettings/printerSettings7.bin"/><Relationship Id="rId6" Type="http://schemas.openxmlformats.org/officeDocument/2006/relationships/oleObject" Target="../embeddings/oleObject327.bin"/><Relationship Id="rId5" Type="http://schemas.openxmlformats.org/officeDocument/2006/relationships/image" Target="../media/image110.emf"/><Relationship Id="rId4" Type="http://schemas.openxmlformats.org/officeDocument/2006/relationships/oleObject" Target="../embeddings/oleObject3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ASF396"/>
  <sheetViews>
    <sheetView tabSelected="1" topLeftCell="AJR54" zoomScale="40" zoomScaleNormal="40" zoomScalePageLayoutView="40" workbookViewId="0">
      <selection activeCell="AKJ71" sqref="AKJ71"/>
    </sheetView>
  </sheetViews>
  <sheetFormatPr defaultColWidth="9.28515625" defaultRowHeight="48" customHeight="1"/>
  <cols>
    <col min="1" max="7" width="9.28515625" style="1"/>
    <col min="8" max="8" width="9.28515625" style="3"/>
    <col min="9" max="10" width="9.28515625" style="1"/>
    <col min="11" max="11" width="9.28515625" style="6"/>
    <col min="12" max="13" width="9.28515625" style="3"/>
    <col min="14" max="48" width="9.28515625" style="1"/>
    <col min="49" max="50" width="9.28515625" style="8"/>
    <col min="51" max="221" width="9.28515625" style="1"/>
    <col min="222" max="222" width="9.28515625" style="228"/>
    <col min="223" max="435" width="9.28515625" style="1"/>
    <col min="436" max="438" width="9.28515625" style="1" customWidth="1"/>
    <col min="439" max="16384" width="9.28515625" style="1"/>
  </cols>
  <sheetData>
    <row r="1" spans="4:1024 1034:1055" ht="48" customHeight="1">
      <c r="BA1" s="144"/>
      <c r="BB1" s="144"/>
      <c r="BC1" s="144"/>
      <c r="BD1" s="144"/>
      <c r="BE1" s="144"/>
      <c r="BF1" s="144"/>
      <c r="BG1" s="144"/>
      <c r="WG1" s="144"/>
      <c r="WH1" s="144"/>
      <c r="WI1" s="144"/>
      <c r="WJ1" s="144"/>
      <c r="WK1" s="144"/>
      <c r="WL1" s="144"/>
      <c r="WM1" s="144"/>
      <c r="WN1" s="144"/>
      <c r="WO1" s="144"/>
      <c r="WP1" s="144"/>
      <c r="WQ1" s="144"/>
      <c r="WR1" s="144"/>
    </row>
    <row r="2" spans="4:1024 1034:1055" ht="48" customHeight="1">
      <c r="N2" s="73" t="s">
        <v>465</v>
      </c>
      <c r="P2" s="73" t="s">
        <v>465</v>
      </c>
      <c r="AK2" s="528"/>
      <c r="AL2" s="816" t="s">
        <v>0</v>
      </c>
      <c r="AM2" s="816"/>
      <c r="AN2" s="816"/>
      <c r="AO2" s="816"/>
      <c r="AP2" s="816"/>
      <c r="AQ2" s="528"/>
      <c r="BC2" s="144"/>
      <c r="BD2" s="144"/>
      <c r="BE2" s="144"/>
      <c r="BF2" s="144"/>
      <c r="BG2" s="144"/>
      <c r="BK2" s="85" t="s">
        <v>465</v>
      </c>
      <c r="BM2" s="727" t="s">
        <v>469</v>
      </c>
      <c r="BN2" s="727"/>
      <c r="BO2" s="727"/>
      <c r="BP2" s="727"/>
      <c r="BQ2" s="727"/>
      <c r="BR2" s="727"/>
      <c r="BS2" s="727"/>
      <c r="BT2" s="84" t="s">
        <v>468</v>
      </c>
      <c r="RD2" s="821" t="s">
        <v>462</v>
      </c>
      <c r="RE2" s="822"/>
      <c r="RF2" s="823"/>
      <c r="RQ2" s="144"/>
      <c r="RR2" s="144"/>
      <c r="WH2" s="144"/>
      <c r="WI2" s="144"/>
      <c r="WJ2" s="144"/>
      <c r="WK2" s="144"/>
      <c r="WL2" s="144"/>
      <c r="WM2" s="144"/>
      <c r="WN2" s="144"/>
      <c r="WO2" s="144"/>
      <c r="WP2" s="144"/>
      <c r="WQ2" s="144"/>
      <c r="WR2" s="144"/>
      <c r="ZL2" s="1096"/>
      <c r="ZM2" s="1097"/>
      <c r="ZN2" s="1096"/>
      <c r="ZO2" s="1097"/>
      <c r="ZP2" s="1096"/>
      <c r="ZQ2" s="1097"/>
      <c r="ZR2" s="1095"/>
      <c r="ZS2" s="1095"/>
      <c r="ZT2" s="1095"/>
      <c r="ZU2" s="1095"/>
      <c r="ZV2" s="1095"/>
      <c r="ZW2" s="1095"/>
      <c r="ZX2" s="1095"/>
      <c r="ZY2" s="1095"/>
    </row>
    <row r="3" spans="4:1024 1034:1055" ht="48" customHeight="1" thickBot="1">
      <c r="AI3" s="144"/>
      <c r="AJ3" s="144"/>
      <c r="AK3" s="144"/>
      <c r="AL3" s="144"/>
      <c r="AM3" s="144"/>
      <c r="AN3" s="144"/>
      <c r="AO3" s="144"/>
      <c r="AP3" s="144"/>
      <c r="AQ3" s="144"/>
      <c r="AR3" s="144"/>
      <c r="AS3" s="144"/>
      <c r="AT3" s="544"/>
      <c r="AU3" s="821" t="s">
        <v>473</v>
      </c>
      <c r="AV3" s="822"/>
      <c r="AW3" s="822"/>
      <c r="AX3" s="823"/>
      <c r="BM3" s="1385" t="s">
        <v>662</v>
      </c>
      <c r="BN3" s="1385"/>
      <c r="BO3" s="1385"/>
      <c r="BP3" s="1385"/>
      <c r="BQ3" s="1385"/>
      <c r="BR3" s="1385"/>
      <c r="BS3" s="1385"/>
      <c r="BT3" s="84" t="s">
        <v>468</v>
      </c>
      <c r="BX3" s="746"/>
      <c r="BZ3" s="173"/>
      <c r="CA3" s="174"/>
      <c r="CB3" s="175"/>
      <c r="DM3" s="85" t="s">
        <v>465</v>
      </c>
      <c r="DO3" s="727" t="s">
        <v>469</v>
      </c>
      <c r="DP3" s="727"/>
      <c r="DQ3" s="727"/>
      <c r="DR3" s="727"/>
      <c r="DS3" s="727"/>
      <c r="DT3" s="727"/>
      <c r="DU3" s="727"/>
      <c r="DV3" s="84" t="s">
        <v>468</v>
      </c>
      <c r="FW3" s="727" t="s">
        <v>469</v>
      </c>
      <c r="FX3" s="727"/>
      <c r="FY3" s="727"/>
      <c r="FZ3" s="727"/>
      <c r="GA3" s="727"/>
      <c r="GB3" s="727"/>
      <c r="GC3" s="727"/>
      <c r="GD3" s="84" t="s">
        <v>468</v>
      </c>
      <c r="II3" s="727" t="s">
        <v>469</v>
      </c>
      <c r="IJ3" s="727"/>
      <c r="IK3" s="727"/>
      <c r="IL3" s="727"/>
      <c r="IM3" s="727"/>
      <c r="IN3" s="727"/>
      <c r="IO3" s="727"/>
      <c r="IP3" s="84" t="s">
        <v>468</v>
      </c>
      <c r="LQ3" s="727" t="s">
        <v>469</v>
      </c>
      <c r="LR3" s="727"/>
      <c r="LS3" s="727"/>
      <c r="LT3" s="727"/>
      <c r="LU3" s="727"/>
      <c r="LV3" s="727"/>
      <c r="LW3" s="727"/>
      <c r="LX3" s="84" t="s">
        <v>468</v>
      </c>
      <c r="OW3" s="727" t="s">
        <v>469</v>
      </c>
      <c r="OX3" s="727"/>
      <c r="OY3" s="727"/>
      <c r="OZ3" s="727"/>
      <c r="PA3" s="727"/>
      <c r="PB3" s="727"/>
      <c r="PC3" s="727"/>
      <c r="PD3" s="84" t="s">
        <v>468</v>
      </c>
      <c r="RD3" s="919"/>
      <c r="RE3" s="840"/>
      <c r="RF3" s="920"/>
      <c r="RP3" s="85" t="s">
        <v>465</v>
      </c>
      <c r="RQ3" s="144"/>
      <c r="RR3" s="144"/>
      <c r="SK3" s="727" t="s">
        <v>469</v>
      </c>
      <c r="SL3" s="727"/>
      <c r="SM3" s="727"/>
      <c r="SN3" s="727"/>
      <c r="SO3" s="727"/>
      <c r="SP3" s="727"/>
      <c r="SQ3" s="727"/>
      <c r="SR3" s="84" t="s">
        <v>468</v>
      </c>
      <c r="WM3" s="144"/>
      <c r="WN3" s="144"/>
      <c r="WO3" s="144"/>
      <c r="WP3" s="144"/>
      <c r="WQ3" s="144"/>
      <c r="WR3" s="144"/>
      <c r="XP3" s="727" t="s">
        <v>469</v>
      </c>
      <c r="XQ3" s="727"/>
      <c r="XR3" s="727"/>
      <c r="XS3" s="727"/>
      <c r="XT3" s="727"/>
      <c r="XU3" s="727"/>
      <c r="XV3" s="727"/>
      <c r="XW3" s="84" t="s">
        <v>468</v>
      </c>
      <c r="ZL3" s="1098"/>
      <c r="ZM3" s="1099"/>
      <c r="ZN3" s="1098"/>
      <c r="ZO3" s="1099"/>
      <c r="ZP3" s="1098"/>
      <c r="ZQ3" s="1099"/>
      <c r="ZR3" s="1095"/>
      <c r="ZS3" s="1095"/>
      <c r="ZT3" s="1095"/>
      <c r="ZU3" s="1095"/>
      <c r="ZV3" s="1095"/>
      <c r="ZW3" s="1095"/>
      <c r="ZX3" s="1095"/>
      <c r="ZY3" s="1095"/>
      <c r="ACL3" s="727" t="s">
        <v>469</v>
      </c>
      <c r="ACM3" s="727"/>
      <c r="ACN3" s="727"/>
      <c r="ACO3" s="727"/>
      <c r="ACP3" s="727"/>
      <c r="ACQ3" s="727"/>
      <c r="ACR3" s="727"/>
      <c r="ACS3" s="84" t="s">
        <v>468</v>
      </c>
      <c r="AFK3" s="144"/>
      <c r="AFL3" s="144"/>
      <c r="AFM3" s="144"/>
      <c r="AHE3" s="144"/>
      <c r="AHF3" s="144"/>
      <c r="AHG3" s="144"/>
      <c r="AHH3" s="144"/>
      <c r="AHI3" s="144"/>
    </row>
    <row r="4" spans="4:1024 1034:1055" ht="48" customHeight="1" thickBot="1">
      <c r="D4" s="727" t="s">
        <v>469</v>
      </c>
      <c r="E4" s="727"/>
      <c r="F4" s="727"/>
      <c r="G4" s="727"/>
      <c r="H4" s="727"/>
      <c r="I4" s="727"/>
      <c r="J4" s="727"/>
      <c r="K4" s="84" t="s">
        <v>468</v>
      </c>
      <c r="N4" s="145" t="s">
        <v>449</v>
      </c>
      <c r="O4" s="145" t="s">
        <v>450</v>
      </c>
      <c r="P4" s="145" t="s">
        <v>451</v>
      </c>
      <c r="Q4" s="145" t="s">
        <v>452</v>
      </c>
      <c r="R4" s="145" t="s">
        <v>453</v>
      </c>
      <c r="S4" s="145" t="s">
        <v>454</v>
      </c>
      <c r="W4" s="85" t="s">
        <v>465</v>
      </c>
      <c r="X4" s="1547" t="s">
        <v>874</v>
      </c>
      <c r="Y4" s="1547"/>
      <c r="Z4" s="1547"/>
      <c r="AA4" s="1547"/>
      <c r="AB4" s="1547"/>
      <c r="AK4" s="1502" t="s">
        <v>1</v>
      </c>
      <c r="AL4" s="1502"/>
      <c r="AM4" s="1502"/>
      <c r="AN4" s="1502"/>
      <c r="AO4" s="1502"/>
      <c r="AP4" s="1502"/>
      <c r="AQ4" s="1552">
        <v>30000</v>
      </c>
      <c r="AR4" s="1552"/>
      <c r="AS4" s="816" t="s">
        <v>3</v>
      </c>
      <c r="AT4" s="816"/>
      <c r="AU4" s="542"/>
      <c r="AV4" s="1548" t="s">
        <v>1810</v>
      </c>
      <c r="AW4" s="1549"/>
      <c r="AX4" s="542"/>
      <c r="BM4" s="1385" t="s">
        <v>662</v>
      </c>
      <c r="BN4" s="1385"/>
      <c r="BO4" s="1385"/>
      <c r="BP4" s="1385"/>
      <c r="BQ4" s="1385"/>
      <c r="BR4" s="1385"/>
      <c r="BS4" s="1385"/>
      <c r="BT4" s="84" t="s">
        <v>466</v>
      </c>
      <c r="BX4" s="1321"/>
      <c r="BZ4" s="176"/>
      <c r="CA4" s="172"/>
      <c r="CB4" s="177"/>
      <c r="DO4" s="1385" t="s">
        <v>662</v>
      </c>
      <c r="DP4" s="1385"/>
      <c r="DQ4" s="1385"/>
      <c r="DR4" s="1385"/>
      <c r="DS4" s="1385"/>
      <c r="DT4" s="1385"/>
      <c r="DU4" s="1385"/>
      <c r="DV4" s="84" t="s">
        <v>468</v>
      </c>
      <c r="FU4" s="85" t="s">
        <v>465</v>
      </c>
      <c r="FW4" s="1385" t="s">
        <v>662</v>
      </c>
      <c r="FX4" s="1385"/>
      <c r="FY4" s="1385"/>
      <c r="FZ4" s="1385"/>
      <c r="GA4" s="1385"/>
      <c r="GB4" s="1385"/>
      <c r="GC4" s="1385"/>
      <c r="GD4" s="84" t="s">
        <v>468</v>
      </c>
      <c r="IG4" s="85" t="s">
        <v>465</v>
      </c>
      <c r="II4" s="1385" t="s">
        <v>662</v>
      </c>
      <c r="IJ4" s="1385"/>
      <c r="IK4" s="1385"/>
      <c r="IL4" s="1385"/>
      <c r="IM4" s="1385"/>
      <c r="IN4" s="1385"/>
      <c r="IO4" s="1385"/>
      <c r="IP4" s="84" t="s">
        <v>468</v>
      </c>
      <c r="LO4" s="85" t="s">
        <v>465</v>
      </c>
      <c r="LQ4" s="1385" t="s">
        <v>662</v>
      </c>
      <c r="LR4" s="1385"/>
      <c r="LS4" s="1385"/>
      <c r="LT4" s="1385"/>
      <c r="LU4" s="1385"/>
      <c r="LV4" s="1385"/>
      <c r="LW4" s="1385"/>
      <c r="LX4" s="84" t="s">
        <v>468</v>
      </c>
      <c r="MX4" s="144"/>
      <c r="MY4" s="144"/>
      <c r="MZ4" s="144"/>
      <c r="NA4" s="144"/>
      <c r="OU4" s="85" t="s">
        <v>465</v>
      </c>
      <c r="OW4" s="1385" t="s">
        <v>662</v>
      </c>
      <c r="OX4" s="1385"/>
      <c r="OY4" s="1385"/>
      <c r="OZ4" s="1385"/>
      <c r="PA4" s="1385"/>
      <c r="PB4" s="1385"/>
      <c r="PC4" s="1385"/>
      <c r="PD4" s="84" t="s">
        <v>468</v>
      </c>
      <c r="RD4" s="892"/>
      <c r="RE4" s="893"/>
      <c r="RF4" s="894"/>
      <c r="RQ4" s="144"/>
      <c r="RR4" s="144"/>
      <c r="RY4" s="569"/>
      <c r="SK4" s="1385" t="s">
        <v>662</v>
      </c>
      <c r="SL4" s="1385"/>
      <c r="SM4" s="1385"/>
      <c r="SN4" s="1385"/>
      <c r="SO4" s="1385"/>
      <c r="SP4" s="1385"/>
      <c r="SQ4" s="1385"/>
      <c r="SR4" s="84" t="s">
        <v>468</v>
      </c>
      <c r="VY4" s="849" t="s">
        <v>758</v>
      </c>
      <c r="VZ4" s="850"/>
      <c r="XN4" s="85" t="s">
        <v>465</v>
      </c>
      <c r="XP4" s="1385" t="s">
        <v>662</v>
      </c>
      <c r="XQ4" s="1385"/>
      <c r="XR4" s="1385"/>
      <c r="XS4" s="1385"/>
      <c r="XT4" s="1385"/>
      <c r="XU4" s="1385"/>
      <c r="XV4" s="1385"/>
      <c r="XW4" s="84" t="s">
        <v>468</v>
      </c>
      <c r="YF4" s="739"/>
      <c r="YG4" s="739"/>
      <c r="ZL4" s="1096"/>
      <c r="ZM4" s="1097"/>
      <c r="ZN4" s="1096"/>
      <c r="ZO4" s="1097"/>
      <c r="ZP4" s="1096"/>
      <c r="ZQ4" s="1097"/>
      <c r="ZR4" s="1095"/>
      <c r="ZS4" s="1095"/>
      <c r="ZT4" s="1095"/>
      <c r="ZU4" s="1095"/>
      <c r="ZV4" s="1095"/>
      <c r="ZW4" s="1095"/>
      <c r="ZX4" s="1095"/>
      <c r="ZY4" s="1095"/>
      <c r="AAK4" s="769" t="s">
        <v>462</v>
      </c>
      <c r="AAL4" s="769"/>
      <c r="AAM4" s="769"/>
      <c r="AAN4" s="769"/>
      <c r="AAO4" s="769"/>
      <c r="AAP4" s="769"/>
      <c r="AAQ4" s="769"/>
      <c r="AAR4" s="769"/>
      <c r="AAS4" s="769"/>
      <c r="AAT4" s="769"/>
      <c r="AAU4" s="769"/>
      <c r="AAV4" s="769"/>
      <c r="AAX4" s="821" t="s">
        <v>462</v>
      </c>
      <c r="AAY4" s="822"/>
      <c r="AAZ4" s="822"/>
      <c r="ABA4" s="822"/>
      <c r="ABB4" s="822"/>
      <c r="ABC4" s="822"/>
      <c r="ABD4" s="822"/>
      <c r="ABE4" s="822"/>
      <c r="ABF4" s="823"/>
      <c r="ABH4" s="821" t="s">
        <v>462</v>
      </c>
      <c r="ABI4" s="822"/>
      <c r="ABJ4" s="822"/>
      <c r="ABK4" s="822"/>
      <c r="ABL4" s="822"/>
      <c r="ABM4" s="823"/>
      <c r="ABO4" s="769" t="s">
        <v>462</v>
      </c>
      <c r="ABP4" s="769"/>
      <c r="ABQ4" s="769"/>
      <c r="ABR4" s="769"/>
      <c r="ABS4" s="769"/>
      <c r="ABU4" s="821" t="s">
        <v>462</v>
      </c>
      <c r="ABV4" s="822"/>
      <c r="ABW4" s="822"/>
      <c r="ABX4" s="823"/>
      <c r="ACJ4" s="85" t="s">
        <v>465</v>
      </c>
      <c r="ACL4" s="1385" t="s">
        <v>662</v>
      </c>
      <c r="ACM4" s="1385"/>
      <c r="ACN4" s="1385"/>
      <c r="ACO4" s="1385"/>
      <c r="ACP4" s="1385"/>
      <c r="ACQ4" s="1385"/>
      <c r="ACR4" s="1385"/>
      <c r="ACS4" s="84" t="s">
        <v>468</v>
      </c>
      <c r="ADK4" s="821" t="s">
        <v>462</v>
      </c>
      <c r="ADL4" s="822"/>
      <c r="ADM4" s="822"/>
      <c r="ADN4" s="822"/>
      <c r="ADO4" s="822"/>
      <c r="ADP4" s="823"/>
      <c r="ADR4" s="769" t="s">
        <v>462</v>
      </c>
      <c r="ADS4" s="769"/>
      <c r="ADT4" s="769"/>
      <c r="ADU4" s="769"/>
      <c r="ADV4" s="769"/>
      <c r="ADX4" s="769" t="s">
        <v>462</v>
      </c>
      <c r="ADY4" s="769"/>
      <c r="ADZ4" s="769"/>
      <c r="AEA4" s="769"/>
      <c r="AEC4" s="821" t="s">
        <v>462</v>
      </c>
      <c r="AED4" s="822"/>
      <c r="AEE4" s="823"/>
      <c r="AFC4" s="536" t="s">
        <v>877</v>
      </c>
      <c r="AFE4" s="540"/>
      <c r="AFF4" s="541"/>
      <c r="AFH4" s="536" t="s">
        <v>774</v>
      </c>
      <c r="AFJ4" s="539"/>
      <c r="AFK4" s="144"/>
      <c r="AFL4" s="144"/>
      <c r="AFM4" s="144"/>
      <c r="AFO4" s="1547">
        <v>0</v>
      </c>
      <c r="AFP4" s="1547"/>
      <c r="AFQ4" s="1547">
        <v>1</v>
      </c>
      <c r="AFR4" s="1547"/>
      <c r="AGK4" s="144"/>
      <c r="AGL4" s="144"/>
      <c r="AGM4" s="144"/>
      <c r="AGN4" s="144"/>
      <c r="AGO4" s="144"/>
      <c r="AGP4" s="144"/>
      <c r="AGQ4" s="144"/>
      <c r="AGR4" s="144"/>
      <c r="AGS4" s="144"/>
      <c r="AGT4" s="144"/>
      <c r="AHE4" s="144"/>
      <c r="AHF4" s="144"/>
      <c r="AHG4" s="144"/>
      <c r="AHH4" s="144"/>
      <c r="AHI4" s="144"/>
      <c r="AMC4" s="727" t="s">
        <v>469</v>
      </c>
      <c r="AMD4" s="727"/>
      <c r="AME4" s="727"/>
      <c r="AMF4" s="727"/>
      <c r="AMG4" s="727"/>
      <c r="AMH4" s="727"/>
      <c r="AMI4" s="727"/>
      <c r="AMJ4" s="84" t="s">
        <v>468</v>
      </c>
    </row>
    <row r="5" spans="4:1024 1034:1055" ht="48" customHeight="1" thickBot="1">
      <c r="D5" s="1385" t="s">
        <v>662</v>
      </c>
      <c r="E5" s="1385"/>
      <c r="F5" s="1385"/>
      <c r="G5" s="1385"/>
      <c r="H5" s="1385"/>
      <c r="I5" s="1385"/>
      <c r="J5" s="1385"/>
      <c r="K5" s="84" t="s">
        <v>468</v>
      </c>
      <c r="N5" s="145" t="s">
        <v>455</v>
      </c>
      <c r="O5" s="145" t="s">
        <v>456</v>
      </c>
      <c r="P5" s="145" t="s">
        <v>65</v>
      </c>
      <c r="Q5" s="145" t="s">
        <v>457</v>
      </c>
      <c r="R5" s="145" t="s">
        <v>458</v>
      </c>
      <c r="S5" s="145" t="s">
        <v>459</v>
      </c>
      <c r="AK5" s="1502" t="s">
        <v>1499</v>
      </c>
      <c r="AL5" s="1502"/>
      <c r="AM5" s="1502"/>
      <c r="AN5" s="1502"/>
      <c r="AO5" s="1502"/>
      <c r="AP5" s="1502"/>
      <c r="AQ5" s="1552">
        <v>3000</v>
      </c>
      <c r="AR5" s="1552"/>
      <c r="AS5" s="816" t="s">
        <v>4</v>
      </c>
      <c r="AT5" s="816"/>
      <c r="AU5" s="542"/>
      <c r="AV5" s="1548" t="s">
        <v>1720</v>
      </c>
      <c r="AW5" s="1549"/>
      <c r="AX5" s="542"/>
      <c r="BM5" s="1385" t="s">
        <v>746</v>
      </c>
      <c r="BN5" s="1385"/>
      <c r="BO5" s="1385"/>
      <c r="BP5" s="1385"/>
      <c r="BQ5" s="1385"/>
      <c r="BR5" s="1385"/>
      <c r="BS5" s="1385"/>
      <c r="BT5" s="84" t="s">
        <v>745</v>
      </c>
      <c r="BZ5" s="178"/>
      <c r="CA5" s="179"/>
      <c r="CB5" s="180"/>
      <c r="DO5" s="1385" t="s">
        <v>662</v>
      </c>
      <c r="DP5" s="1385"/>
      <c r="DQ5" s="1385"/>
      <c r="DR5" s="1385"/>
      <c r="DS5" s="1385"/>
      <c r="DT5" s="1385"/>
      <c r="DU5" s="1385"/>
      <c r="DV5" s="84" t="s">
        <v>466</v>
      </c>
      <c r="FW5" s="1385" t="s">
        <v>662</v>
      </c>
      <c r="FX5" s="1385"/>
      <c r="FY5" s="1385"/>
      <c r="FZ5" s="1385"/>
      <c r="GA5" s="1385"/>
      <c r="GB5" s="1385"/>
      <c r="GC5" s="1385"/>
      <c r="GD5" s="84" t="s">
        <v>466</v>
      </c>
      <c r="II5" s="1385" t="s">
        <v>662</v>
      </c>
      <c r="IJ5" s="1385"/>
      <c r="IK5" s="1385"/>
      <c r="IL5" s="1385"/>
      <c r="IM5" s="1385"/>
      <c r="IN5" s="1385"/>
      <c r="IO5" s="1385"/>
      <c r="IP5" s="84" t="s">
        <v>466</v>
      </c>
      <c r="LQ5" s="1385" t="s">
        <v>662</v>
      </c>
      <c r="LR5" s="1385"/>
      <c r="LS5" s="1385"/>
      <c r="LT5" s="1385"/>
      <c r="LU5" s="1385"/>
      <c r="LV5" s="1385"/>
      <c r="LW5" s="1385"/>
      <c r="LX5" s="84" t="s">
        <v>466</v>
      </c>
      <c r="MX5" s="144"/>
      <c r="MY5" s="144"/>
      <c r="MZ5" s="144"/>
      <c r="NA5" s="144"/>
      <c r="OW5" s="1385" t="s">
        <v>662</v>
      </c>
      <c r="OX5" s="1385"/>
      <c r="OY5" s="1385"/>
      <c r="OZ5" s="1385"/>
      <c r="PA5" s="1385"/>
      <c r="PB5" s="1385"/>
      <c r="PC5" s="1385"/>
      <c r="PD5" s="84" t="s">
        <v>466</v>
      </c>
      <c r="SK5" s="1385" t="s">
        <v>662</v>
      </c>
      <c r="SL5" s="1385"/>
      <c r="SM5" s="1385"/>
      <c r="SN5" s="1385"/>
      <c r="SO5" s="1385"/>
      <c r="SP5" s="1385"/>
      <c r="SQ5" s="1385"/>
      <c r="SR5" s="84" t="s">
        <v>466</v>
      </c>
      <c r="VY5" s="851"/>
      <c r="VZ5" s="852"/>
      <c r="XP5" s="1385" t="s">
        <v>662</v>
      </c>
      <c r="XQ5" s="1385"/>
      <c r="XR5" s="1385"/>
      <c r="XS5" s="1385"/>
      <c r="XT5" s="1385"/>
      <c r="XU5" s="1385"/>
      <c r="XV5" s="1385"/>
      <c r="XW5" s="84" t="s">
        <v>466</v>
      </c>
      <c r="YF5" s="739"/>
      <c r="YG5" s="739"/>
      <c r="ZL5" s="1098"/>
      <c r="ZM5" s="1099"/>
      <c r="ZN5" s="1098"/>
      <c r="ZO5" s="1099"/>
      <c r="ZP5" s="1098"/>
      <c r="ZQ5" s="1099"/>
      <c r="ZR5" s="1095"/>
      <c r="ZS5" s="1095"/>
      <c r="ZT5" s="1095"/>
      <c r="ZU5" s="1095"/>
      <c r="ZV5" s="1095"/>
      <c r="ZW5" s="1095"/>
      <c r="ZX5" s="1095"/>
      <c r="ZY5" s="1095"/>
      <c r="AAA5" s="80"/>
      <c r="AAB5" s="80"/>
      <c r="AAC5" s="79"/>
      <c r="AAD5" s="79"/>
      <c r="AAE5" s="80"/>
      <c r="AAF5" s="80"/>
      <c r="AAG5" s="79"/>
      <c r="AAH5" s="79"/>
      <c r="AAK5" s="767"/>
      <c r="AAL5" s="767"/>
      <c r="AAM5" s="767"/>
      <c r="AAN5" s="767"/>
      <c r="AAO5" s="767"/>
      <c r="AAP5" s="767"/>
      <c r="AAQ5" s="767"/>
      <c r="AAR5" s="767"/>
      <c r="AAS5" s="767"/>
      <c r="AAT5" s="767"/>
      <c r="AAU5" s="767"/>
      <c r="AAV5" s="767"/>
      <c r="AAX5" s="919"/>
      <c r="AAY5" s="840"/>
      <c r="AAZ5" s="840"/>
      <c r="ABA5" s="840"/>
      <c r="ABB5" s="840"/>
      <c r="ABC5" s="840"/>
      <c r="ABD5" s="840"/>
      <c r="ABE5" s="840"/>
      <c r="ABF5" s="920"/>
      <c r="ABG5" s="229"/>
      <c r="ABH5" s="919"/>
      <c r="ABI5" s="840"/>
      <c r="ABJ5" s="840"/>
      <c r="ABK5" s="840"/>
      <c r="ABL5" s="840"/>
      <c r="ABM5" s="920"/>
      <c r="ABO5" s="767"/>
      <c r="ABP5" s="767"/>
      <c r="ABQ5" s="767"/>
      <c r="ABR5" s="767"/>
      <c r="ABS5" s="767"/>
      <c r="ABU5" s="919"/>
      <c r="ABV5" s="840"/>
      <c r="ABW5" s="840"/>
      <c r="ABX5" s="920"/>
      <c r="ACL5" s="1385" t="s">
        <v>662</v>
      </c>
      <c r="ACM5" s="1385"/>
      <c r="ACN5" s="1385"/>
      <c r="ACO5" s="1385"/>
      <c r="ACP5" s="1385"/>
      <c r="ACQ5" s="1385"/>
      <c r="ACR5" s="1385"/>
      <c r="ACS5" s="84" t="s">
        <v>466</v>
      </c>
      <c r="ADK5" s="919"/>
      <c r="ADL5" s="840"/>
      <c r="ADM5" s="840"/>
      <c r="ADN5" s="840"/>
      <c r="ADO5" s="840"/>
      <c r="ADP5" s="920"/>
      <c r="ADR5" s="767"/>
      <c r="ADS5" s="767"/>
      <c r="ADT5" s="767"/>
      <c r="ADU5" s="767"/>
      <c r="ADV5" s="767"/>
      <c r="ADX5" s="890"/>
      <c r="ADY5" s="841"/>
      <c r="ADZ5" s="841"/>
      <c r="AEA5" s="891"/>
      <c r="AEC5" s="919"/>
      <c r="AED5" s="840"/>
      <c r="AEE5" s="920"/>
      <c r="AFK5" s="144"/>
      <c r="AFL5" s="144"/>
      <c r="AFM5" s="144"/>
      <c r="AFO5" s="1547">
        <v>1.1000000000000001</v>
      </c>
      <c r="AFP5" s="1547"/>
      <c r="AFQ5" s="1547">
        <v>0.8</v>
      </c>
      <c r="AFR5" s="1547"/>
      <c r="AGK5" s="144"/>
      <c r="AGL5" s="144"/>
      <c r="AGM5" s="144"/>
      <c r="AGN5" s="144"/>
      <c r="AGO5" s="144"/>
      <c r="AGP5" s="144"/>
      <c r="AGQ5" s="144"/>
      <c r="AGR5" s="144"/>
      <c r="AGS5" s="144"/>
      <c r="AGT5" s="144"/>
      <c r="AHE5" s="144"/>
      <c r="AHF5" s="144"/>
      <c r="AHG5" s="144"/>
      <c r="AHH5" s="144"/>
      <c r="AHI5" s="144"/>
      <c r="AHO5" s="144"/>
      <c r="AHP5" s="144"/>
      <c r="AHQ5" s="144"/>
      <c r="AHR5" s="144"/>
      <c r="AHS5" s="144"/>
      <c r="AHT5" s="144"/>
      <c r="AHU5" s="144"/>
      <c r="AMA5" s="85" t="s">
        <v>465</v>
      </c>
      <c r="AMC5" s="1385" t="s">
        <v>662</v>
      </c>
      <c r="AMD5" s="1385"/>
      <c r="AME5" s="1385"/>
      <c r="AMF5" s="1385"/>
      <c r="AMG5" s="1385"/>
      <c r="AMH5" s="1385"/>
      <c r="AMI5" s="1385"/>
      <c r="AMJ5" s="84" t="s">
        <v>468</v>
      </c>
    </row>
    <row r="6" spans="4:1024 1034:1055" ht="48" customHeight="1" thickBot="1">
      <c r="D6" s="1385" t="s">
        <v>662</v>
      </c>
      <c r="E6" s="1385"/>
      <c r="F6" s="1385"/>
      <c r="G6" s="1385"/>
      <c r="H6" s="1385"/>
      <c r="I6" s="1385"/>
      <c r="J6" s="1385"/>
      <c r="K6" s="84" t="s">
        <v>466</v>
      </c>
      <c r="N6" s="145" t="s">
        <v>757</v>
      </c>
      <c r="O6" s="145" t="s">
        <v>980</v>
      </c>
      <c r="P6" s="145" t="s">
        <v>1096</v>
      </c>
      <c r="Q6" s="145" t="s">
        <v>1175</v>
      </c>
      <c r="R6" s="145" t="s">
        <v>1690</v>
      </c>
      <c r="S6" s="145" t="s">
        <v>1812</v>
      </c>
      <c r="U6" s="67" t="s">
        <v>465</v>
      </c>
      <c r="V6" s="66" t="s">
        <v>468</v>
      </c>
      <c r="AK6" s="1502" t="s">
        <v>2</v>
      </c>
      <c r="AL6" s="1502"/>
      <c r="AM6" s="1502"/>
      <c r="AN6" s="1502"/>
      <c r="AO6" s="1502"/>
      <c r="AP6" s="1502"/>
      <c r="AQ6" s="1553">
        <v>380</v>
      </c>
      <c r="AR6" s="1554"/>
      <c r="AS6" s="816" t="s">
        <v>5</v>
      </c>
      <c r="AT6" s="816"/>
      <c r="AU6" s="542"/>
      <c r="AV6" s="1548" t="s">
        <v>1811</v>
      </c>
      <c r="AW6" s="1549"/>
      <c r="AX6" s="542"/>
      <c r="BM6" s="727" t="s">
        <v>469</v>
      </c>
      <c r="BN6" s="727"/>
      <c r="BO6" s="727"/>
      <c r="BP6" s="727"/>
      <c r="BQ6" s="727"/>
      <c r="BR6" s="727"/>
      <c r="BS6" s="727"/>
      <c r="BT6" s="84" t="s">
        <v>466</v>
      </c>
      <c r="DO6" s="1385" t="s">
        <v>746</v>
      </c>
      <c r="DP6" s="1385"/>
      <c r="DQ6" s="1385"/>
      <c r="DR6" s="1385"/>
      <c r="DS6" s="1385"/>
      <c r="DT6" s="1385"/>
      <c r="DU6" s="1385"/>
      <c r="DV6" s="84" t="s">
        <v>745</v>
      </c>
      <c r="FW6" s="1385" t="s">
        <v>746</v>
      </c>
      <c r="FX6" s="1385"/>
      <c r="FY6" s="1385"/>
      <c r="FZ6" s="1385"/>
      <c r="GA6" s="1385"/>
      <c r="GB6" s="1385"/>
      <c r="GC6" s="1385"/>
      <c r="GD6" s="84" t="s">
        <v>745</v>
      </c>
      <c r="HH6" s="821" t="s">
        <v>462</v>
      </c>
      <c r="HI6" s="822"/>
      <c r="HJ6" s="822"/>
      <c r="HK6" s="822"/>
      <c r="HL6" s="822"/>
      <c r="HM6" s="823"/>
      <c r="HO6" s="769" t="s">
        <v>462</v>
      </c>
      <c r="HP6" s="769"/>
      <c r="HQ6" s="769"/>
      <c r="HR6" s="769"/>
      <c r="HS6" s="769"/>
      <c r="HU6" s="769" t="s">
        <v>462</v>
      </c>
      <c r="HV6" s="769"/>
      <c r="HW6" s="769"/>
      <c r="HX6" s="769"/>
      <c r="HZ6" s="821" t="s">
        <v>462</v>
      </c>
      <c r="IA6" s="822"/>
      <c r="IB6" s="823"/>
      <c r="II6" s="1385" t="s">
        <v>746</v>
      </c>
      <c r="IJ6" s="1385"/>
      <c r="IK6" s="1385"/>
      <c r="IL6" s="1385"/>
      <c r="IM6" s="1385"/>
      <c r="IN6" s="1385"/>
      <c r="IO6" s="1385"/>
      <c r="IP6" s="84" t="s">
        <v>745</v>
      </c>
      <c r="JS6" s="821" t="s">
        <v>462</v>
      </c>
      <c r="JT6" s="822"/>
      <c r="JU6" s="822"/>
      <c r="JV6" s="822"/>
      <c r="JW6" s="822"/>
      <c r="JX6" s="823"/>
      <c r="JZ6" s="769" t="s">
        <v>462</v>
      </c>
      <c r="KA6" s="769"/>
      <c r="KB6" s="769"/>
      <c r="KC6" s="769"/>
      <c r="KD6" s="769"/>
      <c r="KF6" s="769" t="s">
        <v>462</v>
      </c>
      <c r="KG6" s="769"/>
      <c r="KH6" s="769"/>
      <c r="KI6" s="769"/>
      <c r="KK6" s="821" t="s">
        <v>462</v>
      </c>
      <c r="KL6" s="822"/>
      <c r="KM6" s="823"/>
      <c r="LQ6" s="1385" t="s">
        <v>746</v>
      </c>
      <c r="LR6" s="1385"/>
      <c r="LS6" s="1385"/>
      <c r="LT6" s="1385"/>
      <c r="LU6" s="1385"/>
      <c r="LV6" s="1385"/>
      <c r="LW6" s="1385"/>
      <c r="LX6" s="84" t="s">
        <v>745</v>
      </c>
      <c r="MX6" s="144"/>
      <c r="MY6" s="144"/>
      <c r="MZ6" s="144"/>
      <c r="NA6" s="144"/>
      <c r="NE6" s="821" t="s">
        <v>462</v>
      </c>
      <c r="NF6" s="822"/>
      <c r="NG6" s="822"/>
      <c r="NH6" s="822"/>
      <c r="NI6" s="822"/>
      <c r="NJ6" s="823"/>
      <c r="NL6" s="821" t="s">
        <v>462</v>
      </c>
      <c r="NM6" s="822"/>
      <c r="NN6" s="822"/>
      <c r="NO6" s="822"/>
      <c r="NP6" s="823"/>
      <c r="NR6" s="769" t="s">
        <v>462</v>
      </c>
      <c r="NS6" s="769"/>
      <c r="NT6" s="769"/>
      <c r="NU6" s="769"/>
      <c r="NW6" s="821" t="s">
        <v>462</v>
      </c>
      <c r="NX6" s="822"/>
      <c r="NY6" s="823"/>
      <c r="OW6" s="1385" t="s">
        <v>746</v>
      </c>
      <c r="OX6" s="1385"/>
      <c r="OY6" s="1385"/>
      <c r="OZ6" s="1385"/>
      <c r="PA6" s="1385"/>
      <c r="PB6" s="1385"/>
      <c r="PC6" s="1385"/>
      <c r="PD6" s="84" t="s">
        <v>745</v>
      </c>
      <c r="QN6" s="821" t="s">
        <v>462</v>
      </c>
      <c r="QO6" s="822"/>
      <c r="QP6" s="822"/>
      <c r="QQ6" s="822"/>
      <c r="QR6" s="822"/>
      <c r="QS6" s="823"/>
      <c r="QU6" s="769" t="s">
        <v>462</v>
      </c>
      <c r="QV6" s="769"/>
      <c r="QW6" s="769"/>
      <c r="QX6" s="769"/>
      <c r="QY6" s="769"/>
      <c r="QZ6" s="769"/>
      <c r="RA6" s="769"/>
      <c r="RB6" s="769"/>
      <c r="RD6" s="769" t="s">
        <v>462</v>
      </c>
      <c r="RE6" s="769"/>
      <c r="RF6" s="769"/>
      <c r="RG6" s="769"/>
      <c r="SK6" s="1385" t="s">
        <v>746</v>
      </c>
      <c r="SL6" s="1385"/>
      <c r="SM6" s="1385"/>
      <c r="SN6" s="1385"/>
      <c r="SO6" s="1385"/>
      <c r="SP6" s="1385"/>
      <c r="SQ6" s="1385"/>
      <c r="SR6" s="84" t="s">
        <v>745</v>
      </c>
      <c r="TO6" s="821" t="s">
        <v>462</v>
      </c>
      <c r="TP6" s="822"/>
      <c r="TQ6" s="822"/>
      <c r="TR6" s="822"/>
      <c r="TS6" s="822"/>
      <c r="TT6" s="823"/>
      <c r="UG6" s="769" t="s">
        <v>462</v>
      </c>
      <c r="UH6" s="769"/>
      <c r="UI6" s="769"/>
      <c r="UJ6" s="769"/>
      <c r="UK6" s="769"/>
      <c r="UM6" s="769" t="s">
        <v>462</v>
      </c>
      <c r="UN6" s="769"/>
      <c r="UO6" s="769"/>
      <c r="UP6" s="769"/>
      <c r="UR6" s="821" t="s">
        <v>462</v>
      </c>
      <c r="US6" s="822"/>
      <c r="UT6" s="823"/>
      <c r="XP6" s="1385" t="s">
        <v>746</v>
      </c>
      <c r="XQ6" s="1385"/>
      <c r="XR6" s="1385"/>
      <c r="XS6" s="1385"/>
      <c r="XT6" s="1385"/>
      <c r="XU6" s="1385"/>
      <c r="XV6" s="1385"/>
      <c r="XW6" s="84" t="s">
        <v>745</v>
      </c>
      <c r="YF6" s="828"/>
      <c r="YG6" s="828"/>
      <c r="ZL6" s="1096"/>
      <c r="ZM6" s="1097"/>
      <c r="ZN6" s="1096"/>
      <c r="ZO6" s="1097"/>
      <c r="ZP6" s="1096"/>
      <c r="ZQ6" s="1097"/>
      <c r="ZR6" s="1095"/>
      <c r="ZS6" s="1095"/>
      <c r="ZT6" s="1095"/>
      <c r="ZU6" s="1095"/>
      <c r="ZV6" s="1095"/>
      <c r="ZW6" s="1095"/>
      <c r="AAA6" s="80"/>
      <c r="AAB6" s="79"/>
      <c r="AAC6" s="79"/>
      <c r="AAD6" s="80"/>
      <c r="AAE6" s="80"/>
      <c r="AAF6" s="79"/>
      <c r="AAG6" s="79"/>
      <c r="AAH6" s="80"/>
      <c r="AAK6" s="767"/>
      <c r="AAL6" s="767"/>
      <c r="AAM6" s="767"/>
      <c r="AAN6" s="767"/>
      <c r="AAO6" s="767"/>
      <c r="AAP6" s="767"/>
      <c r="AAQ6" s="767"/>
      <c r="AAR6" s="767"/>
      <c r="AAS6" s="767"/>
      <c r="AAT6" s="767"/>
      <c r="AAU6" s="767"/>
      <c r="AAV6" s="767"/>
      <c r="AAX6" s="890"/>
      <c r="AAY6" s="841"/>
      <c r="AAZ6" s="841"/>
      <c r="ABA6" s="841"/>
      <c r="ABB6" s="841"/>
      <c r="ABC6" s="841"/>
      <c r="ABD6" s="841"/>
      <c r="ABE6" s="841"/>
      <c r="ABF6" s="891"/>
      <c r="ABH6" s="890"/>
      <c r="ABI6" s="841"/>
      <c r="ABJ6" s="841"/>
      <c r="ABK6" s="841"/>
      <c r="ABL6" s="841"/>
      <c r="ABM6" s="891"/>
      <c r="ABO6" s="767"/>
      <c r="ABP6" s="767"/>
      <c r="ABQ6" s="767"/>
      <c r="ABR6" s="767"/>
      <c r="ABS6" s="767"/>
      <c r="ABU6" s="890"/>
      <c r="ABV6" s="841"/>
      <c r="ABW6" s="841"/>
      <c r="ABX6" s="891"/>
      <c r="ACL6" s="1385" t="s">
        <v>746</v>
      </c>
      <c r="ACM6" s="1385"/>
      <c r="ACN6" s="1385"/>
      <c r="ACO6" s="1385"/>
      <c r="ACP6" s="1385"/>
      <c r="ACQ6" s="1385"/>
      <c r="ACR6" s="1385"/>
      <c r="ACS6" s="84" t="s">
        <v>745</v>
      </c>
      <c r="ADK6" s="892"/>
      <c r="ADL6" s="893"/>
      <c r="ADM6" s="893"/>
      <c r="ADN6" s="893"/>
      <c r="ADO6" s="893"/>
      <c r="ADP6" s="894"/>
      <c r="ADR6" s="768"/>
      <c r="ADS6" s="768"/>
      <c r="ADT6" s="768"/>
      <c r="ADU6" s="768"/>
      <c r="ADV6" s="768"/>
      <c r="ADX6" s="892"/>
      <c r="ADY6" s="893"/>
      <c r="ADZ6" s="893"/>
      <c r="AEA6" s="894"/>
      <c r="AEC6" s="892"/>
      <c r="AED6" s="893"/>
      <c r="AEE6" s="894"/>
      <c r="AFK6" s="144"/>
      <c r="AFL6" s="144"/>
      <c r="AFM6" s="144"/>
      <c r="AFO6" s="1547">
        <v>2.2000000000000002</v>
      </c>
      <c r="AFP6" s="1547"/>
      <c r="AFQ6" s="1547">
        <v>0.7</v>
      </c>
      <c r="AFR6" s="1547"/>
      <c r="AGK6" s="144"/>
      <c r="AGL6" s="144"/>
      <c r="AGM6" s="144"/>
      <c r="AGN6" s="144"/>
      <c r="AGO6" s="144"/>
      <c r="AGP6" s="144"/>
      <c r="AGQ6" s="144"/>
      <c r="AGR6" s="144"/>
      <c r="AGS6" s="144"/>
      <c r="AGT6" s="144"/>
      <c r="AHE6" s="144"/>
      <c r="AHF6" s="144"/>
      <c r="AHG6" s="144"/>
      <c r="AHH6" s="144"/>
      <c r="AHI6" s="144"/>
      <c r="AHO6" s="144"/>
      <c r="AHP6" s="144"/>
      <c r="AHQ6" s="144"/>
      <c r="AHR6" s="144"/>
      <c r="AHS6" s="144"/>
      <c r="AHT6" s="144"/>
      <c r="AHU6" s="144"/>
      <c r="AMC6" s="1385" t="s">
        <v>662</v>
      </c>
      <c r="AMD6" s="1385"/>
      <c r="AME6" s="1385"/>
      <c r="AMF6" s="1385"/>
      <c r="AMG6" s="1385"/>
      <c r="AMH6" s="1385"/>
      <c r="AMI6" s="1385"/>
      <c r="AMJ6" s="84" t="s">
        <v>466</v>
      </c>
    </row>
    <row r="7" spans="4:1024 1034:1055" ht="48" customHeight="1" thickBot="1">
      <c r="D7" s="1385" t="s">
        <v>746</v>
      </c>
      <c r="E7" s="1385"/>
      <c r="F7" s="1385"/>
      <c r="G7" s="1385"/>
      <c r="H7" s="1385"/>
      <c r="I7" s="1385"/>
      <c r="J7" s="1385"/>
      <c r="K7" s="84" t="s">
        <v>745</v>
      </c>
      <c r="N7" s="145" t="s">
        <v>742</v>
      </c>
      <c r="O7" s="145" t="s">
        <v>741</v>
      </c>
      <c r="P7" s="145" t="s">
        <v>740</v>
      </c>
      <c r="Q7" s="145" t="s">
        <v>739</v>
      </c>
      <c r="R7" s="145" t="s">
        <v>1011</v>
      </c>
      <c r="S7" s="145" t="s">
        <v>1012</v>
      </c>
      <c r="U7" s="1542" t="s">
        <v>464</v>
      </c>
      <c r="V7" s="1542"/>
      <c r="W7" s="1542"/>
      <c r="AK7" s="816" t="s">
        <v>9</v>
      </c>
      <c r="AL7" s="816"/>
      <c r="AM7" s="816"/>
      <c r="AN7" s="816"/>
      <c r="AO7" s="816"/>
      <c r="AP7" s="816"/>
      <c r="AQ7" s="1503">
        <v>50</v>
      </c>
      <c r="AR7" s="1503"/>
      <c r="AS7" s="816" t="s">
        <v>10</v>
      </c>
      <c r="AT7" s="816"/>
      <c r="AU7" s="543"/>
      <c r="AV7" s="1550" t="s">
        <v>1809</v>
      </c>
      <c r="AW7" s="1551"/>
      <c r="AX7" s="543"/>
      <c r="BL7" s="15"/>
      <c r="DO7" s="727" t="s">
        <v>469</v>
      </c>
      <c r="DP7" s="727"/>
      <c r="DQ7" s="727"/>
      <c r="DR7" s="727"/>
      <c r="DS7" s="727"/>
      <c r="DT7" s="727"/>
      <c r="DU7" s="727"/>
      <c r="DV7" s="84" t="s">
        <v>466</v>
      </c>
      <c r="FW7" s="727" t="s">
        <v>469</v>
      </c>
      <c r="FX7" s="727"/>
      <c r="FY7" s="727"/>
      <c r="FZ7" s="727"/>
      <c r="GA7" s="727"/>
      <c r="GB7" s="727"/>
      <c r="GC7" s="727"/>
      <c r="GD7" s="84" t="s">
        <v>466</v>
      </c>
      <c r="HH7" s="919"/>
      <c r="HI7" s="840"/>
      <c r="HJ7" s="840"/>
      <c r="HK7" s="840"/>
      <c r="HL7" s="840"/>
      <c r="HM7" s="920"/>
      <c r="HO7" s="767"/>
      <c r="HP7" s="767"/>
      <c r="HQ7" s="767"/>
      <c r="HR7" s="767"/>
      <c r="HS7" s="767"/>
      <c r="HU7" s="890"/>
      <c r="HV7" s="841"/>
      <c r="HW7" s="841"/>
      <c r="HX7" s="891"/>
      <c r="HZ7" s="919"/>
      <c r="IA7" s="840"/>
      <c r="IB7" s="920"/>
      <c r="II7" s="727" t="s">
        <v>469</v>
      </c>
      <c r="IJ7" s="727"/>
      <c r="IK7" s="727"/>
      <c r="IL7" s="727"/>
      <c r="IM7" s="727"/>
      <c r="IN7" s="727"/>
      <c r="IO7" s="727"/>
      <c r="IP7" s="84" t="s">
        <v>466</v>
      </c>
      <c r="JS7" s="919"/>
      <c r="JT7" s="840"/>
      <c r="JU7" s="840"/>
      <c r="JV7" s="840"/>
      <c r="JW7" s="840"/>
      <c r="JX7" s="920"/>
      <c r="JZ7" s="767"/>
      <c r="KA7" s="767"/>
      <c r="KB7" s="767"/>
      <c r="KC7" s="767"/>
      <c r="KD7" s="767"/>
      <c r="KF7" s="890"/>
      <c r="KG7" s="841"/>
      <c r="KH7" s="841"/>
      <c r="KI7" s="891"/>
      <c r="KK7" s="919"/>
      <c r="KL7" s="840"/>
      <c r="KM7" s="920"/>
      <c r="LQ7" s="727" t="s">
        <v>469</v>
      </c>
      <c r="LR7" s="727"/>
      <c r="LS7" s="727"/>
      <c r="LT7" s="727"/>
      <c r="LU7" s="727"/>
      <c r="LV7" s="727"/>
      <c r="LW7" s="727"/>
      <c r="LX7" s="84" t="s">
        <v>466</v>
      </c>
      <c r="MX7" s="144"/>
      <c r="MY7" s="144"/>
      <c r="MZ7" s="144"/>
      <c r="NA7" s="144"/>
      <c r="NE7" s="919"/>
      <c r="NF7" s="840"/>
      <c r="NG7" s="840"/>
      <c r="NH7" s="840"/>
      <c r="NI7" s="840"/>
      <c r="NJ7" s="920"/>
      <c r="NL7" s="919"/>
      <c r="NM7" s="840"/>
      <c r="NN7" s="840"/>
      <c r="NO7" s="840"/>
      <c r="NP7" s="920"/>
      <c r="NR7" s="890"/>
      <c r="NS7" s="841"/>
      <c r="NT7" s="841"/>
      <c r="NU7" s="891"/>
      <c r="NW7" s="919"/>
      <c r="NX7" s="840"/>
      <c r="NY7" s="920"/>
      <c r="OW7" s="727" t="s">
        <v>469</v>
      </c>
      <c r="OX7" s="727"/>
      <c r="OY7" s="727"/>
      <c r="OZ7" s="727"/>
      <c r="PA7" s="727"/>
      <c r="PB7" s="727"/>
      <c r="PC7" s="727"/>
      <c r="PD7" s="84" t="s">
        <v>466</v>
      </c>
      <c r="PY7" s="144"/>
      <c r="PZ7" s="144"/>
      <c r="QA7" s="144"/>
      <c r="QB7" s="144"/>
      <c r="QC7" s="144"/>
      <c r="QD7" s="144"/>
      <c r="QN7" s="919"/>
      <c r="QO7" s="840"/>
      <c r="QP7" s="840"/>
      <c r="QQ7" s="840"/>
      <c r="QR7" s="840"/>
      <c r="QS7" s="920"/>
      <c r="QU7" s="767"/>
      <c r="QV7" s="767"/>
      <c r="QW7" s="767"/>
      <c r="QX7" s="767"/>
      <c r="QY7" s="767"/>
      <c r="QZ7" s="767"/>
      <c r="RA7" s="767"/>
      <c r="RB7" s="767"/>
      <c r="RD7" s="890"/>
      <c r="RE7" s="841"/>
      <c r="RF7" s="841"/>
      <c r="RG7" s="891"/>
      <c r="SK7" s="727" t="s">
        <v>469</v>
      </c>
      <c r="SL7" s="727"/>
      <c r="SM7" s="727"/>
      <c r="SN7" s="727"/>
      <c r="SO7" s="727"/>
      <c r="SP7" s="727"/>
      <c r="SQ7" s="727"/>
      <c r="SR7" s="84" t="s">
        <v>466</v>
      </c>
      <c r="TO7" s="919"/>
      <c r="TP7" s="840"/>
      <c r="TQ7" s="840"/>
      <c r="TR7" s="840"/>
      <c r="TS7" s="840"/>
      <c r="TT7" s="920"/>
      <c r="UG7" s="767"/>
      <c r="UH7" s="767"/>
      <c r="UI7" s="767"/>
      <c r="UJ7" s="767"/>
      <c r="UK7" s="767"/>
      <c r="UM7" s="890"/>
      <c r="UN7" s="841"/>
      <c r="UO7" s="841"/>
      <c r="UP7" s="891"/>
      <c r="UR7" s="919"/>
      <c r="US7" s="840"/>
      <c r="UT7" s="920"/>
      <c r="VP7" s="547" t="s">
        <v>1365</v>
      </c>
      <c r="VQ7" s="916">
        <f>$MN$59</f>
        <v>3.1821941356160961E-4</v>
      </c>
      <c r="VR7" s="916"/>
      <c r="XP7" s="727" t="s">
        <v>469</v>
      </c>
      <c r="XQ7" s="727"/>
      <c r="XR7" s="727"/>
      <c r="XS7" s="727"/>
      <c r="XT7" s="727"/>
      <c r="XU7" s="727"/>
      <c r="XV7" s="727"/>
      <c r="XW7" s="84" t="s">
        <v>466</v>
      </c>
      <c r="ZL7" s="1098"/>
      <c r="ZM7" s="1099"/>
      <c r="ZN7" s="1098"/>
      <c r="ZO7" s="1099"/>
      <c r="ZP7" s="1098"/>
      <c r="ZQ7" s="1099"/>
      <c r="ZR7" s="1095"/>
      <c r="ZS7" s="1095"/>
      <c r="ZT7" s="1095"/>
      <c r="ZU7" s="1095"/>
      <c r="ZV7" s="1095"/>
      <c r="ZW7" s="1095"/>
      <c r="AAA7" s="79"/>
      <c r="AAB7" s="79"/>
      <c r="AAC7" s="80"/>
      <c r="AAD7" s="80"/>
      <c r="AAE7" s="79"/>
      <c r="AAF7" s="79"/>
      <c r="AAG7" s="80"/>
      <c r="AAH7" s="80"/>
      <c r="AAK7" s="768"/>
      <c r="AAL7" s="768"/>
      <c r="AAM7" s="768"/>
      <c r="AAN7" s="768"/>
      <c r="AAO7" s="768"/>
      <c r="AAP7" s="768"/>
      <c r="AAQ7" s="768"/>
      <c r="AAR7" s="768"/>
      <c r="AAS7" s="768"/>
      <c r="AAT7" s="768"/>
      <c r="AAU7" s="768"/>
      <c r="AAV7" s="768"/>
      <c r="AAX7" s="892"/>
      <c r="AAY7" s="893"/>
      <c r="AAZ7" s="893"/>
      <c r="ABA7" s="893"/>
      <c r="ABB7" s="893"/>
      <c r="ABC7" s="893"/>
      <c r="ABD7" s="893"/>
      <c r="ABE7" s="893"/>
      <c r="ABF7" s="894"/>
      <c r="ABH7" s="892"/>
      <c r="ABI7" s="893"/>
      <c r="ABJ7" s="893"/>
      <c r="ABK7" s="893"/>
      <c r="ABL7" s="893"/>
      <c r="ABM7" s="894"/>
      <c r="ABO7" s="768"/>
      <c r="ABP7" s="768"/>
      <c r="ABQ7" s="768"/>
      <c r="ABR7" s="768"/>
      <c r="ABS7" s="768"/>
      <c r="ABU7" s="892"/>
      <c r="ABV7" s="893"/>
      <c r="ABW7" s="893"/>
      <c r="ABX7" s="894"/>
      <c r="ACL7" s="727" t="s">
        <v>469</v>
      </c>
      <c r="ACM7" s="727"/>
      <c r="ACN7" s="727"/>
      <c r="ACO7" s="727"/>
      <c r="ACP7" s="727"/>
      <c r="ACQ7" s="727"/>
      <c r="ACR7" s="727"/>
      <c r="ACS7" s="84" t="s">
        <v>466</v>
      </c>
      <c r="AFK7" s="144"/>
      <c r="AFL7" s="144"/>
      <c r="AFM7" s="144"/>
      <c r="AGK7" s="144"/>
      <c r="AGL7" s="144"/>
      <c r="AGM7" s="144"/>
      <c r="AGN7" s="144"/>
      <c r="AGO7" s="144"/>
      <c r="AGP7" s="144"/>
      <c r="AGQ7" s="144"/>
      <c r="AGR7" s="144"/>
      <c r="AGS7" s="144"/>
      <c r="AGT7" s="144"/>
      <c r="AHE7" s="144"/>
      <c r="AHF7" s="144"/>
      <c r="AHG7" s="144"/>
      <c r="AHH7" s="144"/>
      <c r="AHI7" s="144"/>
      <c r="AHO7" s="144"/>
      <c r="AHP7" s="144"/>
      <c r="AHQ7" s="144"/>
      <c r="AHR7" s="144"/>
      <c r="AHS7" s="144"/>
      <c r="AHT7" s="144"/>
      <c r="AHU7" s="144"/>
      <c r="AJO7" s="821" t="s">
        <v>462</v>
      </c>
      <c r="AJP7" s="822"/>
      <c r="AJQ7" s="822"/>
      <c r="AJR7" s="822"/>
      <c r="AJS7" s="822"/>
      <c r="AJT7" s="823"/>
      <c r="AJV7" s="769" t="s">
        <v>462</v>
      </c>
      <c r="AJW7" s="769"/>
      <c r="AJX7" s="769"/>
      <c r="AJY7" s="769"/>
      <c r="AJZ7" s="769"/>
      <c r="AKB7" s="769" t="s">
        <v>462</v>
      </c>
      <c r="AKC7" s="769"/>
      <c r="AKD7" s="769"/>
      <c r="AKE7" s="769"/>
      <c r="AKG7" s="821" t="s">
        <v>462</v>
      </c>
      <c r="AKH7" s="822"/>
      <c r="AKI7" s="823"/>
      <c r="AMC7" s="1385" t="s">
        <v>746</v>
      </c>
      <c r="AMD7" s="1385"/>
      <c r="AME7" s="1385"/>
      <c r="AMF7" s="1385"/>
      <c r="AMG7" s="1385"/>
      <c r="AMH7" s="1385"/>
      <c r="AMI7" s="1385"/>
      <c r="AMJ7" s="84" t="s">
        <v>745</v>
      </c>
    </row>
    <row r="8" spans="4:1024 1034:1055" ht="48" customHeight="1" thickBot="1">
      <c r="J8" s="144"/>
      <c r="K8" s="144"/>
      <c r="L8" s="144"/>
      <c r="M8" s="144"/>
      <c r="N8" s="145" t="s">
        <v>752</v>
      </c>
      <c r="O8" s="145" t="s">
        <v>743</v>
      </c>
      <c r="P8" s="145" t="s">
        <v>992</v>
      </c>
      <c r="Q8" s="145" t="s">
        <v>993</v>
      </c>
      <c r="R8" s="145" t="s">
        <v>744</v>
      </c>
      <c r="S8" s="145" t="s">
        <v>1018</v>
      </c>
      <c r="HH8" s="892"/>
      <c r="HI8" s="893"/>
      <c r="HJ8" s="893"/>
      <c r="HK8" s="893"/>
      <c r="HL8" s="893"/>
      <c r="HM8" s="894"/>
      <c r="HO8" s="768"/>
      <c r="HP8" s="768"/>
      <c r="HQ8" s="768"/>
      <c r="HR8" s="768"/>
      <c r="HS8" s="768"/>
      <c r="HU8" s="892"/>
      <c r="HV8" s="893"/>
      <c r="HW8" s="893"/>
      <c r="HX8" s="894"/>
      <c r="HZ8" s="892"/>
      <c r="IA8" s="893"/>
      <c r="IB8" s="894"/>
      <c r="JS8" s="892"/>
      <c r="JT8" s="893"/>
      <c r="JU8" s="893"/>
      <c r="JV8" s="893"/>
      <c r="JW8" s="893"/>
      <c r="JX8" s="894"/>
      <c r="JZ8" s="768"/>
      <c r="KA8" s="768"/>
      <c r="KB8" s="768"/>
      <c r="KC8" s="768"/>
      <c r="KD8" s="768"/>
      <c r="KF8" s="892"/>
      <c r="KG8" s="893"/>
      <c r="KH8" s="893"/>
      <c r="KI8" s="894"/>
      <c r="KK8" s="892"/>
      <c r="KL8" s="893"/>
      <c r="KM8" s="894"/>
      <c r="MX8" s="144"/>
      <c r="MY8" s="144"/>
      <c r="MZ8" s="144"/>
      <c r="NA8" s="144"/>
      <c r="NE8" s="892"/>
      <c r="NF8" s="893"/>
      <c r="NG8" s="893"/>
      <c r="NH8" s="893"/>
      <c r="NI8" s="893"/>
      <c r="NJ8" s="894"/>
      <c r="NL8" s="892"/>
      <c r="NM8" s="893"/>
      <c r="NN8" s="893"/>
      <c r="NO8" s="893"/>
      <c r="NP8" s="894"/>
      <c r="NR8" s="892"/>
      <c r="NS8" s="893"/>
      <c r="NT8" s="893"/>
      <c r="NU8" s="894"/>
      <c r="NW8" s="892"/>
      <c r="NX8" s="893"/>
      <c r="NY8" s="894"/>
      <c r="QN8" s="892"/>
      <c r="QO8" s="893"/>
      <c r="QP8" s="893"/>
      <c r="QQ8" s="893"/>
      <c r="QR8" s="893"/>
      <c r="QS8" s="894"/>
      <c r="QU8" s="768"/>
      <c r="QV8" s="768"/>
      <c r="QW8" s="768"/>
      <c r="QX8" s="768"/>
      <c r="QY8" s="768"/>
      <c r="QZ8" s="768"/>
      <c r="RA8" s="768"/>
      <c r="RB8" s="768"/>
      <c r="RD8" s="892"/>
      <c r="RE8" s="893"/>
      <c r="RF8" s="893"/>
      <c r="RG8" s="894"/>
      <c r="TO8" s="892"/>
      <c r="TP8" s="893"/>
      <c r="TQ8" s="893"/>
      <c r="TR8" s="893"/>
      <c r="TS8" s="893"/>
      <c r="TT8" s="894"/>
      <c r="UG8" s="768"/>
      <c r="UH8" s="768"/>
      <c r="UI8" s="768"/>
      <c r="UJ8" s="768"/>
      <c r="UK8" s="768"/>
      <c r="UM8" s="892"/>
      <c r="UN8" s="893"/>
      <c r="UO8" s="893"/>
      <c r="UP8" s="894"/>
      <c r="UR8" s="892"/>
      <c r="US8" s="893"/>
      <c r="UT8" s="894"/>
      <c r="VI8" s="917" t="s">
        <v>415</v>
      </c>
      <c r="VJ8" s="896"/>
      <c r="AFM8" s="144"/>
      <c r="AFN8" s="144"/>
      <c r="AFO8" s="144"/>
      <c r="AGK8" s="144"/>
      <c r="AGL8" s="144"/>
      <c r="AGM8" s="144"/>
      <c r="AGN8" s="144"/>
      <c r="AGO8" s="144"/>
      <c r="AGP8" s="144"/>
      <c r="AGQ8" s="144"/>
      <c r="AGR8" s="144"/>
      <c r="AGS8" s="144"/>
      <c r="AGT8" s="144"/>
      <c r="AHO8" s="144"/>
      <c r="AHP8" s="144"/>
      <c r="AHQ8" s="144"/>
      <c r="AHR8" s="144"/>
      <c r="AHS8" s="144"/>
      <c r="AHT8" s="144"/>
      <c r="AHU8" s="144"/>
      <c r="AJO8" s="919"/>
      <c r="AJP8" s="840"/>
      <c r="AJQ8" s="840"/>
      <c r="AJR8" s="840"/>
      <c r="AJS8" s="840"/>
      <c r="AJT8" s="920"/>
      <c r="AJV8" s="767"/>
      <c r="AJW8" s="767"/>
      <c r="AJX8" s="767"/>
      <c r="AJY8" s="767"/>
      <c r="AJZ8" s="767"/>
      <c r="AKB8" s="890"/>
      <c r="AKC8" s="841"/>
      <c r="AKD8" s="841"/>
      <c r="AKE8" s="891"/>
      <c r="AKG8" s="919"/>
      <c r="AKH8" s="840"/>
      <c r="AKI8" s="920"/>
    </row>
    <row r="9" spans="4:1024 1034:1055" ht="48" customHeight="1" thickBot="1">
      <c r="K9" s="144"/>
      <c r="L9" s="144"/>
      <c r="M9" s="144"/>
      <c r="N9" s="3"/>
      <c r="AJ9" s="130"/>
      <c r="AK9" s="685" t="s">
        <v>1804</v>
      </c>
      <c r="AL9" s="686"/>
      <c r="AM9" s="135"/>
      <c r="AN9" s="685" t="s">
        <v>738</v>
      </c>
      <c r="AO9" s="686"/>
      <c r="AP9" s="686"/>
      <c r="AQ9" s="686"/>
      <c r="AR9" s="686"/>
      <c r="AS9" s="686"/>
      <c r="AT9" s="686"/>
      <c r="AU9" s="686"/>
      <c r="AV9" s="686"/>
      <c r="AW9" s="686"/>
      <c r="AX9" s="687"/>
      <c r="AY9" s="130"/>
      <c r="CB9" s="137"/>
      <c r="CC9" s="685" t="s">
        <v>759</v>
      </c>
      <c r="CD9" s="686"/>
      <c r="CE9" s="137"/>
      <c r="CF9" s="685" t="s">
        <v>760</v>
      </c>
      <c r="CG9" s="686"/>
      <c r="CH9" s="686"/>
      <c r="CI9" s="686"/>
      <c r="CJ9" s="686"/>
      <c r="CK9" s="686"/>
      <c r="CL9" s="686"/>
      <c r="CM9" s="686"/>
      <c r="CN9" s="686"/>
      <c r="CO9" s="686"/>
      <c r="CP9" s="687"/>
      <c r="CQ9" s="137"/>
      <c r="EA9" s="152"/>
      <c r="EB9" s="685" t="s">
        <v>759</v>
      </c>
      <c r="EC9" s="686"/>
      <c r="ED9" s="152"/>
      <c r="EE9" s="685" t="s">
        <v>825</v>
      </c>
      <c r="EF9" s="686"/>
      <c r="EG9" s="686"/>
      <c r="EH9" s="686"/>
      <c r="EI9" s="686"/>
      <c r="EJ9" s="686"/>
      <c r="EK9" s="686"/>
      <c r="EL9" s="686"/>
      <c r="EM9" s="686"/>
      <c r="EN9" s="686"/>
      <c r="EO9" s="687"/>
      <c r="EP9" s="152"/>
      <c r="GH9" s="152"/>
      <c r="GI9" s="685" t="s">
        <v>818</v>
      </c>
      <c r="GJ9" s="686"/>
      <c r="GK9" s="152"/>
      <c r="GL9" s="685" t="s">
        <v>832</v>
      </c>
      <c r="GM9" s="686"/>
      <c r="GN9" s="686"/>
      <c r="GO9" s="686"/>
      <c r="GP9" s="686"/>
      <c r="GQ9" s="686"/>
      <c r="GR9" s="686"/>
      <c r="GS9" s="686"/>
      <c r="GT9" s="686"/>
      <c r="GU9" s="686"/>
      <c r="GV9" s="687"/>
      <c r="GW9" s="152"/>
      <c r="IT9" s="152"/>
      <c r="IU9" s="685" t="s">
        <v>819</v>
      </c>
      <c r="IV9" s="686"/>
      <c r="IW9" s="152"/>
      <c r="IX9" s="685" t="s">
        <v>852</v>
      </c>
      <c r="IY9" s="686"/>
      <c r="IZ9" s="686"/>
      <c r="JA9" s="686"/>
      <c r="JB9" s="686"/>
      <c r="JC9" s="686"/>
      <c r="JD9" s="686"/>
      <c r="JE9" s="686"/>
      <c r="JF9" s="686"/>
      <c r="JG9" s="686"/>
      <c r="JH9" s="687"/>
      <c r="JI9" s="152"/>
      <c r="LF9" s="229"/>
      <c r="LG9" s="229"/>
      <c r="LH9" s="229"/>
      <c r="LI9" s="229"/>
      <c r="LJ9" s="229"/>
      <c r="LK9" s="229"/>
      <c r="LL9" s="229"/>
      <c r="LM9" s="229"/>
      <c r="LN9" s="229"/>
      <c r="LO9" s="229"/>
      <c r="LP9" s="229"/>
      <c r="LQ9" s="229"/>
      <c r="LR9" s="229"/>
      <c r="LS9" s="229"/>
      <c r="LT9" s="229"/>
      <c r="MB9" s="152"/>
      <c r="MC9" s="685" t="s">
        <v>820</v>
      </c>
      <c r="MD9" s="686"/>
      <c r="ME9" s="152"/>
      <c r="MF9" s="685" t="s">
        <v>853</v>
      </c>
      <c r="MG9" s="686"/>
      <c r="MH9" s="686"/>
      <c r="MI9" s="686"/>
      <c r="MJ9" s="686"/>
      <c r="MK9" s="686"/>
      <c r="ML9" s="686"/>
      <c r="MM9" s="686"/>
      <c r="MN9" s="686"/>
      <c r="MO9" s="686"/>
      <c r="MP9" s="687"/>
      <c r="MQ9" s="152"/>
      <c r="MX9" s="144"/>
      <c r="MY9" s="144"/>
      <c r="MZ9" s="144"/>
      <c r="NA9" s="144"/>
      <c r="OU9" s="144"/>
      <c r="OV9" s="144"/>
      <c r="OW9" s="144"/>
      <c r="OX9" s="144"/>
      <c r="OY9" s="144"/>
      <c r="OZ9" s="144"/>
      <c r="PA9" s="144"/>
      <c r="PB9" s="144"/>
      <c r="PC9" s="144"/>
      <c r="PD9" s="144"/>
      <c r="PE9" s="144"/>
      <c r="PF9" s="144"/>
      <c r="PG9" s="144"/>
      <c r="PL9" s="152"/>
      <c r="PM9" s="685" t="s">
        <v>821</v>
      </c>
      <c r="PN9" s="686"/>
      <c r="PO9" s="152"/>
      <c r="PP9" s="685" t="s">
        <v>854</v>
      </c>
      <c r="PQ9" s="686"/>
      <c r="PR9" s="686"/>
      <c r="PS9" s="686"/>
      <c r="PT9" s="686"/>
      <c r="PU9" s="686"/>
      <c r="PV9" s="686"/>
      <c r="PW9" s="686"/>
      <c r="PX9" s="686"/>
      <c r="PY9" s="686"/>
      <c r="PZ9" s="687"/>
      <c r="QA9" s="152"/>
      <c r="SA9" s="152"/>
      <c r="SB9" s="685" t="s">
        <v>822</v>
      </c>
      <c r="SC9" s="686"/>
      <c r="SD9" s="152"/>
      <c r="SE9" s="685" t="s">
        <v>855</v>
      </c>
      <c r="SF9" s="686"/>
      <c r="SG9" s="686"/>
      <c r="SH9" s="686"/>
      <c r="SI9" s="686"/>
      <c r="SJ9" s="686"/>
      <c r="SK9" s="686"/>
      <c r="SL9" s="686"/>
      <c r="SM9" s="686"/>
      <c r="SN9" s="686"/>
      <c r="SO9" s="687"/>
      <c r="SP9" s="152"/>
      <c r="VI9" s="918"/>
      <c r="VJ9" s="898"/>
      <c r="VP9" s="552" t="s">
        <v>1468</v>
      </c>
      <c r="VQ9" s="756">
        <f>$MN$98</f>
        <v>0.55105560251025065</v>
      </c>
      <c r="VR9" s="756"/>
      <c r="XQ9" s="152"/>
      <c r="XR9" s="685" t="s">
        <v>823</v>
      </c>
      <c r="XS9" s="686"/>
      <c r="XT9" s="152"/>
      <c r="XU9" s="685" t="s">
        <v>856</v>
      </c>
      <c r="XV9" s="686"/>
      <c r="XW9" s="686"/>
      <c r="XX9" s="686"/>
      <c r="XY9" s="686"/>
      <c r="XZ9" s="686"/>
      <c r="YA9" s="686"/>
      <c r="YB9" s="686"/>
      <c r="YC9" s="686"/>
      <c r="YD9" s="686"/>
      <c r="YE9" s="687"/>
      <c r="YF9" s="152"/>
      <c r="AFM9" s="144"/>
      <c r="AFN9" s="144"/>
      <c r="AFO9" s="144"/>
      <c r="AHO9" s="144"/>
      <c r="AJO9" s="892"/>
      <c r="AJP9" s="893"/>
      <c r="AJQ9" s="893"/>
      <c r="AJR9" s="893"/>
      <c r="AJS9" s="893"/>
      <c r="AJT9" s="894"/>
      <c r="AJV9" s="768"/>
      <c r="AJW9" s="768"/>
      <c r="AJX9" s="768"/>
      <c r="AJY9" s="768"/>
      <c r="AJZ9" s="768"/>
      <c r="AKB9" s="892"/>
      <c r="AKC9" s="893"/>
      <c r="AKD9" s="893"/>
      <c r="AKE9" s="894"/>
      <c r="AKG9" s="892"/>
      <c r="AKH9" s="893"/>
      <c r="AKI9" s="894"/>
    </row>
    <row r="10" spans="4:1024 1034:1055" ht="48" customHeight="1">
      <c r="J10" s="144"/>
      <c r="K10" s="144"/>
      <c r="L10" s="144"/>
      <c r="M10" s="144"/>
      <c r="N10" s="821" t="s">
        <v>838</v>
      </c>
      <c r="O10" s="822"/>
      <c r="P10" s="822"/>
      <c r="Q10" s="823"/>
      <c r="R10" s="3"/>
      <c r="AW10" s="142"/>
      <c r="AX10" s="142"/>
      <c r="BJ10" s="139"/>
      <c r="LF10" s="229"/>
      <c r="LG10" s="229"/>
      <c r="LH10" s="229"/>
      <c r="LI10" s="229"/>
      <c r="LJ10" s="229"/>
      <c r="LK10" s="229"/>
      <c r="LL10" s="229"/>
      <c r="LM10" s="229"/>
      <c r="LN10" s="229"/>
      <c r="LO10" s="229"/>
      <c r="LP10" s="229"/>
      <c r="LQ10" s="229"/>
      <c r="LR10" s="229"/>
      <c r="LS10" s="229"/>
      <c r="LT10" s="229"/>
      <c r="MX10" s="144"/>
      <c r="MY10" s="144"/>
      <c r="MZ10" s="144"/>
      <c r="NA10" s="144"/>
      <c r="OR10"/>
      <c r="OU10" s="144"/>
      <c r="OV10" s="144"/>
      <c r="OW10" s="144"/>
      <c r="OX10" s="144"/>
      <c r="OY10" s="144"/>
      <c r="OZ10" s="144"/>
      <c r="PA10" s="144"/>
      <c r="PB10" s="144"/>
      <c r="PC10" s="144"/>
      <c r="PD10" s="144"/>
      <c r="PE10" s="144"/>
      <c r="PF10" s="144"/>
      <c r="PG10" s="144"/>
      <c r="QC10" s="144"/>
      <c r="QD10" s="144"/>
      <c r="QE10" s="144"/>
      <c r="QF10" s="144"/>
      <c r="QG10" s="144"/>
      <c r="QH10" s="144"/>
      <c r="QI10" s="144"/>
      <c r="QJ10" s="144"/>
      <c r="QK10" s="144"/>
      <c r="AAD10" s="816" t="s">
        <v>1736</v>
      </c>
      <c r="AAE10" s="816"/>
      <c r="AAF10" s="816" t="s">
        <v>877</v>
      </c>
      <c r="AAG10" s="816"/>
      <c r="AAH10" s="463" t="s">
        <v>436</v>
      </c>
      <c r="AAI10" s="956" t="s">
        <v>458</v>
      </c>
      <c r="AAJ10" s="957"/>
      <c r="AAK10" s="956" t="s">
        <v>1576</v>
      </c>
      <c r="AAL10" s="957"/>
      <c r="AAM10" s="960" t="s">
        <v>1577</v>
      </c>
      <c r="AAN10" s="961"/>
      <c r="AAP10" s="816" t="s">
        <v>1736</v>
      </c>
      <c r="AAQ10" s="816"/>
      <c r="AAR10" s="816" t="s">
        <v>877</v>
      </c>
      <c r="AAS10" s="816"/>
      <c r="AAT10" s="526" t="s">
        <v>436</v>
      </c>
      <c r="AAU10" s="956" t="s">
        <v>458</v>
      </c>
      <c r="AAV10" s="957"/>
      <c r="AAW10" s="956" t="s">
        <v>1576</v>
      </c>
      <c r="AAX10" s="957"/>
      <c r="AAY10" s="960" t="s">
        <v>1577</v>
      </c>
      <c r="AAZ10" s="961"/>
      <c r="ABB10" s="816" t="s">
        <v>1736</v>
      </c>
      <c r="ABC10" s="816"/>
      <c r="ABD10" s="816" t="s">
        <v>877</v>
      </c>
      <c r="ABE10" s="816"/>
      <c r="ABF10" s="526" t="s">
        <v>436</v>
      </c>
      <c r="ABG10" s="956" t="s">
        <v>458</v>
      </c>
      <c r="ABH10" s="957"/>
      <c r="ABI10" s="956" t="s">
        <v>1576</v>
      </c>
      <c r="ABJ10" s="957"/>
      <c r="ABK10" s="960" t="s">
        <v>1577</v>
      </c>
      <c r="ABL10" s="961"/>
      <c r="ABN10" s="816" t="s">
        <v>1736</v>
      </c>
      <c r="ABO10" s="816"/>
      <c r="ABP10" s="816" t="s">
        <v>877</v>
      </c>
      <c r="ABQ10" s="816"/>
      <c r="ABR10" s="526" t="s">
        <v>436</v>
      </c>
      <c r="ABS10" s="956" t="s">
        <v>458</v>
      </c>
      <c r="ABT10" s="957"/>
      <c r="ABU10" s="956" t="s">
        <v>1576</v>
      </c>
      <c r="ABV10" s="957"/>
      <c r="ABW10" s="960" t="s">
        <v>1577</v>
      </c>
      <c r="ABX10" s="961"/>
      <c r="ABZ10" s="816" t="s">
        <v>1736</v>
      </c>
      <c r="ACA10" s="816"/>
      <c r="ACB10" s="816" t="s">
        <v>877</v>
      </c>
      <c r="ACC10" s="816"/>
      <c r="ACD10" s="526" t="s">
        <v>436</v>
      </c>
      <c r="ACE10" s="956" t="s">
        <v>458</v>
      </c>
      <c r="ACF10" s="957"/>
      <c r="ACG10" s="956" t="s">
        <v>1576</v>
      </c>
      <c r="ACH10" s="957"/>
      <c r="ACI10" s="960" t="s">
        <v>1577</v>
      </c>
      <c r="ACJ10" s="961"/>
      <c r="ADB10" s="103"/>
      <c r="ADC10" s="816" t="s">
        <v>988</v>
      </c>
      <c r="ADD10" s="816"/>
      <c r="ADE10" s="816"/>
      <c r="ADF10" s="105"/>
      <c r="ADG10" s="685" t="s">
        <v>987</v>
      </c>
      <c r="ADH10" s="686"/>
      <c r="ADI10" s="686"/>
      <c r="ADJ10" s="686"/>
      <c r="ADK10" s="686"/>
      <c r="ADL10" s="686"/>
      <c r="ADM10" s="686"/>
      <c r="ADN10" s="686"/>
      <c r="ADO10" s="686"/>
      <c r="ADP10" s="686"/>
      <c r="ADQ10" s="686"/>
      <c r="ADR10" s="686"/>
      <c r="ADS10" s="686"/>
      <c r="ADT10" s="686"/>
      <c r="ADU10" s="686"/>
      <c r="ADV10" s="686"/>
      <c r="ADW10" s="686"/>
      <c r="ADX10" s="686"/>
      <c r="ADY10" s="686"/>
      <c r="ADZ10" s="686"/>
      <c r="AEA10" s="686"/>
      <c r="AEB10" s="686"/>
      <c r="AEC10" s="686"/>
      <c r="AED10" s="686"/>
      <c r="AEE10" s="686"/>
      <c r="AEF10" s="686"/>
      <c r="AEG10" s="686"/>
      <c r="AEH10" s="686"/>
      <c r="AEI10" s="687"/>
      <c r="AEJ10" s="1029"/>
      <c r="AEK10" s="1031"/>
      <c r="AEM10" s="1385" t="s">
        <v>1734</v>
      </c>
      <c r="AEN10" s="1385"/>
      <c r="AEO10" s="1385"/>
      <c r="AEP10" s="1385"/>
      <c r="AEQ10" s="1385"/>
      <c r="AER10" s="1385"/>
      <c r="AES10" s="1385"/>
      <c r="AET10" s="1385"/>
      <c r="AEU10" s="1385"/>
      <c r="AEV10" s="1385"/>
      <c r="AEW10" s="1385"/>
      <c r="AEX10" s="1385"/>
      <c r="AEY10" s="1385"/>
      <c r="AEZ10" s="1385"/>
      <c r="AFA10" s="1049"/>
      <c r="AFC10" s="1405" t="s">
        <v>1514</v>
      </c>
      <c r="AFD10" s="1406"/>
      <c r="AFE10" s="1406"/>
      <c r="AFF10" s="1406"/>
      <c r="AFG10" s="1406"/>
      <c r="AFH10" s="1406"/>
      <c r="AFI10" s="1406"/>
      <c r="AFJ10" s="1406"/>
      <c r="AFK10" s="1406"/>
      <c r="AFL10" s="1406"/>
      <c r="AFM10" s="1407"/>
      <c r="AFN10" s="467"/>
      <c r="AFO10" s="144"/>
      <c r="AHO10" s="144"/>
      <c r="AIO10" s="152"/>
      <c r="AIP10" s="685" t="s">
        <v>824</v>
      </c>
      <c r="AIQ10" s="686"/>
      <c r="AIR10" s="152"/>
      <c r="AIS10" s="685" t="s">
        <v>857</v>
      </c>
      <c r="AIT10" s="686"/>
      <c r="AIU10" s="686"/>
      <c r="AIV10" s="686"/>
      <c r="AIW10" s="686"/>
      <c r="AIX10" s="686"/>
      <c r="AIY10" s="686"/>
      <c r="AIZ10" s="686"/>
      <c r="AJA10" s="686"/>
      <c r="AJB10" s="686"/>
      <c r="AJC10" s="687"/>
      <c r="AJD10" s="152"/>
      <c r="AMV10" s="152"/>
      <c r="AMW10" s="685" t="s">
        <v>837</v>
      </c>
      <c r="AMX10" s="686"/>
      <c r="AMY10" s="152"/>
      <c r="AMZ10" s="685"/>
      <c r="ANA10" s="686"/>
      <c r="ANB10" s="686"/>
      <c r="ANC10" s="686"/>
      <c r="AND10" s="686"/>
      <c r="ANE10" s="686"/>
      <c r="ANF10" s="686"/>
      <c r="ANG10" s="686"/>
      <c r="ANH10" s="686"/>
      <c r="ANI10" s="686"/>
      <c r="ANJ10" s="687"/>
      <c r="ANK10" s="152"/>
    </row>
    <row r="11" spans="4:1024 1034:1055" ht="48" customHeight="1" thickBot="1">
      <c r="H11" s="1"/>
      <c r="J11" s="144"/>
      <c r="K11" s="144"/>
      <c r="L11" s="144"/>
      <c r="M11" s="144"/>
      <c r="N11" s="84" t="s">
        <v>465</v>
      </c>
      <c r="O11" s="66" t="s">
        <v>476</v>
      </c>
      <c r="P11" s="84" t="s">
        <v>468</v>
      </c>
      <c r="Q11" s="84" t="s">
        <v>477</v>
      </c>
      <c r="R11" s="84" t="s">
        <v>745</v>
      </c>
      <c r="S11" s="139"/>
      <c r="T11" s="139"/>
      <c r="AI11" s="825"/>
      <c r="AJ11" s="681">
        <v>1.1000000000000001</v>
      </c>
      <c r="AK11" s="681"/>
      <c r="AL11" s="101"/>
      <c r="AM11" s="87"/>
      <c r="AN11" s="87"/>
      <c r="AO11" s="87"/>
      <c r="AP11" s="87"/>
      <c r="AQ11" s="87"/>
      <c r="AR11" s="87"/>
      <c r="AS11" s="101"/>
      <c r="AT11" s="85" t="s">
        <v>467</v>
      </c>
      <c r="AU11" s="1504" t="s">
        <v>461</v>
      </c>
      <c r="AV11" s="1505"/>
      <c r="AW11" s="1348" t="s">
        <v>126</v>
      </c>
      <c r="AX11" s="1555"/>
      <c r="AY11" s="675" t="s">
        <v>731</v>
      </c>
      <c r="AZ11" s="676"/>
      <c r="BA11" s="1495" t="s">
        <v>473</v>
      </c>
      <c r="BB11" s="1496"/>
      <c r="BC11" s="1496"/>
      <c r="BD11" s="1497"/>
      <c r="BE11" s="1495" t="s">
        <v>462</v>
      </c>
      <c r="BF11" s="1496"/>
      <c r="BG11" s="1497"/>
      <c r="BJ11" s="139"/>
      <c r="BX11" s="792" t="s">
        <v>1079</v>
      </c>
      <c r="BY11" s="793"/>
      <c r="BZ11" s="794"/>
      <c r="CA11" s="825"/>
      <c r="CB11" s="695" t="s">
        <v>765</v>
      </c>
      <c r="CC11" s="695"/>
      <c r="CD11" s="137"/>
      <c r="CE11" s="561" t="s">
        <v>456</v>
      </c>
      <c r="CF11" s="739">
        <f>$AW$38</f>
        <v>0.26781845000000004</v>
      </c>
      <c r="CG11" s="739"/>
      <c r="CH11" s="87"/>
      <c r="CI11" s="137"/>
      <c r="CJ11" s="84" t="s">
        <v>729</v>
      </c>
      <c r="CK11" s="137"/>
      <c r="CL11" s="85" t="s">
        <v>467</v>
      </c>
      <c r="CM11" s="1504" t="s">
        <v>461</v>
      </c>
      <c r="CN11" s="1505"/>
      <c r="CO11" s="819" t="s">
        <v>126</v>
      </c>
      <c r="CP11" s="820"/>
      <c r="CQ11" s="675" t="s">
        <v>731</v>
      </c>
      <c r="CR11" s="676"/>
      <c r="CS11" s="821" t="s">
        <v>473</v>
      </c>
      <c r="CT11" s="822"/>
      <c r="CU11" s="822"/>
      <c r="CV11" s="823"/>
      <c r="DZ11" s="792" t="s">
        <v>1078</v>
      </c>
      <c r="EA11" s="793"/>
      <c r="EB11" s="794"/>
      <c r="EC11" s="825"/>
      <c r="ED11" s="665" t="s">
        <v>46</v>
      </c>
      <c r="EE11" s="666"/>
      <c r="EF11" s="151"/>
      <c r="EG11" s="87"/>
      <c r="EH11" s="87"/>
      <c r="EI11" s="87"/>
      <c r="EJ11" s="87"/>
      <c r="EK11" s="216"/>
      <c r="EL11" s="84" t="s">
        <v>477</v>
      </c>
      <c r="EM11" s="151"/>
      <c r="EN11" s="85" t="s">
        <v>467</v>
      </c>
      <c r="EO11" s="757" t="s">
        <v>461</v>
      </c>
      <c r="EP11" s="758"/>
      <c r="EQ11" s="819" t="s">
        <v>126</v>
      </c>
      <c r="ER11" s="820"/>
      <c r="ES11" s="675" t="s">
        <v>731</v>
      </c>
      <c r="ET11" s="676"/>
      <c r="EU11" s="821" t="s">
        <v>473</v>
      </c>
      <c r="EV11" s="822"/>
      <c r="EW11" s="822"/>
      <c r="EX11" s="823"/>
      <c r="GF11" s="792" t="s">
        <v>1079</v>
      </c>
      <c r="GG11" s="793"/>
      <c r="GH11" s="794"/>
      <c r="GI11" s="85" t="s">
        <v>839</v>
      </c>
      <c r="GJ11" s="665" t="s">
        <v>442</v>
      </c>
      <c r="GK11" s="666"/>
      <c r="GL11" s="152"/>
      <c r="GM11" s="87"/>
      <c r="GN11" s="87"/>
      <c r="GO11" s="87"/>
      <c r="GP11" s="87"/>
      <c r="GQ11" s="216"/>
      <c r="GR11" s="84" t="s">
        <v>729</v>
      </c>
      <c r="GS11" s="152"/>
      <c r="GT11" s="85" t="s">
        <v>467</v>
      </c>
      <c r="GU11" s="757" t="s">
        <v>461</v>
      </c>
      <c r="GV11" s="758"/>
      <c r="GW11" s="819" t="s">
        <v>126</v>
      </c>
      <c r="GX11" s="820"/>
      <c r="GY11" s="675" t="s">
        <v>731</v>
      </c>
      <c r="GZ11" s="676"/>
      <c r="HA11" s="821" t="s">
        <v>473</v>
      </c>
      <c r="HB11" s="822"/>
      <c r="HC11" s="822"/>
      <c r="HD11" s="823"/>
      <c r="HE11" s="144"/>
      <c r="IT11" s="202"/>
      <c r="IU11" s="665" t="s">
        <v>879</v>
      </c>
      <c r="IV11" s="667"/>
      <c r="IW11" s="202"/>
      <c r="IX11" s="685" t="s">
        <v>73</v>
      </c>
      <c r="IY11" s="686"/>
      <c r="IZ11" s="686"/>
      <c r="JA11" s="686"/>
      <c r="JB11" s="686"/>
      <c r="JC11" s="686"/>
      <c r="JD11" s="686"/>
      <c r="JE11" s="686"/>
      <c r="JF11" s="686"/>
      <c r="JG11" s="686"/>
      <c r="JH11" s="687"/>
      <c r="JI11" s="202"/>
      <c r="LF11" s="229"/>
      <c r="LG11" s="229"/>
      <c r="LH11" s="229"/>
      <c r="LI11" s="229"/>
      <c r="LJ11" s="229"/>
      <c r="LN11" s="229"/>
      <c r="LO11" s="229"/>
      <c r="LP11" s="229"/>
      <c r="LQ11" s="229"/>
      <c r="LR11" s="229"/>
      <c r="LS11" s="229"/>
      <c r="LT11" s="229"/>
      <c r="MB11" s="213"/>
      <c r="MC11" s="665" t="s">
        <v>906</v>
      </c>
      <c r="MD11" s="666"/>
      <c r="ME11" s="213"/>
      <c r="MF11" s="685" t="s">
        <v>84</v>
      </c>
      <c r="MG11" s="686"/>
      <c r="MH11" s="686"/>
      <c r="MI11" s="686"/>
      <c r="MJ11" s="686"/>
      <c r="MK11" s="686"/>
      <c r="ML11" s="686"/>
      <c r="MM11" s="686"/>
      <c r="MN11" s="686"/>
      <c r="MO11" s="686"/>
      <c r="MP11" s="687"/>
      <c r="MQ11" s="213"/>
      <c r="MX11" s="144"/>
      <c r="MY11" s="144"/>
      <c r="MZ11" s="144"/>
      <c r="NA11" s="144"/>
      <c r="OU11" s="144"/>
      <c r="OV11" s="144"/>
      <c r="OW11" s="144"/>
      <c r="OX11" s="144"/>
      <c r="OY11" s="144"/>
      <c r="OZ11" s="144"/>
      <c r="PA11" s="144"/>
      <c r="PB11" s="144"/>
      <c r="PC11" s="144"/>
      <c r="PD11" s="144"/>
      <c r="PE11" s="144"/>
      <c r="PF11" s="144"/>
      <c r="PG11" s="144"/>
      <c r="PL11" s="504"/>
      <c r="PM11" s="665" t="s">
        <v>1656</v>
      </c>
      <c r="PN11" s="667"/>
      <c r="PO11" s="504"/>
      <c r="PP11" s="685" t="s">
        <v>135</v>
      </c>
      <c r="PQ11" s="686"/>
      <c r="PR11" s="686"/>
      <c r="PS11" s="686"/>
      <c r="PT11" s="686"/>
      <c r="PU11" s="686"/>
      <c r="PV11" s="686"/>
      <c r="PW11" s="686"/>
      <c r="PX11" s="686"/>
      <c r="PY11" s="686"/>
      <c r="PZ11" s="687"/>
      <c r="QA11" s="504"/>
      <c r="QC11" s="144"/>
      <c r="QD11" s="144"/>
      <c r="QE11" s="144"/>
      <c r="QH11" s="144"/>
      <c r="QI11" s="144"/>
      <c r="QJ11" s="144"/>
      <c r="QK11" s="144"/>
      <c r="QW11" s="144"/>
      <c r="QX11" s="144"/>
      <c r="QY11" s="144"/>
      <c r="QZ11" s="144"/>
      <c r="RA11" s="144"/>
      <c r="RF11" s="880">
        <v>1</v>
      </c>
      <c r="RG11" s="880"/>
      <c r="RH11" s="880"/>
      <c r="RI11" s="880"/>
      <c r="RJ11" s="868"/>
      <c r="RK11" s="869"/>
      <c r="RL11" s="870"/>
      <c r="RM11" s="868">
        <v>2</v>
      </c>
      <c r="RN11" s="869"/>
      <c r="RO11" s="869"/>
      <c r="RP11" s="869"/>
      <c r="RQ11" s="869"/>
      <c r="RR11" s="870"/>
      <c r="RS11" s="880">
        <v>3</v>
      </c>
      <c r="RT11" s="880"/>
      <c r="RU11" s="880"/>
      <c r="RV11" s="880"/>
      <c r="RW11" s="880"/>
      <c r="RX11" s="880"/>
      <c r="RY11" s="880">
        <v>4</v>
      </c>
      <c r="RZ11" s="880"/>
      <c r="SA11" s="880"/>
      <c r="SB11" s="880"/>
      <c r="SC11" s="880">
        <v>5</v>
      </c>
      <c r="SD11" s="880"/>
      <c r="SE11" s="880"/>
      <c r="SF11" s="880"/>
      <c r="SG11" s="880">
        <v>6</v>
      </c>
      <c r="SH11" s="880"/>
      <c r="SI11" s="880"/>
      <c r="SJ11" s="880"/>
      <c r="SK11" s="880">
        <v>7</v>
      </c>
      <c r="SL11" s="880"/>
      <c r="SM11" s="880"/>
      <c r="SN11" s="880"/>
      <c r="SO11" s="880">
        <v>8</v>
      </c>
      <c r="SP11" s="880"/>
      <c r="SQ11" s="880"/>
      <c r="SR11" s="880"/>
      <c r="SS11" s="880"/>
      <c r="ST11" s="868">
        <v>9</v>
      </c>
      <c r="SU11" s="869"/>
      <c r="SV11" s="869"/>
      <c r="SW11" s="869"/>
      <c r="SX11" s="869"/>
      <c r="SY11" s="870"/>
      <c r="SZ11" s="868">
        <v>10</v>
      </c>
      <c r="TA11" s="869"/>
      <c r="TB11" s="869"/>
      <c r="TC11" s="869"/>
      <c r="TD11" s="869"/>
      <c r="TE11" s="870"/>
      <c r="TF11" s="868">
        <v>11</v>
      </c>
      <c r="TG11" s="869"/>
      <c r="TH11" s="870"/>
      <c r="TI11" s="868">
        <v>12</v>
      </c>
      <c r="TJ11" s="869"/>
      <c r="TK11" s="869"/>
      <c r="TL11" s="870"/>
      <c r="TM11" s="868">
        <v>13</v>
      </c>
      <c r="TN11" s="869"/>
      <c r="TO11" s="869"/>
      <c r="TP11" s="870"/>
      <c r="TQ11" s="868">
        <v>14</v>
      </c>
      <c r="TR11" s="869"/>
      <c r="TS11" s="869"/>
      <c r="TT11" s="870"/>
      <c r="TU11" s="880">
        <v>15</v>
      </c>
      <c r="TV11" s="880"/>
      <c r="TW11" s="880"/>
      <c r="TX11" s="880"/>
      <c r="TY11" s="880"/>
      <c r="TZ11" s="880"/>
      <c r="UA11" s="181"/>
      <c r="UB11" s="185"/>
      <c r="UC11" s="103"/>
      <c r="UD11" s="880">
        <v>16</v>
      </c>
      <c r="UE11" s="880"/>
      <c r="UF11" s="880"/>
      <c r="UG11" s="880"/>
      <c r="UH11" s="880"/>
      <c r="UI11" s="880"/>
      <c r="UJ11" s="880"/>
      <c r="UK11" s="880">
        <v>17</v>
      </c>
      <c r="UL11" s="880"/>
      <c r="UM11" s="880"/>
      <c r="UN11" s="880"/>
      <c r="UO11" s="880">
        <v>18</v>
      </c>
      <c r="UP11" s="880"/>
      <c r="UQ11" s="880"/>
      <c r="UR11" s="880"/>
      <c r="US11" s="880">
        <v>19</v>
      </c>
      <c r="UT11" s="880"/>
      <c r="UU11" s="880"/>
      <c r="UV11" s="880"/>
      <c r="UW11" s="880"/>
      <c r="AAD11" s="947"/>
      <c r="AAE11" s="947"/>
      <c r="AAF11" s="947"/>
      <c r="AAG11" s="947"/>
      <c r="AAH11" s="465">
        <v>1</v>
      </c>
      <c r="AAI11" s="956"/>
      <c r="AAJ11" s="957"/>
      <c r="AAK11" s="956"/>
      <c r="AAL11" s="957"/>
      <c r="AAM11" s="958">
        <f>(4/300*AAH11)</f>
        <v>1.3333333333333334E-2</v>
      </c>
      <c r="AAN11" s="959"/>
      <c r="AAP11" s="947"/>
      <c r="AAQ11" s="947"/>
      <c r="AAR11" s="947"/>
      <c r="AAS11" s="947"/>
      <c r="AAT11" s="465">
        <v>61</v>
      </c>
      <c r="AAU11" s="956"/>
      <c r="AAV11" s="957"/>
      <c r="AAW11" s="956"/>
      <c r="AAX11" s="957"/>
      <c r="AAY11" s="958">
        <f>(4/300*AAT11)</f>
        <v>0.81333333333333335</v>
      </c>
      <c r="AAZ11" s="959"/>
      <c r="ABB11" s="947"/>
      <c r="ABC11" s="947"/>
      <c r="ABD11" s="947"/>
      <c r="ABE11" s="947"/>
      <c r="ABF11" s="465">
        <v>121</v>
      </c>
      <c r="ABG11" s="956"/>
      <c r="ABH11" s="957"/>
      <c r="ABI11" s="956"/>
      <c r="ABJ11" s="957"/>
      <c r="ABK11" s="958">
        <f>(4/300*ABF11)</f>
        <v>1.6133333333333335</v>
      </c>
      <c r="ABL11" s="959"/>
      <c r="ABN11" s="947"/>
      <c r="ABO11" s="947"/>
      <c r="ABP11" s="947"/>
      <c r="ABQ11" s="947"/>
      <c r="ABR11" s="465">
        <v>181</v>
      </c>
      <c r="ABS11" s="956"/>
      <c r="ABT11" s="957"/>
      <c r="ABU11" s="956"/>
      <c r="ABV11" s="957"/>
      <c r="ABW11" s="958">
        <f>(4/300*ABR11)</f>
        <v>2.4133333333333336</v>
      </c>
      <c r="ABX11" s="959"/>
      <c r="ABZ11" s="947"/>
      <c r="ACA11" s="947"/>
      <c r="ACB11" s="947"/>
      <c r="ACC11" s="947"/>
      <c r="ACD11" s="465">
        <v>241</v>
      </c>
      <c r="ACE11" s="956"/>
      <c r="ACF11" s="957"/>
      <c r="ACG11" s="956"/>
      <c r="ACH11" s="957"/>
      <c r="ACI11" s="958">
        <f>(4/300*ACD11)</f>
        <v>3.2133333333333334</v>
      </c>
      <c r="ACJ11" s="959"/>
      <c r="ADB11" s="816" t="s">
        <v>436</v>
      </c>
      <c r="ADC11" s="816"/>
      <c r="ADD11" s="703" t="s">
        <v>1569</v>
      </c>
      <c r="ADE11" s="704"/>
      <c r="ADF11" s="704"/>
      <c r="ADG11" s="704"/>
      <c r="ADH11" s="704"/>
      <c r="ADI11" s="704"/>
      <c r="ADJ11" s="704"/>
      <c r="ADK11" s="1160"/>
      <c r="ADL11" s="1404" t="s">
        <v>414</v>
      </c>
      <c r="ADM11" s="1404"/>
      <c r="ADN11" s="1387">
        <v>1</v>
      </c>
      <c r="ADO11" s="1387"/>
      <c r="ADP11" s="1387">
        <v>0.8</v>
      </c>
      <c r="ADQ11" s="1387"/>
      <c r="ADR11" s="1387">
        <v>0.6</v>
      </c>
      <c r="ADS11" s="1387"/>
      <c r="ADT11" s="1387">
        <v>0.5</v>
      </c>
      <c r="ADU11" s="1387"/>
      <c r="ADV11" s="1387">
        <v>0.2</v>
      </c>
      <c r="ADW11" s="1387"/>
      <c r="ADX11" s="1387">
        <v>0.1</v>
      </c>
      <c r="ADY11" s="1387"/>
      <c r="ADZ11" s="1390" t="s">
        <v>185</v>
      </c>
      <c r="AEA11" s="1391"/>
      <c r="AEB11" s="1391"/>
      <c r="AEC11" s="1391"/>
      <c r="AED11" s="1391"/>
      <c r="AEE11" s="1391"/>
      <c r="AEF11" s="1391"/>
      <c r="AEG11" s="1391"/>
      <c r="AEH11" s="1391"/>
      <c r="AEI11" s="1391"/>
      <c r="AEJ11" s="1391"/>
      <c r="AEK11" s="1392"/>
      <c r="AEM11" s="1385"/>
      <c r="AEN11" s="1385"/>
      <c r="AEO11" s="1385"/>
      <c r="AEP11" s="1385"/>
      <c r="AEQ11" s="1385"/>
      <c r="AER11" s="1385"/>
      <c r="AES11" s="1385"/>
      <c r="AET11" s="1385"/>
      <c r="AEU11" s="1385"/>
      <c r="AEV11" s="1385"/>
      <c r="AEW11" s="1385"/>
      <c r="AEX11" s="1385"/>
      <c r="AEY11" s="1385"/>
      <c r="AEZ11" s="1385"/>
      <c r="AFA11" s="1049"/>
      <c r="AFC11" s="1141"/>
      <c r="AFD11" s="1142"/>
      <c r="AFE11" s="1142"/>
      <c r="AFF11" s="1142"/>
      <c r="AFG11" s="1142"/>
      <c r="AFH11" s="1142"/>
      <c r="AFI11" s="1142"/>
      <c r="AFJ11" s="1142"/>
      <c r="AFK11" s="1142"/>
      <c r="AFL11" s="1142"/>
      <c r="AFM11" s="1142"/>
      <c r="AFN11" s="1143"/>
      <c r="AFO11" s="144"/>
      <c r="AHO11" s="144"/>
      <c r="AJU11" s="792" t="s">
        <v>1078</v>
      </c>
      <c r="AJV11" s="793"/>
      <c r="AJW11" s="794"/>
      <c r="AJY11" s="792" t="s">
        <v>1079</v>
      </c>
      <c r="AJZ11" s="793"/>
      <c r="AKA11" s="794"/>
    </row>
    <row r="12" spans="4:1024 1034:1055" ht="48" customHeight="1" thickBot="1">
      <c r="H12" s="1"/>
      <c r="J12" s="144"/>
      <c r="K12" s="144"/>
      <c r="L12" s="144"/>
      <c r="N12" s="85" t="s">
        <v>467</v>
      </c>
      <c r="O12" s="84" t="s">
        <v>466</v>
      </c>
      <c r="P12" s="84" t="s">
        <v>471</v>
      </c>
      <c r="Q12" s="85" t="s">
        <v>839</v>
      </c>
      <c r="R12" s="84" t="s">
        <v>729</v>
      </c>
      <c r="S12" s="139"/>
      <c r="T12" s="139"/>
      <c r="AI12" s="826"/>
      <c r="AJ12" s="1488" t="s">
        <v>8</v>
      </c>
      <c r="AK12" s="1489"/>
      <c r="AL12" s="1489"/>
      <c r="AM12" s="1489"/>
      <c r="AN12" s="1489"/>
      <c r="AO12" s="1489"/>
      <c r="AP12" s="1489"/>
      <c r="AQ12" s="1489"/>
      <c r="AR12" s="1489"/>
      <c r="AS12" s="1489"/>
      <c r="AT12" s="1489"/>
      <c r="AU12" s="1489"/>
      <c r="AV12" s="1489"/>
      <c r="AW12" s="1397">
        <f>(60*AQ7)/AQ5</f>
        <v>1</v>
      </c>
      <c r="AX12" s="1398"/>
      <c r="AY12" s="849" t="s">
        <v>758</v>
      </c>
      <c r="AZ12" s="850"/>
      <c r="BA12" s="712"/>
      <c r="BB12" s="740" t="s">
        <v>474</v>
      </c>
      <c r="BC12" s="742"/>
      <c r="BD12" s="746"/>
      <c r="BE12" s="919"/>
      <c r="BF12" s="840"/>
      <c r="BG12" s="920"/>
      <c r="BJ12" s="139"/>
      <c r="BK12" s="849" t="s">
        <v>758</v>
      </c>
      <c r="BL12" s="850"/>
      <c r="BM12" s="139"/>
      <c r="BN12" s="139"/>
      <c r="BO12" s="139"/>
      <c r="BP12" s="139"/>
      <c r="BQ12" s="139"/>
      <c r="BX12" s="795"/>
      <c r="BY12" s="796"/>
      <c r="BZ12" s="797"/>
      <c r="CA12" s="826"/>
      <c r="CB12" s="731" t="s">
        <v>970</v>
      </c>
      <c r="CC12" s="732"/>
      <c r="CD12" s="732"/>
      <c r="CE12" s="732"/>
      <c r="CF12" s="732"/>
      <c r="CG12" s="732"/>
      <c r="CH12" s="732"/>
      <c r="CI12" s="732"/>
      <c r="CJ12" s="732"/>
      <c r="CK12" s="732"/>
      <c r="CL12" s="732"/>
      <c r="CM12" s="732"/>
      <c r="CN12" s="732"/>
      <c r="CO12" s="808">
        <v>1.7999999999999999E-2</v>
      </c>
      <c r="CP12" s="809"/>
      <c r="CQ12" s="1211" t="s">
        <v>737</v>
      </c>
      <c r="CR12" s="1212"/>
      <c r="CS12" s="712"/>
      <c r="CT12" s="1543" t="s">
        <v>815</v>
      </c>
      <c r="CU12" s="1544"/>
      <c r="CV12" s="746"/>
      <c r="CY12" s="144"/>
      <c r="CZ12" s="144"/>
      <c r="DA12" s="144"/>
      <c r="DB12" s="144"/>
      <c r="DC12" s="144"/>
      <c r="DD12" s="144"/>
      <c r="DE12" s="144"/>
      <c r="DF12" s="144"/>
      <c r="DG12" s="144"/>
      <c r="DH12" s="144"/>
      <c r="DI12" s="144"/>
      <c r="DJ12" s="144"/>
      <c r="DK12" s="144"/>
      <c r="DL12" s="144"/>
      <c r="DM12" s="144"/>
      <c r="DZ12" s="795"/>
      <c r="EA12" s="796"/>
      <c r="EB12" s="797"/>
      <c r="EC12" s="826"/>
      <c r="ED12" s="816" t="s">
        <v>48</v>
      </c>
      <c r="EE12" s="816"/>
      <c r="EF12" s="816"/>
      <c r="EG12" s="816"/>
      <c r="EH12" s="816"/>
      <c r="EI12" s="816"/>
      <c r="EJ12" s="816"/>
      <c r="EK12" s="816"/>
      <c r="EL12" s="816"/>
      <c r="EM12" s="816"/>
      <c r="EN12" s="816"/>
      <c r="EO12" s="816"/>
      <c r="EP12" s="685"/>
      <c r="EQ12" s="923">
        <v>1.5</v>
      </c>
      <c r="ER12" s="924"/>
      <c r="ES12" s="759" t="s">
        <v>18</v>
      </c>
      <c r="ET12" s="760"/>
      <c r="EU12" s="712"/>
      <c r="EV12" s="716" t="s">
        <v>1043</v>
      </c>
      <c r="EW12" s="717"/>
      <c r="EX12" s="746"/>
      <c r="GF12" s="795"/>
      <c r="GG12" s="796"/>
      <c r="GH12" s="797"/>
      <c r="GI12" s="825"/>
      <c r="GJ12" s="700" t="s">
        <v>55</v>
      </c>
      <c r="GK12" s="701"/>
      <c r="GL12" s="701"/>
      <c r="GM12" s="701"/>
      <c r="GN12" s="701"/>
      <c r="GO12" s="701"/>
      <c r="GP12" s="701"/>
      <c r="GQ12" s="701"/>
      <c r="GR12" s="701"/>
      <c r="GS12" s="701"/>
      <c r="GT12" s="701"/>
      <c r="GU12" s="701"/>
      <c r="GV12" s="701"/>
      <c r="GW12" s="808">
        <v>2</v>
      </c>
      <c r="GX12" s="809"/>
      <c r="GY12" s="1203" t="s">
        <v>50</v>
      </c>
      <c r="GZ12" s="1063"/>
      <c r="HA12" s="712"/>
      <c r="HB12" s="740" t="s">
        <v>757</v>
      </c>
      <c r="HC12" s="742"/>
      <c r="HD12" s="746"/>
      <c r="HE12" s="144"/>
      <c r="LF12" s="229"/>
      <c r="LG12" s="229"/>
      <c r="LJ12" s="229"/>
      <c r="LL12" s="229"/>
      <c r="LM12" s="229"/>
      <c r="LN12" s="229"/>
      <c r="LO12" s="229"/>
      <c r="LP12" s="379"/>
      <c r="LQ12" s="379"/>
      <c r="LR12" s="379"/>
      <c r="LS12" s="379"/>
      <c r="LT12" s="379"/>
      <c r="LU12" s="379"/>
      <c r="LV12" s="379"/>
      <c r="OU12" s="144"/>
      <c r="OV12" s="144"/>
      <c r="RC12" s="1671" t="s">
        <v>436</v>
      </c>
      <c r="RD12" s="880" t="s">
        <v>1323</v>
      </c>
      <c r="RE12" s="880"/>
      <c r="RF12" s="1439" t="s">
        <v>1771</v>
      </c>
      <c r="RG12" s="1439"/>
      <c r="RH12" s="1439"/>
      <c r="RI12" s="1439"/>
      <c r="RJ12" s="1675" t="s">
        <v>1779</v>
      </c>
      <c r="RK12" s="1676"/>
      <c r="RL12" s="1677"/>
      <c r="RM12" s="834" t="s">
        <v>1034</v>
      </c>
      <c r="RN12" s="835"/>
      <c r="RO12" s="835"/>
      <c r="RP12" s="835"/>
      <c r="RQ12" s="835"/>
      <c r="RR12" s="836"/>
      <c r="RS12" s="842" t="s">
        <v>1033</v>
      </c>
      <c r="RT12" s="842"/>
      <c r="RU12" s="842"/>
      <c r="RV12" s="842"/>
      <c r="RW12" s="842"/>
      <c r="RX12" s="842"/>
      <c r="RY12" s="871" t="s">
        <v>772</v>
      </c>
      <c r="RZ12" s="872"/>
      <c r="SA12" s="872"/>
      <c r="SB12" s="873"/>
      <c r="SC12" s="871" t="s">
        <v>1035</v>
      </c>
      <c r="SD12" s="872"/>
      <c r="SE12" s="872"/>
      <c r="SF12" s="873"/>
      <c r="SG12" s="871" t="s">
        <v>1036</v>
      </c>
      <c r="SH12" s="872"/>
      <c r="SI12" s="872"/>
      <c r="SJ12" s="873"/>
      <c r="SK12" s="871" t="s">
        <v>1037</v>
      </c>
      <c r="SL12" s="872"/>
      <c r="SM12" s="872"/>
      <c r="SN12" s="873"/>
      <c r="SO12" s="1438" t="s">
        <v>1038</v>
      </c>
      <c r="SP12" s="1438"/>
      <c r="SQ12" s="1438"/>
      <c r="SR12" s="1438"/>
      <c r="SS12" s="1438"/>
      <c r="ST12" s="834" t="s">
        <v>1039</v>
      </c>
      <c r="SU12" s="835"/>
      <c r="SV12" s="835"/>
      <c r="SW12" s="835"/>
      <c r="SX12" s="835"/>
      <c r="SY12" s="836"/>
      <c r="SZ12" s="834" t="s">
        <v>1040</v>
      </c>
      <c r="TA12" s="835"/>
      <c r="TB12" s="835"/>
      <c r="TC12" s="835"/>
      <c r="TD12" s="835"/>
      <c r="TE12" s="836"/>
      <c r="TF12" s="842" t="s">
        <v>1035</v>
      </c>
      <c r="TG12" s="842"/>
      <c r="TH12" s="842"/>
      <c r="TI12" s="834" t="s">
        <v>1772</v>
      </c>
      <c r="TJ12" s="835"/>
      <c r="TK12" s="835"/>
      <c r="TL12" s="836"/>
      <c r="TM12" s="834" t="s">
        <v>1773</v>
      </c>
      <c r="TN12" s="835"/>
      <c r="TO12" s="835"/>
      <c r="TP12" s="836"/>
      <c r="TQ12" s="834" t="s">
        <v>1774</v>
      </c>
      <c r="TR12" s="835"/>
      <c r="TS12" s="835"/>
      <c r="TT12" s="836"/>
      <c r="TU12" s="1174" t="s">
        <v>1775</v>
      </c>
      <c r="TV12" s="1044"/>
      <c r="TW12" s="1044"/>
      <c r="TX12" s="1044"/>
      <c r="TY12" s="1044"/>
      <c r="TZ12" s="1226"/>
      <c r="UA12" s="880" t="s">
        <v>1323</v>
      </c>
      <c r="UB12" s="880"/>
      <c r="UC12" s="1231"/>
      <c r="UD12" s="1661" t="s">
        <v>1021</v>
      </c>
      <c r="UE12" s="1661"/>
      <c r="UF12" s="1661"/>
      <c r="UG12" s="1661"/>
      <c r="UH12" s="1661"/>
      <c r="UI12" s="1661"/>
      <c r="UJ12" s="1661"/>
      <c r="UK12" s="1052"/>
      <c r="UL12" s="1052"/>
      <c r="UM12" s="1052"/>
      <c r="UN12" s="1052"/>
      <c r="UO12" s="1052"/>
      <c r="UP12" s="1052"/>
      <c r="UQ12" s="1052"/>
      <c r="UR12" s="1052"/>
      <c r="US12" s="1052"/>
      <c r="UT12" s="1052"/>
      <c r="UU12" s="1052"/>
      <c r="UV12" s="1052"/>
      <c r="UW12" s="1052"/>
      <c r="WC12" s="857"/>
      <c r="WD12" s="858"/>
      <c r="WE12" s="816" t="s">
        <v>1770</v>
      </c>
      <c r="WF12" s="816"/>
      <c r="WG12" s="816"/>
      <c r="WH12" s="816"/>
      <c r="WI12" s="816"/>
      <c r="WJ12" s="816"/>
      <c r="WK12" s="816"/>
      <c r="WL12" s="816"/>
      <c r="WM12" s="816"/>
      <c r="WN12" s="816"/>
      <c r="WO12" s="816"/>
      <c r="WP12" s="816"/>
      <c r="WQ12" s="816"/>
      <c r="WR12" s="816"/>
      <c r="WS12" s="816"/>
      <c r="WT12" s="816"/>
      <c r="WU12" s="816"/>
      <c r="WV12" s="816"/>
      <c r="WW12" s="816"/>
      <c r="WX12" s="816"/>
      <c r="WY12" s="816"/>
      <c r="WZ12" s="816"/>
      <c r="XA12" s="816"/>
      <c r="XB12" s="816"/>
      <c r="XC12" s="816"/>
      <c r="XD12" s="816"/>
      <c r="XE12" s="816"/>
      <c r="XF12" s="816"/>
      <c r="XG12" s="685"/>
      <c r="XH12" s="181"/>
      <c r="XI12" s="185"/>
      <c r="XQ12" s="216"/>
      <c r="XR12" s="665" t="s">
        <v>923</v>
      </c>
      <c r="XS12" s="667"/>
      <c r="XT12" s="216"/>
      <c r="XU12" s="685" t="s">
        <v>143</v>
      </c>
      <c r="XV12" s="686"/>
      <c r="XW12" s="686"/>
      <c r="XX12" s="686"/>
      <c r="XY12" s="686"/>
      <c r="XZ12" s="686"/>
      <c r="YA12" s="686"/>
      <c r="YB12" s="686"/>
      <c r="YC12" s="686"/>
      <c r="YD12" s="686"/>
      <c r="YE12" s="687"/>
      <c r="YF12" s="216"/>
      <c r="AAD12" s="947"/>
      <c r="AAE12" s="947"/>
      <c r="AAF12" s="947"/>
      <c r="AAG12" s="947"/>
      <c r="AAH12" s="465">
        <v>2</v>
      </c>
      <c r="AAI12" s="956"/>
      <c r="AAJ12" s="957"/>
      <c r="AAK12" s="956"/>
      <c r="AAL12" s="957"/>
      <c r="AAM12" s="958">
        <f t="shared" ref="AAM12:AAM16" si="0">(4/300*AAH12)</f>
        <v>2.6666666666666668E-2</v>
      </c>
      <c r="AAN12" s="959"/>
      <c r="AAP12" s="947"/>
      <c r="AAQ12" s="947"/>
      <c r="AAR12" s="947"/>
      <c r="AAS12" s="947"/>
      <c r="AAT12" s="465">
        <v>62</v>
      </c>
      <c r="AAU12" s="956"/>
      <c r="AAV12" s="957"/>
      <c r="AAW12" s="956"/>
      <c r="AAX12" s="957"/>
      <c r="AAY12" s="958">
        <f t="shared" ref="AAY12:AAY70" si="1">(4/300*AAT12)</f>
        <v>0.82666666666666677</v>
      </c>
      <c r="AAZ12" s="959"/>
      <c r="ABB12" s="947"/>
      <c r="ABC12" s="947"/>
      <c r="ABD12" s="947"/>
      <c r="ABE12" s="947"/>
      <c r="ABF12" s="465">
        <v>122</v>
      </c>
      <c r="ABG12" s="956"/>
      <c r="ABH12" s="957"/>
      <c r="ABI12" s="956"/>
      <c r="ABJ12" s="957"/>
      <c r="ABK12" s="958">
        <f t="shared" ref="ABK12:ABK70" si="2">(4/300*ABF12)</f>
        <v>1.6266666666666667</v>
      </c>
      <c r="ABL12" s="959"/>
      <c r="ABN12" s="947"/>
      <c r="ABO12" s="947"/>
      <c r="ABP12" s="947"/>
      <c r="ABQ12" s="947"/>
      <c r="ABR12" s="465">
        <v>182</v>
      </c>
      <c r="ABS12" s="956"/>
      <c r="ABT12" s="957"/>
      <c r="ABU12" s="956"/>
      <c r="ABV12" s="957"/>
      <c r="ABW12" s="958">
        <f t="shared" ref="ABW12:ABW70" si="3">(4/300*ABR12)</f>
        <v>2.4266666666666667</v>
      </c>
      <c r="ABX12" s="959"/>
      <c r="ABZ12" s="947"/>
      <c r="ACA12" s="947"/>
      <c r="ACB12" s="947"/>
      <c r="ACC12" s="947"/>
      <c r="ACD12" s="465">
        <v>242</v>
      </c>
      <c r="ACE12" s="956"/>
      <c r="ACF12" s="957"/>
      <c r="ACG12" s="956"/>
      <c r="ACH12" s="957"/>
      <c r="ACI12" s="958">
        <f t="shared" ref="ACI12:ACI70" si="4">(4/300*ACD12)</f>
        <v>3.226666666666667</v>
      </c>
      <c r="ACJ12" s="959"/>
      <c r="ADB12" s="1033">
        <v>1</v>
      </c>
      <c r="ADC12" s="1033"/>
      <c r="ADD12" s="863" t="s">
        <v>1602</v>
      </c>
      <c r="ADE12" s="863"/>
      <c r="ADF12" s="863"/>
      <c r="ADG12" s="863"/>
      <c r="ADH12" s="948">
        <f>$YC$22</f>
        <v>9.1500000000000001E-3</v>
      </c>
      <c r="ADI12" s="965"/>
      <c r="ADJ12" s="1070" t="s">
        <v>762</v>
      </c>
      <c r="ADK12" s="1070"/>
      <c r="ADL12" s="1388">
        <f>63.61*$ADH$12*(ADN11)^0.5</f>
        <v>0.58203150000000003</v>
      </c>
      <c r="ADM12" s="1034"/>
      <c r="ADN12" s="1388">
        <f>63.61*$ADH$12*(ADP11)^0.5</f>
        <v>0.5205847996184676</v>
      </c>
      <c r="ADO12" s="1034"/>
      <c r="ADP12" s="1388">
        <f>63.61*$ADH$12*(ADR11)^0.5</f>
        <v>0.45083966129362446</v>
      </c>
      <c r="ADQ12" s="1034"/>
      <c r="ADR12" s="1388">
        <f>63.61*$ADH$12*(ADT11)^0.5</f>
        <v>0.41155842051417807</v>
      </c>
      <c r="ADS12" s="1034"/>
      <c r="ADT12" s="1388">
        <f>63.61*$ADH$12*(ADV11)^0.5</f>
        <v>0.2602923998092338</v>
      </c>
      <c r="ADU12" s="1034"/>
      <c r="ADV12" s="1388">
        <f>63.61*$ADH$12*(ADX11)^0.5</f>
        <v>0.18405452099642922</v>
      </c>
      <c r="ADW12" s="1034"/>
      <c r="ADX12" s="859"/>
      <c r="ADY12" s="1016"/>
      <c r="ADZ12" s="1016"/>
      <c r="AEA12" s="1016"/>
      <c r="AEB12" s="1016"/>
      <c r="AEC12" s="1016"/>
      <c r="AED12" s="1016"/>
      <c r="AEE12" s="173"/>
      <c r="AEF12" s="174"/>
      <c r="AEG12" s="174"/>
      <c r="AEH12" s="174"/>
      <c r="AEI12" s="174"/>
      <c r="AEJ12" s="174"/>
      <c r="AEK12" s="175"/>
      <c r="AEM12" s="1386"/>
      <c r="AEN12" s="1386"/>
      <c r="AEO12" s="1386"/>
      <c r="AEP12" s="1386"/>
      <c r="AEQ12" s="1386"/>
      <c r="AER12" s="1386"/>
      <c r="AES12" s="1386"/>
      <c r="AET12" s="1386"/>
      <c r="AEU12" s="1386"/>
      <c r="AEV12" s="1386"/>
      <c r="AEW12" s="1386"/>
      <c r="AEX12" s="1386"/>
      <c r="AEY12" s="1386"/>
      <c r="AEZ12" s="1386"/>
      <c r="AFA12" s="1386"/>
      <c r="AFC12" s="1144"/>
      <c r="AFD12" s="1145"/>
      <c r="AFE12" s="1145"/>
      <c r="AFF12" s="1145"/>
      <c r="AFG12" s="1145"/>
      <c r="AFH12" s="1145"/>
      <c r="AFI12" s="1145"/>
      <c r="AFJ12" s="1145"/>
      <c r="AFK12" s="1145"/>
      <c r="AFL12" s="1145"/>
      <c r="AFM12" s="1145"/>
      <c r="AFN12" s="1146"/>
      <c r="AFO12" s="144"/>
      <c r="AHO12" s="144"/>
      <c r="AIO12" s="216"/>
      <c r="AIP12" s="665" t="s">
        <v>948</v>
      </c>
      <c r="AIQ12" s="667"/>
      <c r="AIR12" s="216"/>
      <c r="AIS12" s="728" t="s">
        <v>958</v>
      </c>
      <c r="AIT12" s="1053"/>
      <c r="AIU12" s="1053"/>
      <c r="AIV12" s="1053"/>
      <c r="AIW12" s="1053"/>
      <c r="AIX12" s="1053"/>
      <c r="AIY12" s="1053"/>
      <c r="AIZ12" s="1053"/>
      <c r="AJA12" s="1053"/>
      <c r="AJB12" s="1053"/>
      <c r="AJC12" s="1054"/>
      <c r="AJD12" s="216"/>
      <c r="AJU12" s="795"/>
      <c r="AJV12" s="796"/>
      <c r="AJW12" s="797"/>
      <c r="AJY12" s="795"/>
      <c r="AJZ12" s="796"/>
      <c r="AKA12" s="797"/>
      <c r="AMT12" s="825"/>
      <c r="AMU12" s="147" t="s">
        <v>442</v>
      </c>
      <c r="AMV12" s="148"/>
      <c r="AMW12" s="152"/>
      <c r="AMX12" s="87"/>
      <c r="AMY12" s="87"/>
      <c r="AMZ12" s="87"/>
      <c r="ANA12" s="87"/>
      <c r="ANB12" s="87"/>
      <c r="ANC12" s="87"/>
      <c r="AND12" s="152"/>
      <c r="ANE12" s="85" t="s">
        <v>467</v>
      </c>
      <c r="ANF12" s="757" t="s">
        <v>461</v>
      </c>
      <c r="ANG12" s="758"/>
      <c r="ANH12" s="819" t="s">
        <v>126</v>
      </c>
      <c r="ANI12" s="820"/>
      <c r="ANJ12" s="675" t="s">
        <v>731</v>
      </c>
      <c r="ANK12" s="676"/>
      <c r="ANL12" s="821" t="s">
        <v>473</v>
      </c>
      <c r="ANM12" s="822"/>
      <c r="ANN12" s="822"/>
      <c r="ANO12" s="823"/>
    </row>
    <row r="13" spans="4:1024 1034:1055" ht="48" customHeight="1" thickBot="1">
      <c r="J13" s="144"/>
      <c r="K13" s="144"/>
      <c r="L13" s="144"/>
      <c r="M13" s="144"/>
      <c r="N13" s="85" t="s">
        <v>843</v>
      </c>
      <c r="O13" s="85" t="s">
        <v>840</v>
      </c>
      <c r="P13" s="85" t="s">
        <v>842</v>
      </c>
      <c r="Q13" s="85" t="s">
        <v>841</v>
      </c>
      <c r="R13" s="215" t="s">
        <v>898</v>
      </c>
      <c r="S13" s="139"/>
      <c r="T13" s="139"/>
      <c r="U13" s="76"/>
      <c r="V13" s="216"/>
      <c r="W13" s="84" t="s">
        <v>477</v>
      </c>
      <c r="AI13" s="827"/>
      <c r="AJ13" s="1491"/>
      <c r="AK13" s="805"/>
      <c r="AL13" s="805"/>
      <c r="AM13" s="805"/>
      <c r="AN13" s="805"/>
      <c r="AO13" s="805"/>
      <c r="AP13" s="805"/>
      <c r="AQ13" s="805"/>
      <c r="AR13" s="805"/>
      <c r="AS13" s="805"/>
      <c r="AT13" s="805"/>
      <c r="AU13" s="805"/>
      <c r="AV13" s="805"/>
      <c r="AW13" s="1399"/>
      <c r="AX13" s="736"/>
      <c r="AY13" s="851"/>
      <c r="AZ13" s="852"/>
      <c r="BA13" s="713"/>
      <c r="BB13" s="743"/>
      <c r="BC13" s="745"/>
      <c r="BD13" s="747"/>
      <c r="BE13" s="892"/>
      <c r="BF13" s="893"/>
      <c r="BG13" s="894"/>
      <c r="BJ13" s="139"/>
      <c r="BK13" s="851"/>
      <c r="BL13" s="852"/>
      <c r="BM13" s="139"/>
      <c r="BN13" s="139"/>
      <c r="BO13" s="139"/>
      <c r="BX13" s="798"/>
      <c r="BY13" s="799"/>
      <c r="BZ13" s="800"/>
      <c r="CA13" s="827"/>
      <c r="CB13" s="734"/>
      <c r="CC13" s="735"/>
      <c r="CD13" s="735"/>
      <c r="CE13" s="735"/>
      <c r="CF13" s="735"/>
      <c r="CG13" s="735"/>
      <c r="CH13" s="735"/>
      <c r="CI13" s="735"/>
      <c r="CJ13" s="735"/>
      <c r="CK13" s="735"/>
      <c r="CL13" s="735"/>
      <c r="CM13" s="735"/>
      <c r="CN13" s="735"/>
      <c r="CO13" s="810"/>
      <c r="CP13" s="811"/>
      <c r="CQ13" s="1215"/>
      <c r="CR13" s="1216"/>
      <c r="CS13" s="713"/>
      <c r="CT13" s="1545"/>
      <c r="CU13" s="1546"/>
      <c r="CV13" s="747"/>
      <c r="CY13" s="144"/>
      <c r="CZ13" s="144"/>
      <c r="DA13" s="144"/>
      <c r="DB13" s="144"/>
      <c r="DC13" s="144"/>
      <c r="DD13" s="144"/>
      <c r="DE13" s="144"/>
      <c r="DF13" s="144"/>
      <c r="DG13" s="144"/>
      <c r="DH13" s="144"/>
      <c r="DI13" s="144"/>
      <c r="DJ13" s="144"/>
      <c r="DK13" s="144"/>
      <c r="DL13" s="144"/>
      <c r="DM13" s="144"/>
      <c r="DZ13" s="798"/>
      <c r="EA13" s="799"/>
      <c r="EB13" s="800"/>
      <c r="EC13" s="827"/>
      <c r="ED13" s="818"/>
      <c r="EE13" s="818"/>
      <c r="EF13" s="818"/>
      <c r="EG13" s="818"/>
      <c r="EH13" s="818"/>
      <c r="EI13" s="818"/>
      <c r="EJ13" s="818"/>
      <c r="EK13" s="818"/>
      <c r="EL13" s="818"/>
      <c r="EM13" s="818"/>
      <c r="EN13" s="818"/>
      <c r="EO13" s="818"/>
      <c r="EP13" s="1106"/>
      <c r="EQ13" s="925"/>
      <c r="ER13" s="926"/>
      <c r="ES13" s="761"/>
      <c r="ET13" s="762"/>
      <c r="EU13" s="713"/>
      <c r="EV13" s="718"/>
      <c r="EW13" s="719"/>
      <c r="EX13" s="747"/>
      <c r="GF13" s="798"/>
      <c r="GG13" s="799"/>
      <c r="GH13" s="800"/>
      <c r="GI13" s="827"/>
      <c r="GJ13" s="706"/>
      <c r="GK13" s="707"/>
      <c r="GL13" s="707"/>
      <c r="GM13" s="707"/>
      <c r="GN13" s="707"/>
      <c r="GO13" s="707"/>
      <c r="GP13" s="707"/>
      <c r="GQ13" s="707"/>
      <c r="GR13" s="707"/>
      <c r="GS13" s="707"/>
      <c r="GT13" s="707"/>
      <c r="GU13" s="707"/>
      <c r="GV13" s="707"/>
      <c r="GW13" s="810"/>
      <c r="GX13" s="811"/>
      <c r="GY13" s="1204"/>
      <c r="GZ13" s="1065"/>
      <c r="HA13" s="713"/>
      <c r="HB13" s="743"/>
      <c r="HC13" s="745"/>
      <c r="HD13" s="747"/>
      <c r="HE13" s="144"/>
      <c r="IR13" s="767"/>
      <c r="IS13" s="665" t="s">
        <v>442</v>
      </c>
      <c r="IT13" s="667"/>
      <c r="IU13" s="592"/>
      <c r="IV13" s="87"/>
      <c r="IW13" s="87"/>
      <c r="IX13" s="87"/>
      <c r="IY13" s="87"/>
      <c r="IZ13" s="87"/>
      <c r="JA13" s="87"/>
      <c r="JB13" s="592"/>
      <c r="JC13" s="85" t="s">
        <v>467</v>
      </c>
      <c r="JD13" s="757" t="s">
        <v>461</v>
      </c>
      <c r="JE13" s="899"/>
      <c r="JF13" s="774" t="s">
        <v>126</v>
      </c>
      <c r="JG13" s="776"/>
      <c r="JH13" s="675" t="s">
        <v>731</v>
      </c>
      <c r="JI13" s="676"/>
      <c r="JJ13" s="821" t="s">
        <v>473</v>
      </c>
      <c r="JK13" s="822"/>
      <c r="JL13" s="822"/>
      <c r="JM13" s="823"/>
      <c r="JN13" s="769" t="s">
        <v>462</v>
      </c>
      <c r="JO13" s="769"/>
      <c r="JP13" s="769"/>
      <c r="JQ13" s="769"/>
      <c r="JR13" s="769"/>
      <c r="LF13" s="229"/>
      <c r="LH13" s="229"/>
      <c r="LI13" s="229"/>
      <c r="LJ13" s="229"/>
      <c r="LK13" s="229"/>
      <c r="LL13" s="229"/>
      <c r="LM13" s="229"/>
      <c r="LN13" s="229"/>
      <c r="LO13" s="229"/>
      <c r="LP13" s="379"/>
      <c r="LR13" s="379"/>
      <c r="LS13" s="379"/>
      <c r="LT13" s="379"/>
      <c r="LU13" s="379"/>
      <c r="LV13" s="379"/>
      <c r="OI13" s="144"/>
      <c r="OJ13" s="144"/>
      <c r="OK13" s="144"/>
      <c r="OL13" s="144"/>
      <c r="OM13" s="144"/>
      <c r="OR13" s="144"/>
      <c r="OS13" s="144"/>
      <c r="OT13" s="144"/>
      <c r="OU13" s="144"/>
      <c r="OV13" s="144"/>
      <c r="OW13" s="144"/>
      <c r="OX13" s="144"/>
      <c r="OY13" s="144"/>
      <c r="PB13" s="144"/>
      <c r="PC13" s="144"/>
      <c r="PD13" s="144"/>
      <c r="PE13" s="144"/>
      <c r="PF13" s="150"/>
      <c r="PG13" s="973"/>
      <c r="PH13" s="973"/>
      <c r="PI13" s="973"/>
      <c r="PJ13" s="973"/>
      <c r="PK13" s="973"/>
      <c r="PL13" s="973"/>
      <c r="PM13" s="973"/>
      <c r="PN13" s="973"/>
      <c r="PO13" s="973"/>
      <c r="PP13" s="973"/>
      <c r="PQ13" s="973"/>
      <c r="PR13" s="973"/>
      <c r="PS13" s="973"/>
      <c r="PT13" s="973"/>
      <c r="PU13" s="973"/>
      <c r="PV13" s="973"/>
      <c r="PW13" s="973"/>
      <c r="PX13" s="973"/>
      <c r="PY13" s="973"/>
      <c r="PZ13" s="973"/>
      <c r="QA13" s="973"/>
      <c r="QB13" s="973"/>
      <c r="QC13" s="973"/>
      <c r="QD13" s="973"/>
      <c r="QE13" s="973"/>
      <c r="QF13" s="973"/>
      <c r="QG13" s="973"/>
      <c r="QH13" s="973"/>
      <c r="QI13" s="973"/>
      <c r="QJ13" s="973"/>
      <c r="QK13" s="973"/>
      <c r="QL13" s="973"/>
      <c r="QM13" s="973"/>
      <c r="QN13" s="973"/>
      <c r="QO13" s="973"/>
      <c r="QP13" s="973"/>
      <c r="QQ13" s="973"/>
      <c r="QR13" s="973"/>
      <c r="QS13" s="973"/>
      <c r="QT13" s="973"/>
      <c r="QU13" s="973"/>
      <c r="QV13" s="973"/>
      <c r="QW13" s="973"/>
      <c r="QX13" s="973"/>
      <c r="QY13" s="973"/>
      <c r="QZ13" s="973"/>
      <c r="RA13" s="150"/>
      <c r="RC13" s="1672"/>
      <c r="RD13" s="880"/>
      <c r="RE13" s="880"/>
      <c r="RF13" s="1440"/>
      <c r="RG13" s="1440"/>
      <c r="RH13" s="1440"/>
      <c r="RI13" s="1440"/>
      <c r="RJ13" s="1678"/>
      <c r="RK13" s="1679"/>
      <c r="RL13" s="1680"/>
      <c r="RM13" s="837"/>
      <c r="RN13" s="838"/>
      <c r="RO13" s="838"/>
      <c r="RP13" s="838"/>
      <c r="RQ13" s="838"/>
      <c r="RR13" s="839"/>
      <c r="RS13" s="842"/>
      <c r="RT13" s="842"/>
      <c r="RU13" s="842"/>
      <c r="RV13" s="842"/>
      <c r="RW13" s="842"/>
      <c r="RX13" s="842"/>
      <c r="RY13" s="871"/>
      <c r="RZ13" s="872"/>
      <c r="SA13" s="872"/>
      <c r="SB13" s="873"/>
      <c r="SC13" s="871"/>
      <c r="SD13" s="872"/>
      <c r="SE13" s="872"/>
      <c r="SF13" s="873"/>
      <c r="SG13" s="871"/>
      <c r="SH13" s="872"/>
      <c r="SI13" s="872"/>
      <c r="SJ13" s="873"/>
      <c r="SK13" s="871"/>
      <c r="SL13" s="872"/>
      <c r="SM13" s="872"/>
      <c r="SN13" s="873"/>
      <c r="SO13" s="877"/>
      <c r="SP13" s="877"/>
      <c r="SQ13" s="877"/>
      <c r="SR13" s="877"/>
      <c r="SS13" s="877"/>
      <c r="ST13" s="837"/>
      <c r="SU13" s="838"/>
      <c r="SV13" s="838"/>
      <c r="SW13" s="838"/>
      <c r="SX13" s="838"/>
      <c r="SY13" s="839"/>
      <c r="SZ13" s="837"/>
      <c r="TA13" s="838"/>
      <c r="TB13" s="838"/>
      <c r="TC13" s="838"/>
      <c r="TD13" s="838"/>
      <c r="TE13" s="839"/>
      <c r="TF13" s="877"/>
      <c r="TG13" s="877"/>
      <c r="TH13" s="877"/>
      <c r="TI13" s="837"/>
      <c r="TJ13" s="838"/>
      <c r="TK13" s="838"/>
      <c r="TL13" s="839"/>
      <c r="TM13" s="837"/>
      <c r="TN13" s="838"/>
      <c r="TO13" s="838"/>
      <c r="TP13" s="839"/>
      <c r="TQ13" s="837"/>
      <c r="TR13" s="838"/>
      <c r="TS13" s="838"/>
      <c r="TT13" s="839"/>
      <c r="TU13" s="1227"/>
      <c r="TV13" s="1228"/>
      <c r="TW13" s="1228"/>
      <c r="TX13" s="1228"/>
      <c r="TY13" s="1228"/>
      <c r="TZ13" s="1229"/>
      <c r="UA13" s="1231"/>
      <c r="UB13" s="1231"/>
      <c r="UC13" s="1673"/>
      <c r="UD13" s="1661"/>
      <c r="UE13" s="1661"/>
      <c r="UF13" s="1661"/>
      <c r="UG13" s="1661"/>
      <c r="UH13" s="1661"/>
      <c r="UI13" s="1661"/>
      <c r="UJ13" s="1661"/>
      <c r="UK13" s="1230"/>
      <c r="UL13" s="1230"/>
      <c r="UM13" s="1230"/>
      <c r="UN13" s="1230"/>
      <c r="UO13" s="1230"/>
      <c r="UP13" s="1230"/>
      <c r="UQ13" s="1230"/>
      <c r="UR13" s="1230"/>
      <c r="US13" s="1052"/>
      <c r="UT13" s="1052"/>
      <c r="UU13" s="1052"/>
      <c r="UV13" s="1052"/>
      <c r="UW13" s="1052"/>
      <c r="VB13" s="863" t="s">
        <v>1777</v>
      </c>
      <c r="VC13" s="863"/>
      <c r="VD13" s="863"/>
      <c r="VE13" s="863"/>
      <c r="VF13" s="863"/>
      <c r="VG13" s="756">
        <f>ROUND(UI15,5)</f>
        <v>-0.38373000000000002</v>
      </c>
      <c r="VH13" s="756"/>
      <c r="WC13" s="859"/>
      <c r="WD13" s="860"/>
      <c r="WE13" s="878" t="s">
        <v>1737</v>
      </c>
      <c r="WF13" s="879"/>
      <c r="WG13" s="913">
        <f>$AQ$4</f>
        <v>30000</v>
      </c>
      <c r="WH13" s="914"/>
      <c r="WI13" s="915"/>
      <c r="WJ13" s="853" t="s">
        <v>3</v>
      </c>
      <c r="WK13" s="854"/>
      <c r="WL13" s="878" t="s">
        <v>1301</v>
      </c>
      <c r="WM13" s="879"/>
      <c r="WN13" s="833">
        <f>$JF$159</f>
        <v>10.982076761995994</v>
      </c>
      <c r="WO13" s="833"/>
      <c r="WP13" s="853" t="s">
        <v>35</v>
      </c>
      <c r="WQ13" s="854"/>
      <c r="WR13" s="885" t="s">
        <v>1763</v>
      </c>
      <c r="WS13" s="885"/>
      <c r="WT13" s="886">
        <f>$PX$200</f>
        <v>1264.0210863416883</v>
      </c>
      <c r="WU13" s="887"/>
      <c r="WV13" s="853" t="s">
        <v>3</v>
      </c>
      <c r="WW13" s="854"/>
      <c r="WX13" s="846" t="s">
        <v>1769</v>
      </c>
      <c r="WY13" s="847"/>
      <c r="WZ13" s="843">
        <f>$WR$80</f>
        <v>1.0321048617733104</v>
      </c>
      <c r="XA13" s="843"/>
      <c r="XB13" s="853" t="s">
        <v>415</v>
      </c>
      <c r="XC13" s="854"/>
      <c r="XD13" s="172"/>
      <c r="XE13" s="900"/>
      <c r="XF13" s="900"/>
      <c r="XG13" s="900"/>
      <c r="XH13" s="192"/>
      <c r="XI13" s="188"/>
      <c r="AAD13" s="947"/>
      <c r="AAE13" s="947"/>
      <c r="AAF13" s="947"/>
      <c r="AAG13" s="947"/>
      <c r="AAH13" s="465">
        <v>3</v>
      </c>
      <c r="AAI13" s="956"/>
      <c r="AAJ13" s="957"/>
      <c r="AAK13" s="956"/>
      <c r="AAL13" s="957"/>
      <c r="AAM13" s="958">
        <f t="shared" si="0"/>
        <v>0.04</v>
      </c>
      <c r="AAN13" s="959"/>
      <c r="AAP13" s="947"/>
      <c r="AAQ13" s="947"/>
      <c r="AAR13" s="947"/>
      <c r="AAS13" s="947"/>
      <c r="AAT13" s="465">
        <v>63</v>
      </c>
      <c r="AAU13" s="956"/>
      <c r="AAV13" s="957"/>
      <c r="AAW13" s="956"/>
      <c r="AAX13" s="957"/>
      <c r="AAY13" s="958">
        <f t="shared" si="1"/>
        <v>0.84000000000000008</v>
      </c>
      <c r="AAZ13" s="959"/>
      <c r="ABB13" s="947"/>
      <c r="ABC13" s="947"/>
      <c r="ABD13" s="947"/>
      <c r="ABE13" s="947"/>
      <c r="ABF13" s="465">
        <v>123</v>
      </c>
      <c r="ABG13" s="956"/>
      <c r="ABH13" s="957"/>
      <c r="ABI13" s="956"/>
      <c r="ABJ13" s="957"/>
      <c r="ABK13" s="958">
        <f t="shared" si="2"/>
        <v>1.6400000000000001</v>
      </c>
      <c r="ABL13" s="959"/>
      <c r="ABN13" s="947"/>
      <c r="ABO13" s="947"/>
      <c r="ABP13" s="947"/>
      <c r="ABQ13" s="947"/>
      <c r="ABR13" s="465">
        <v>183</v>
      </c>
      <c r="ABS13" s="956"/>
      <c r="ABT13" s="957"/>
      <c r="ABU13" s="956"/>
      <c r="ABV13" s="957"/>
      <c r="ABW13" s="958">
        <f t="shared" si="3"/>
        <v>2.44</v>
      </c>
      <c r="ABX13" s="959"/>
      <c r="ABZ13" s="947"/>
      <c r="ACA13" s="947"/>
      <c r="ACB13" s="947"/>
      <c r="ACC13" s="947"/>
      <c r="ACD13" s="465">
        <v>243</v>
      </c>
      <c r="ACE13" s="956"/>
      <c r="ACF13" s="957"/>
      <c r="ACG13" s="956"/>
      <c r="ACH13" s="957"/>
      <c r="ACI13" s="958">
        <f t="shared" si="4"/>
        <v>3.24</v>
      </c>
      <c r="ACJ13" s="959"/>
      <c r="ADB13" s="1033"/>
      <c r="ADC13" s="1033"/>
      <c r="ADD13" s="184"/>
      <c r="ADE13" s="184"/>
      <c r="ADF13" s="184"/>
      <c r="ADG13" s="184"/>
      <c r="ADH13" s="184"/>
      <c r="ADI13" s="186"/>
      <c r="ADJ13" s="1070"/>
      <c r="ADK13" s="1070"/>
      <c r="ADL13" s="1388"/>
      <c r="ADM13" s="1034"/>
      <c r="ADN13" s="1388"/>
      <c r="ADO13" s="1034"/>
      <c r="ADP13" s="1388"/>
      <c r="ADQ13" s="1034"/>
      <c r="ADR13" s="1388"/>
      <c r="ADS13" s="1034"/>
      <c r="ADT13" s="1388"/>
      <c r="ADU13" s="1034"/>
      <c r="ADV13" s="1388"/>
      <c r="ADW13" s="1034"/>
      <c r="ADX13" s="859"/>
      <c r="ADY13" s="1016"/>
      <c r="ADZ13" s="1016"/>
      <c r="AEA13" s="1016"/>
      <c r="AEB13" s="1016"/>
      <c r="AEC13" s="1016"/>
      <c r="AED13" s="1016"/>
      <c r="AEE13" s="176"/>
      <c r="AEF13" s="172"/>
      <c r="AEG13" s="172"/>
      <c r="AEH13" s="172"/>
      <c r="AEI13" s="172"/>
      <c r="AEJ13" s="172"/>
      <c r="AEK13" s="177"/>
      <c r="AEM13" s="1386"/>
      <c r="AEN13" s="1386"/>
      <c r="AEO13" s="1386"/>
      <c r="AEP13" s="1386"/>
      <c r="AEQ13" s="1386"/>
      <c r="AER13" s="1386"/>
      <c r="AES13" s="1386"/>
      <c r="AET13" s="1386"/>
      <c r="AEU13" s="1386"/>
      <c r="AEV13" s="1386"/>
      <c r="AEW13" s="1386"/>
      <c r="AEX13" s="1386"/>
      <c r="AEY13" s="1386"/>
      <c r="AEZ13" s="1386"/>
      <c r="AFA13" s="1386"/>
      <c r="AFC13" s="1144"/>
      <c r="AFD13" s="1145"/>
      <c r="AFE13" s="1145"/>
      <c r="AFF13" s="1145"/>
      <c r="AFG13" s="1145"/>
      <c r="AFH13" s="1145"/>
      <c r="AFI13" s="1145"/>
      <c r="AFJ13" s="1145"/>
      <c r="AFK13" s="1145"/>
      <c r="AFL13" s="1145"/>
      <c r="AFM13" s="1145"/>
      <c r="AFN13" s="1146"/>
      <c r="AFO13" s="144"/>
      <c r="AHO13" s="144"/>
      <c r="AJU13" s="798"/>
      <c r="AJV13" s="799"/>
      <c r="AJW13" s="800"/>
      <c r="AJY13" s="798"/>
      <c r="AJZ13" s="799"/>
      <c r="AKA13" s="800"/>
      <c r="AMT13" s="826"/>
      <c r="AMU13" s="816"/>
      <c r="AMV13" s="816"/>
      <c r="AMW13" s="816"/>
      <c r="AMX13" s="816"/>
      <c r="AMY13" s="816"/>
      <c r="AMZ13" s="816"/>
      <c r="ANA13" s="816"/>
      <c r="ANB13" s="816"/>
      <c r="ANC13" s="816"/>
      <c r="AND13" s="816"/>
      <c r="ANE13" s="816"/>
      <c r="ANF13" s="816"/>
      <c r="ANG13" s="816"/>
      <c r="ANH13" s="763"/>
      <c r="ANI13" s="764"/>
      <c r="ANJ13" s="1005"/>
      <c r="ANK13" s="1006"/>
      <c r="ANL13" s="712"/>
      <c r="ANM13" s="716" t="s">
        <v>442</v>
      </c>
      <c r="ANN13" s="717"/>
      <c r="ANO13" s="746"/>
    </row>
    <row r="14" spans="4:1024 1034:1055" ht="48" customHeight="1" thickBot="1">
      <c r="J14" s="144"/>
      <c r="K14" s="144"/>
      <c r="L14" s="144"/>
      <c r="M14" s="144"/>
      <c r="N14" s="85" t="s">
        <v>845</v>
      </c>
      <c r="O14" s="85" t="s">
        <v>847</v>
      </c>
      <c r="P14" s="85" t="s">
        <v>844</v>
      </c>
      <c r="Q14" s="85" t="s">
        <v>846</v>
      </c>
      <c r="R14" s="85"/>
      <c r="S14" s="139"/>
      <c r="T14" s="139"/>
      <c r="V14" s="216"/>
      <c r="W14" s="84" t="s">
        <v>729</v>
      </c>
      <c r="BJ14" s="139"/>
      <c r="BK14" s="139"/>
      <c r="BL14" s="139"/>
      <c r="BM14" s="139"/>
      <c r="BN14" s="139"/>
      <c r="BO14" s="139"/>
      <c r="BP14" s="139"/>
      <c r="BQ14" s="139"/>
      <c r="BR14" s="72"/>
      <c r="BS14" s="72"/>
      <c r="BT14" s="72"/>
      <c r="BX14" s="72"/>
      <c r="BY14" s="72"/>
      <c r="CC14" s="72"/>
      <c r="CD14" s="72"/>
      <c r="CE14" s="72"/>
      <c r="CF14" s="72"/>
      <c r="CG14" s="72"/>
      <c r="CH14" s="72"/>
      <c r="CI14" s="72"/>
      <c r="CJ14" s="72"/>
      <c r="CK14" s="72"/>
      <c r="CL14" s="72"/>
      <c r="CM14" s="72"/>
      <c r="CN14" s="72"/>
      <c r="CY14" s="144"/>
      <c r="CZ14" s="144"/>
      <c r="DA14" s="144"/>
      <c r="DB14" s="144"/>
      <c r="DC14" s="144"/>
      <c r="DD14" s="144"/>
      <c r="DE14" s="144"/>
      <c r="DF14" s="144"/>
      <c r="DG14" s="144"/>
      <c r="DH14" s="144"/>
      <c r="DI14" s="144"/>
      <c r="DJ14" s="144"/>
      <c r="DK14" s="144"/>
      <c r="DL14" s="144"/>
      <c r="DM14" s="144"/>
      <c r="IR14" s="767"/>
      <c r="IS14" s="591" t="s">
        <v>1196</v>
      </c>
      <c r="IT14" s="863" t="s">
        <v>1710</v>
      </c>
      <c r="IU14" s="863"/>
      <c r="IV14" s="677">
        <f>$EN$49</f>
        <v>26.688160557818726</v>
      </c>
      <c r="IW14" s="677"/>
      <c r="IX14" s="700" t="s">
        <v>73</v>
      </c>
      <c r="IY14" s="701"/>
      <c r="IZ14" s="701"/>
      <c r="JA14" s="701"/>
      <c r="JB14" s="701"/>
      <c r="JC14" s="701"/>
      <c r="JD14" s="701"/>
      <c r="JE14" s="702"/>
      <c r="JF14" s="1087">
        <f>2*IV14/1000*IV15</f>
        <v>81.132008095768938</v>
      </c>
      <c r="JG14" s="1006"/>
      <c r="JH14" s="1203" t="s">
        <v>35</v>
      </c>
      <c r="JI14" s="1063"/>
      <c r="JJ14" s="714"/>
      <c r="JK14" s="716" t="s">
        <v>1199</v>
      </c>
      <c r="JL14" s="717"/>
      <c r="JM14" s="746"/>
      <c r="JN14" s="767"/>
      <c r="JO14" s="767"/>
      <c r="JP14" s="767"/>
      <c r="JQ14" s="767"/>
      <c r="JR14" s="767"/>
      <c r="LF14" s="229"/>
      <c r="LG14" s="229"/>
      <c r="LH14" s="229"/>
      <c r="LI14" s="229"/>
      <c r="LN14" s="229"/>
      <c r="LO14" s="229"/>
      <c r="LP14" s="379"/>
      <c r="LQ14" s="379"/>
      <c r="LR14" s="379"/>
      <c r="LS14" s="379"/>
      <c r="LT14" s="379"/>
      <c r="LU14" s="379"/>
      <c r="LV14" s="379"/>
      <c r="OR14" s="144"/>
      <c r="OS14" s="144"/>
      <c r="OT14" s="144"/>
      <c r="OU14" s="144"/>
      <c r="OV14" s="144"/>
      <c r="OW14" s="144"/>
      <c r="OX14" s="144"/>
      <c r="OY14" s="144"/>
      <c r="OZ14" s="144"/>
      <c r="PA14" s="144"/>
      <c r="PB14" s="144"/>
      <c r="PC14" s="144"/>
      <c r="PD14" s="144"/>
      <c r="PE14" s="144"/>
      <c r="PF14" s="579"/>
      <c r="PG14" s="405"/>
      <c r="PH14" s="405"/>
      <c r="PI14" s="405"/>
      <c r="PJ14" s="405"/>
      <c r="PK14" s="405"/>
      <c r="PL14" s="405"/>
      <c r="PM14" s="405"/>
      <c r="PN14" s="405"/>
      <c r="PO14" s="405"/>
      <c r="PP14" s="405"/>
      <c r="PQ14" s="405"/>
      <c r="PR14" s="405"/>
      <c r="PS14" s="405"/>
      <c r="PT14" s="405"/>
      <c r="PU14" s="405"/>
      <c r="PV14" s="405"/>
      <c r="PW14" s="405"/>
      <c r="PX14" s="405"/>
      <c r="PY14" s="405"/>
      <c r="PZ14" s="405"/>
      <c r="QA14" s="405"/>
      <c r="QB14" s="405"/>
      <c r="QC14" s="405"/>
      <c r="QD14" s="405"/>
      <c r="QE14" s="405"/>
      <c r="QF14" s="405"/>
      <c r="QG14" s="405"/>
      <c r="QH14" s="405"/>
      <c r="QI14" s="405"/>
      <c r="QJ14" s="405"/>
      <c r="QK14" s="405"/>
      <c r="QL14" s="405"/>
      <c r="QM14" s="405"/>
      <c r="QN14" s="405"/>
      <c r="QO14" s="405"/>
      <c r="QP14" s="405"/>
      <c r="QQ14" s="405"/>
      <c r="QR14" s="405"/>
      <c r="QS14" s="405"/>
      <c r="QT14" s="405"/>
      <c r="QU14" s="405"/>
      <c r="QV14" s="405"/>
      <c r="QW14" s="405"/>
      <c r="QX14" s="405"/>
      <c r="QY14" s="405"/>
      <c r="QZ14" s="405"/>
      <c r="RA14" s="406"/>
      <c r="RC14" s="496"/>
      <c r="RD14" s="74"/>
      <c r="RE14" s="71"/>
      <c r="RF14" s="844" t="s">
        <v>1769</v>
      </c>
      <c r="RG14" s="845"/>
      <c r="RH14" s="739">
        <f>$WR$80</f>
        <v>1.0321048617733104</v>
      </c>
      <c r="RI14" s="739"/>
      <c r="RJ14" s="70"/>
      <c r="RK14" s="70"/>
      <c r="RL14" s="70"/>
      <c r="RM14" s="844" t="s">
        <v>774</v>
      </c>
      <c r="RN14" s="845"/>
      <c r="RO14" s="739">
        <f>$WR$84</f>
        <v>0.188501170216445</v>
      </c>
      <c r="RP14" s="739"/>
      <c r="RQ14" s="70"/>
      <c r="RR14" s="71"/>
      <c r="RS14" s="74"/>
      <c r="RT14" s="70"/>
      <c r="RU14" s="70"/>
      <c r="RV14" s="70"/>
      <c r="RW14" s="70"/>
      <c r="RX14" s="71"/>
      <c r="RY14" s="74"/>
      <c r="RZ14" s="70"/>
      <c r="SA14" s="70"/>
      <c r="SB14" s="71"/>
      <c r="SC14" s="696" t="s">
        <v>1340</v>
      </c>
      <c r="SD14" s="697"/>
      <c r="SE14" s="737">
        <f>$AQ$6</f>
        <v>380</v>
      </c>
      <c r="SF14" s="888"/>
      <c r="SG14" s="74"/>
      <c r="SH14" s="70"/>
      <c r="SI14" s="70"/>
      <c r="SJ14" s="71"/>
      <c r="SK14" s="70"/>
      <c r="SL14" s="70"/>
      <c r="SM14" s="70"/>
      <c r="SN14" s="70"/>
      <c r="SO14" s="696" t="s">
        <v>1764</v>
      </c>
      <c r="SP14" s="720"/>
      <c r="SQ14" s="697"/>
      <c r="SR14" s="698">
        <f>$WR$76</f>
        <v>0.35032244113124977</v>
      </c>
      <c r="SS14" s="726"/>
      <c r="ST14" s="863" t="s">
        <v>1301</v>
      </c>
      <c r="SU14" s="863"/>
      <c r="SV14" s="863"/>
      <c r="SW14" s="863"/>
      <c r="SX14" s="677">
        <f>$JF$159</f>
        <v>10.982076761995994</v>
      </c>
      <c r="SY14" s="677"/>
      <c r="SZ14" s="74"/>
      <c r="TA14" s="70"/>
      <c r="TB14" s="70"/>
      <c r="TC14" s="70"/>
      <c r="TD14" s="70"/>
      <c r="TE14" s="71"/>
      <c r="TF14" s="559" t="s">
        <v>1483</v>
      </c>
      <c r="TG14" s="756">
        <f>$WR$72</f>
        <v>1.0159256182286724</v>
      </c>
      <c r="TH14" s="756"/>
      <c r="TI14" s="696" t="s">
        <v>1340</v>
      </c>
      <c r="TJ14" s="697"/>
      <c r="TK14" s="724">
        <f>$AQ$6</f>
        <v>380</v>
      </c>
      <c r="TL14" s="724"/>
      <c r="TM14" s="696" t="s">
        <v>1593</v>
      </c>
      <c r="TN14" s="697"/>
      <c r="TO14" s="884">
        <f>$MN$23</f>
        <v>0.18554623176557763</v>
      </c>
      <c r="TP14" s="884"/>
      <c r="TQ14" s="696" t="s">
        <v>1369</v>
      </c>
      <c r="TR14" s="697"/>
      <c r="TS14" s="756">
        <f>$MN$86</f>
        <v>0.65984741945763259</v>
      </c>
      <c r="TT14" s="756"/>
      <c r="TU14" s="863" t="s">
        <v>1776</v>
      </c>
      <c r="TV14" s="863"/>
      <c r="TW14" s="756">
        <f>$PX$173</f>
        <v>166.66666666666669</v>
      </c>
      <c r="TX14" s="756"/>
      <c r="TY14" s="70"/>
      <c r="TZ14" s="71"/>
      <c r="UA14" s="74"/>
      <c r="UB14" s="71"/>
      <c r="UC14" s="74"/>
      <c r="UD14" s="863" t="s">
        <v>1763</v>
      </c>
      <c r="UE14" s="863"/>
      <c r="UF14" s="863"/>
      <c r="UG14" s="863"/>
      <c r="UH14" s="863"/>
      <c r="UI14" s="756">
        <f>$PX$200</f>
        <v>1264.0210863416883</v>
      </c>
      <c r="UJ14" s="756"/>
      <c r="UK14" s="74"/>
      <c r="UL14" s="70"/>
      <c r="UM14" s="70"/>
      <c r="UN14" s="71"/>
      <c r="UO14" s="74"/>
      <c r="UP14" s="70"/>
      <c r="UQ14" s="70"/>
      <c r="UR14" s="71"/>
      <c r="US14" s="767"/>
      <c r="UT14" s="767"/>
      <c r="UU14" s="767"/>
      <c r="UV14" s="767"/>
      <c r="UW14" s="767"/>
      <c r="WC14" s="859"/>
      <c r="WD14" s="860"/>
      <c r="WE14" s="696" t="s">
        <v>1340</v>
      </c>
      <c r="WF14" s="697"/>
      <c r="WG14" s="737">
        <f>$AQ$6</f>
        <v>380</v>
      </c>
      <c r="WH14" s="888"/>
      <c r="WI14" s="889"/>
      <c r="WJ14" s="855" t="s">
        <v>5</v>
      </c>
      <c r="WK14" s="856"/>
      <c r="WL14" s="696" t="s">
        <v>1764</v>
      </c>
      <c r="WM14" s="697"/>
      <c r="WN14" s="698">
        <f>$WR$76</f>
        <v>0.35032244113124977</v>
      </c>
      <c r="WO14" s="699"/>
      <c r="WP14" s="855" t="s">
        <v>35</v>
      </c>
      <c r="WQ14" s="856"/>
      <c r="WR14" s="696" t="s">
        <v>1704</v>
      </c>
      <c r="WS14" s="697"/>
      <c r="WT14" s="698">
        <f>$PX$31</f>
        <v>332.23361083473287</v>
      </c>
      <c r="WU14" s="726"/>
      <c r="WV14" s="855" t="s">
        <v>3</v>
      </c>
      <c r="WW14" s="856"/>
      <c r="WX14" s="844" t="s">
        <v>774</v>
      </c>
      <c r="WY14" s="845"/>
      <c r="WZ14" s="739">
        <f>$WR$84</f>
        <v>0.188501170216445</v>
      </c>
      <c r="XA14" s="739"/>
      <c r="XB14" s="855" t="s">
        <v>415</v>
      </c>
      <c r="XC14" s="856"/>
      <c r="XD14" s="172"/>
      <c r="XE14" s="900"/>
      <c r="XF14" s="900"/>
      <c r="XG14" s="900"/>
      <c r="XH14" s="192"/>
      <c r="XI14" s="188"/>
      <c r="XO14" s="825"/>
      <c r="XP14" s="665" t="s">
        <v>442</v>
      </c>
      <c r="XQ14" s="666"/>
      <c r="XR14" s="152"/>
      <c r="XS14" s="87"/>
      <c r="XT14" s="87"/>
      <c r="XU14" s="87"/>
      <c r="XV14" s="87"/>
      <c r="XW14" s="87"/>
      <c r="XX14" s="87"/>
      <c r="XY14" s="152"/>
      <c r="XZ14" s="85" t="s">
        <v>467</v>
      </c>
      <c r="YA14" s="757" t="s">
        <v>461</v>
      </c>
      <c r="YB14" s="758"/>
      <c r="YC14" s="819" t="s">
        <v>126</v>
      </c>
      <c r="YD14" s="820"/>
      <c r="YE14" s="675" t="s">
        <v>731</v>
      </c>
      <c r="YF14" s="676"/>
      <c r="YG14" s="821" t="s">
        <v>473</v>
      </c>
      <c r="YH14" s="822"/>
      <c r="YI14" s="822"/>
      <c r="YJ14" s="822"/>
      <c r="YK14" s="769" t="s">
        <v>462</v>
      </c>
      <c r="YL14" s="769"/>
      <c r="YM14" s="769"/>
      <c r="YN14" s="769"/>
      <c r="YO14" s="769"/>
      <c r="YP14" s="769"/>
      <c r="AAD14" s="947"/>
      <c r="AAE14" s="947"/>
      <c r="AAF14" s="947"/>
      <c r="AAG14" s="947"/>
      <c r="AAH14" s="465">
        <v>4</v>
      </c>
      <c r="AAI14" s="956"/>
      <c r="AAJ14" s="957"/>
      <c r="AAK14" s="956"/>
      <c r="AAL14" s="957"/>
      <c r="AAM14" s="958">
        <f t="shared" si="0"/>
        <v>5.3333333333333337E-2</v>
      </c>
      <c r="AAN14" s="959"/>
      <c r="AAP14" s="947"/>
      <c r="AAQ14" s="947"/>
      <c r="AAR14" s="947"/>
      <c r="AAS14" s="947"/>
      <c r="AAT14" s="465">
        <v>64</v>
      </c>
      <c r="AAU14" s="956"/>
      <c r="AAV14" s="957"/>
      <c r="AAW14" s="956"/>
      <c r="AAX14" s="957"/>
      <c r="AAY14" s="958">
        <f t="shared" si="1"/>
        <v>0.85333333333333339</v>
      </c>
      <c r="AAZ14" s="959"/>
      <c r="ABB14" s="947"/>
      <c r="ABC14" s="947"/>
      <c r="ABD14" s="947"/>
      <c r="ABE14" s="947"/>
      <c r="ABF14" s="465">
        <v>124</v>
      </c>
      <c r="ABG14" s="956"/>
      <c r="ABH14" s="957"/>
      <c r="ABI14" s="956"/>
      <c r="ABJ14" s="957"/>
      <c r="ABK14" s="958">
        <f t="shared" si="2"/>
        <v>1.6533333333333335</v>
      </c>
      <c r="ABL14" s="959"/>
      <c r="ABN14" s="947"/>
      <c r="ABO14" s="947"/>
      <c r="ABP14" s="947"/>
      <c r="ABQ14" s="947"/>
      <c r="ABR14" s="465">
        <v>184</v>
      </c>
      <c r="ABS14" s="956"/>
      <c r="ABT14" s="957"/>
      <c r="ABU14" s="956"/>
      <c r="ABV14" s="957"/>
      <c r="ABW14" s="958">
        <f t="shared" si="3"/>
        <v>2.4533333333333336</v>
      </c>
      <c r="ABX14" s="959"/>
      <c r="ABZ14" s="947"/>
      <c r="ACA14" s="947"/>
      <c r="ACB14" s="947"/>
      <c r="ACC14" s="947"/>
      <c r="ACD14" s="465">
        <v>244</v>
      </c>
      <c r="ACE14" s="956"/>
      <c r="ACF14" s="957"/>
      <c r="ACG14" s="956"/>
      <c r="ACH14" s="957"/>
      <c r="ACI14" s="958">
        <f t="shared" si="4"/>
        <v>3.2533333333333334</v>
      </c>
      <c r="ACJ14" s="959"/>
      <c r="ADB14" s="1033">
        <v>2</v>
      </c>
      <c r="ADC14" s="1033"/>
      <c r="ADD14" s="182"/>
      <c r="ADE14" s="182"/>
      <c r="ADF14" s="182"/>
      <c r="ADG14" s="182"/>
      <c r="ADH14" s="182"/>
      <c r="ADI14" s="185"/>
      <c r="ADJ14" s="1071"/>
      <c r="ADK14" s="1071"/>
      <c r="ADL14" s="1052"/>
      <c r="ADM14" s="1052"/>
      <c r="ADN14" s="1052"/>
      <c r="ADO14" s="1052"/>
      <c r="ADP14" s="1052"/>
      <c r="ADQ14" s="1052"/>
      <c r="ADR14" s="1052"/>
      <c r="ADS14" s="1052"/>
      <c r="ADT14" s="1052"/>
      <c r="ADU14" s="1052"/>
      <c r="ADV14" s="1052"/>
      <c r="ADW14" s="1052"/>
      <c r="ADX14" s="857"/>
      <c r="ADY14" s="1015"/>
      <c r="ADZ14" s="1015"/>
      <c r="AEA14" s="1015"/>
      <c r="AEB14" s="1015"/>
      <c r="AEC14" s="1015"/>
      <c r="AED14" s="1015"/>
      <c r="AEE14" s="1015"/>
      <c r="AEF14" s="1015"/>
      <c r="AEG14" s="1015"/>
      <c r="AEH14" s="1015"/>
      <c r="AEI14" s="1015"/>
      <c r="AEJ14" s="1015"/>
      <c r="AEK14" s="858"/>
      <c r="AEM14" s="1386"/>
      <c r="AEN14" s="1386"/>
      <c r="AEO14" s="1386"/>
      <c r="AEP14" s="1386"/>
      <c r="AEQ14" s="1386"/>
      <c r="AER14" s="1386"/>
      <c r="AES14" s="1386"/>
      <c r="AET14" s="1386"/>
      <c r="AEU14" s="1386"/>
      <c r="AEV14" s="1386"/>
      <c r="AEW14" s="1386"/>
      <c r="AEX14" s="1386"/>
      <c r="AEY14" s="1386"/>
      <c r="AEZ14" s="1386"/>
      <c r="AFA14" s="1386"/>
      <c r="AFC14" s="1144"/>
      <c r="AFD14" s="1145"/>
      <c r="AFE14" s="1145"/>
      <c r="AFF14" s="1145"/>
      <c r="AFG14" s="1145"/>
      <c r="AFH14" s="1145"/>
      <c r="AFI14" s="1145"/>
      <c r="AFJ14" s="1145"/>
      <c r="AFK14" s="1145"/>
      <c r="AFL14" s="1145"/>
      <c r="AFM14" s="1145"/>
      <c r="AFN14" s="1146"/>
      <c r="AFO14" s="144"/>
      <c r="AHO14" s="144"/>
      <c r="AMT14" s="827"/>
      <c r="AMU14" s="818"/>
      <c r="AMV14" s="818"/>
      <c r="AMW14" s="818"/>
      <c r="AMX14" s="818"/>
      <c r="AMY14" s="818"/>
      <c r="AMZ14" s="818"/>
      <c r="ANA14" s="818"/>
      <c r="ANB14" s="818"/>
      <c r="ANC14" s="818"/>
      <c r="AND14" s="818"/>
      <c r="ANE14" s="818"/>
      <c r="ANF14" s="818"/>
      <c r="ANG14" s="818"/>
      <c r="ANH14" s="765"/>
      <c r="ANI14" s="766"/>
      <c r="ANJ14" s="706"/>
      <c r="ANK14" s="708"/>
      <c r="ANL14" s="713"/>
      <c r="ANM14" s="718"/>
      <c r="ANN14" s="719"/>
      <c r="ANO14" s="747"/>
    </row>
    <row r="15" spans="4:1024 1034:1055" ht="48" customHeight="1" thickBot="1">
      <c r="J15" s="144"/>
      <c r="K15" s="144"/>
      <c r="L15" s="144"/>
      <c r="M15" s="144"/>
      <c r="N15" s="214" t="s">
        <v>899</v>
      </c>
      <c r="O15" s="214" t="s">
        <v>1031</v>
      </c>
      <c r="P15" s="214" t="s">
        <v>1032</v>
      </c>
      <c r="Q15" s="1506" t="s">
        <v>897</v>
      </c>
      <c r="R15" s="1507"/>
      <c r="S15" s="144"/>
      <c r="T15" s="144"/>
      <c r="AI15" s="825"/>
      <c r="AJ15" s="681">
        <v>1.2</v>
      </c>
      <c r="AK15" s="681"/>
      <c r="AL15" s="598"/>
      <c r="AM15" s="87"/>
      <c r="AN15" s="87"/>
      <c r="AO15" s="87"/>
      <c r="AP15" s="87"/>
      <c r="AQ15" s="87"/>
      <c r="AR15" s="87"/>
      <c r="AS15" s="598"/>
      <c r="AT15" s="85" t="s">
        <v>467</v>
      </c>
      <c r="AU15" s="1504" t="s">
        <v>461</v>
      </c>
      <c r="AV15" s="1505"/>
      <c r="AW15" s="819" t="s">
        <v>126</v>
      </c>
      <c r="AX15" s="820"/>
      <c r="AY15" s="675" t="s">
        <v>731</v>
      </c>
      <c r="AZ15" s="676"/>
      <c r="BA15" s="821" t="s">
        <v>473</v>
      </c>
      <c r="BB15" s="822"/>
      <c r="BC15" s="822"/>
      <c r="BD15" s="823"/>
      <c r="BJ15" s="139"/>
      <c r="BK15" s="139"/>
      <c r="BL15" s="139"/>
      <c r="BM15" s="139"/>
      <c r="BN15" s="139"/>
      <c r="BO15" s="139"/>
      <c r="BP15" s="139"/>
      <c r="BQ15" s="139"/>
      <c r="BX15" s="792" t="s">
        <v>1079</v>
      </c>
      <c r="BY15" s="793"/>
      <c r="BZ15" s="794"/>
      <c r="CA15" s="825"/>
      <c r="CB15" s="695" t="s">
        <v>766</v>
      </c>
      <c r="CC15" s="695"/>
      <c r="CD15" s="137"/>
      <c r="CE15" s="561" t="s">
        <v>456</v>
      </c>
      <c r="CF15" s="739">
        <f>$AW$38</f>
        <v>0.26781845000000004</v>
      </c>
      <c r="CG15" s="739"/>
      <c r="CH15" s="87"/>
      <c r="CI15" s="137"/>
      <c r="CJ15" s="84" t="s">
        <v>729</v>
      </c>
      <c r="CK15" s="137"/>
      <c r="CL15" s="85" t="s">
        <v>467</v>
      </c>
      <c r="CM15" s="757" t="s">
        <v>461</v>
      </c>
      <c r="CN15" s="758"/>
      <c r="CO15" s="819" t="s">
        <v>126</v>
      </c>
      <c r="CP15" s="820"/>
      <c r="CQ15" s="675" t="s">
        <v>731</v>
      </c>
      <c r="CR15" s="676"/>
      <c r="CS15" s="821" t="s">
        <v>473</v>
      </c>
      <c r="CT15" s="822"/>
      <c r="CU15" s="822"/>
      <c r="CV15" s="823"/>
      <c r="DZ15" s="792" t="s">
        <v>1078</v>
      </c>
      <c r="EA15" s="793"/>
      <c r="EB15" s="794"/>
      <c r="EC15" s="825"/>
      <c r="ED15" s="665" t="s">
        <v>442</v>
      </c>
      <c r="EE15" s="666"/>
      <c r="EF15" s="146"/>
      <c r="EG15" s="87"/>
      <c r="EH15" s="87"/>
      <c r="EI15" s="87"/>
      <c r="EJ15" s="87"/>
      <c r="EK15" s="216"/>
      <c r="EL15" s="84" t="s">
        <v>477</v>
      </c>
      <c r="EM15" s="146"/>
      <c r="EN15" s="85" t="s">
        <v>467</v>
      </c>
      <c r="EO15" s="757" t="s">
        <v>461</v>
      </c>
      <c r="EP15" s="758"/>
      <c r="EQ15" s="819" t="s">
        <v>126</v>
      </c>
      <c r="ER15" s="820"/>
      <c r="ES15" s="675" t="s">
        <v>731</v>
      </c>
      <c r="ET15" s="676"/>
      <c r="EU15" s="821" t="s">
        <v>473</v>
      </c>
      <c r="EV15" s="822"/>
      <c r="EW15" s="822"/>
      <c r="EX15" s="823"/>
      <c r="GF15" s="85" t="s">
        <v>839</v>
      </c>
      <c r="GG15" s="665" t="s">
        <v>442</v>
      </c>
      <c r="GH15" s="666"/>
      <c r="GI15" s="254"/>
      <c r="GJ15" s="87"/>
      <c r="GK15" s="87"/>
      <c r="GL15" s="87"/>
      <c r="GM15" s="87"/>
      <c r="GN15" s="87"/>
      <c r="GO15" s="87"/>
      <c r="GP15" s="254"/>
      <c r="GQ15" s="85" t="s">
        <v>467</v>
      </c>
      <c r="GR15" s="757" t="s">
        <v>461</v>
      </c>
      <c r="GS15" s="899"/>
      <c r="GT15" s="819" t="s">
        <v>126</v>
      </c>
      <c r="GU15" s="820"/>
      <c r="GV15" s="675" t="s">
        <v>731</v>
      </c>
      <c r="GW15" s="676"/>
      <c r="GX15" s="821" t="s">
        <v>473</v>
      </c>
      <c r="GY15" s="822"/>
      <c r="GZ15" s="822"/>
      <c r="HA15" s="823"/>
      <c r="IR15" s="768"/>
      <c r="IS15" s="709" t="s">
        <v>1196</v>
      </c>
      <c r="IT15" s="709"/>
      <c r="IU15" s="709"/>
      <c r="IV15" s="738">
        <f>$JI$18</f>
        <v>1520</v>
      </c>
      <c r="IW15" s="738"/>
      <c r="IX15" s="706"/>
      <c r="IY15" s="707"/>
      <c r="IZ15" s="707"/>
      <c r="JA15" s="707"/>
      <c r="JB15" s="707"/>
      <c r="JC15" s="707"/>
      <c r="JD15" s="707"/>
      <c r="JE15" s="708"/>
      <c r="JF15" s="1089"/>
      <c r="JG15" s="708"/>
      <c r="JH15" s="1204"/>
      <c r="JI15" s="1065"/>
      <c r="JJ15" s="715"/>
      <c r="JK15" s="718"/>
      <c r="JL15" s="719"/>
      <c r="JM15" s="747"/>
      <c r="JN15" s="768"/>
      <c r="JO15" s="768"/>
      <c r="JP15" s="768"/>
      <c r="JQ15" s="768"/>
      <c r="JR15" s="768"/>
      <c r="LF15" s="229"/>
      <c r="LG15" s="229"/>
      <c r="LH15" s="229"/>
      <c r="LI15" s="229"/>
      <c r="LJ15" s="229"/>
      <c r="LK15" s="229"/>
      <c r="LL15" s="229"/>
      <c r="LM15" s="229"/>
      <c r="LN15" s="229"/>
      <c r="LO15" s="229"/>
      <c r="LP15" s="379"/>
      <c r="LQ15" s="379"/>
      <c r="LR15" s="379"/>
      <c r="LS15" s="379"/>
      <c r="LT15" s="379"/>
      <c r="LU15" s="379"/>
      <c r="LV15" s="379"/>
      <c r="OW15" s="144"/>
      <c r="OX15" s="144"/>
      <c r="PF15" s="403"/>
      <c r="PG15" s="399"/>
      <c r="PH15" s="399"/>
      <c r="PI15" s="399"/>
      <c r="PJ15" s="1428" t="s">
        <v>1712</v>
      </c>
      <c r="PK15" s="1429"/>
      <c r="PL15" s="1000" t="s">
        <v>1</v>
      </c>
      <c r="PM15" s="1001"/>
      <c r="PN15" s="1001"/>
      <c r="PO15" s="1001"/>
      <c r="PP15" s="1002"/>
      <c r="PQ15" s="561" t="s">
        <v>1711</v>
      </c>
      <c r="PR15" s="698">
        <f>$AQ$4</f>
        <v>30000</v>
      </c>
      <c r="PS15" s="699"/>
      <c r="PT15" s="726"/>
      <c r="PU15" s="1419" t="s">
        <v>416</v>
      </c>
      <c r="PV15" s="1419"/>
      <c r="PW15" s="566"/>
      <c r="PX15" s="521" t="s">
        <v>994</v>
      </c>
      <c r="PY15" s="995" t="str">
        <f>IF(PR22 &lt; 250000,
"Расчет по формуле данной последовательности",
"Данная переменная не используется в расчете")</f>
        <v>Расчет по формуле данной последовательности</v>
      </c>
      <c r="PZ15" s="996"/>
      <c r="QA15" s="996"/>
      <c r="QB15" s="996"/>
      <c r="QC15" s="996"/>
      <c r="QD15" s="996"/>
      <c r="QE15" s="996"/>
      <c r="QF15" s="996"/>
      <c r="QG15" s="997"/>
      <c r="QH15" s="399"/>
      <c r="QI15" s="399"/>
      <c r="QJ15" s="399"/>
      <c r="QK15" s="399"/>
      <c r="QL15" s="399"/>
      <c r="QM15" s="399"/>
      <c r="QN15" s="399"/>
      <c r="QO15" s="399"/>
      <c r="QP15" s="399"/>
      <c r="QQ15" s="399"/>
      <c r="QR15" s="399"/>
      <c r="QS15" s="399"/>
      <c r="QT15" s="399"/>
      <c r="QU15" s="399"/>
      <c r="QV15" s="399"/>
      <c r="QW15" s="399"/>
      <c r="QX15" s="399"/>
      <c r="QY15" s="399"/>
      <c r="QZ15" s="399"/>
      <c r="RA15" s="400"/>
      <c r="RC15" s="496"/>
      <c r="RD15" s="496"/>
      <c r="RE15" s="498"/>
      <c r="RF15" s="696" t="s">
        <v>1369</v>
      </c>
      <c r="RG15" s="697"/>
      <c r="RH15" s="756">
        <f>$MN$86</f>
        <v>0.65984741945763259</v>
      </c>
      <c r="RI15" s="756"/>
      <c r="RJ15" s="497"/>
      <c r="RK15" s="497"/>
      <c r="RL15" s="497"/>
      <c r="RM15" s="846" t="s">
        <v>1769</v>
      </c>
      <c r="RN15" s="847"/>
      <c r="RO15" s="843">
        <f>$WR$80</f>
        <v>1.0321048617733104</v>
      </c>
      <c r="RP15" s="843"/>
      <c r="RQ15" s="497"/>
      <c r="RR15" s="498"/>
      <c r="RS15" s="496"/>
      <c r="RT15" s="497"/>
      <c r="RU15" s="497"/>
      <c r="RV15" s="497"/>
      <c r="RW15" s="497"/>
      <c r="RX15" s="498"/>
      <c r="RY15" s="496"/>
      <c r="RZ15" s="497"/>
      <c r="SA15" s="497"/>
      <c r="SB15" s="498"/>
      <c r="SC15" s="496"/>
      <c r="SD15" s="497"/>
      <c r="SE15" s="497"/>
      <c r="SF15" s="498"/>
      <c r="SG15" s="496"/>
      <c r="SH15" s="497"/>
      <c r="SI15" s="497"/>
      <c r="SJ15" s="498"/>
      <c r="SK15" s="497"/>
      <c r="SL15" s="497"/>
      <c r="SM15" s="497"/>
      <c r="SN15" s="497"/>
      <c r="SO15" s="696" t="s">
        <v>1778</v>
      </c>
      <c r="SP15" s="720"/>
      <c r="SQ15" s="697"/>
      <c r="SR15" s="698">
        <f>0</f>
        <v>0</v>
      </c>
      <c r="SS15" s="726"/>
      <c r="ST15" s="496"/>
      <c r="SU15" s="497"/>
      <c r="SV15" s="497"/>
      <c r="SW15" s="497"/>
      <c r="SX15" s="497"/>
      <c r="SY15" s="498"/>
      <c r="SZ15" s="496"/>
      <c r="TA15" s="497"/>
      <c r="TB15" s="497"/>
      <c r="TC15" s="497"/>
      <c r="TD15" s="497"/>
      <c r="TE15" s="498"/>
      <c r="TF15" s="496"/>
      <c r="TG15" s="497"/>
      <c r="TH15" s="498"/>
      <c r="TI15" s="74"/>
      <c r="TJ15" s="70"/>
      <c r="TK15" s="70"/>
      <c r="TL15" s="71"/>
      <c r="TM15" s="496"/>
      <c r="TN15" s="497"/>
      <c r="TO15" s="497"/>
      <c r="TP15" s="498"/>
      <c r="TQ15" s="497"/>
      <c r="TR15" s="497"/>
      <c r="TS15" s="497"/>
      <c r="TT15" s="497"/>
      <c r="TU15" s="696" t="s">
        <v>1189</v>
      </c>
      <c r="TV15" s="697"/>
      <c r="TW15" s="677">
        <f>$CL$52</f>
        <v>32.488628979857047</v>
      </c>
      <c r="TX15" s="677"/>
      <c r="TY15" s="497"/>
      <c r="TZ15" s="498"/>
      <c r="UA15" s="496"/>
      <c r="UB15" s="498"/>
      <c r="UC15" s="496"/>
      <c r="UD15" s="863" t="s">
        <v>1777</v>
      </c>
      <c r="UE15" s="863"/>
      <c r="UF15" s="863"/>
      <c r="UG15" s="863"/>
      <c r="UH15" s="863"/>
      <c r="UI15" s="756">
        <f>(TI19-UI16)-0.05*UI16</f>
        <v>-0.38373427051427472</v>
      </c>
      <c r="UJ15" s="756"/>
      <c r="UK15" s="496"/>
      <c r="UL15" s="497"/>
      <c r="UM15" s="497"/>
      <c r="UN15" s="498"/>
      <c r="UO15" s="496"/>
      <c r="UP15" s="497"/>
      <c r="UQ15" s="497"/>
      <c r="UR15" s="498"/>
      <c r="US15" s="767"/>
      <c r="UT15" s="767"/>
      <c r="UU15" s="767"/>
      <c r="UV15" s="767"/>
      <c r="UW15" s="767"/>
      <c r="WC15" s="859"/>
      <c r="WD15" s="860"/>
      <c r="WE15" s="863" t="s">
        <v>428</v>
      </c>
      <c r="WF15" s="863"/>
      <c r="WG15" s="724">
        <f>$AW$16</f>
        <v>2</v>
      </c>
      <c r="WH15" s="724"/>
      <c r="WI15" s="724"/>
      <c r="WJ15" s="864" t="s">
        <v>758</v>
      </c>
      <c r="WK15" s="864"/>
      <c r="WL15" s="696" t="s">
        <v>1593</v>
      </c>
      <c r="WM15" s="697"/>
      <c r="WN15" s="884">
        <f>$MN$23</f>
        <v>0.18554623176557763</v>
      </c>
      <c r="WO15" s="884"/>
      <c r="WP15" s="855" t="s">
        <v>415</v>
      </c>
      <c r="WQ15" s="856"/>
      <c r="WR15" s="844" t="s">
        <v>1767</v>
      </c>
      <c r="WS15" s="845"/>
      <c r="WT15" s="724">
        <f>$WR$88</f>
        <v>0</v>
      </c>
      <c r="WU15" s="724"/>
      <c r="WV15" s="855" t="s">
        <v>415</v>
      </c>
      <c r="WW15" s="856"/>
      <c r="WX15" s="844" t="s">
        <v>1483</v>
      </c>
      <c r="WY15" s="845"/>
      <c r="WZ15" s="756">
        <f>$WR$72</f>
        <v>1.0159256182286724</v>
      </c>
      <c r="XA15" s="756"/>
      <c r="XB15" s="855" t="s">
        <v>415</v>
      </c>
      <c r="XC15" s="856"/>
      <c r="XD15" s="172"/>
      <c r="XE15" s="900"/>
      <c r="XF15" s="900"/>
      <c r="XG15" s="900"/>
      <c r="XH15" s="192"/>
      <c r="XI15" s="188"/>
      <c r="XO15" s="826"/>
      <c r="XP15" s="696" t="s">
        <v>1369</v>
      </c>
      <c r="XQ15" s="697"/>
      <c r="XR15" s="756">
        <f>$MN$86</f>
        <v>0.65984741945763259</v>
      </c>
      <c r="XS15" s="756"/>
      <c r="XT15" s="701" t="s">
        <v>143</v>
      </c>
      <c r="XU15" s="701"/>
      <c r="XV15" s="701"/>
      <c r="XW15" s="701"/>
      <c r="XX15" s="701"/>
      <c r="XY15" s="701"/>
      <c r="XZ15" s="701"/>
      <c r="YA15" s="701"/>
      <c r="YB15" s="702"/>
      <c r="YC15" s="763">
        <f>MN86/((MN98/WR72)+MN229)</f>
        <v>0.4363337357430162</v>
      </c>
      <c r="YD15" s="764"/>
      <c r="YE15" s="1115" t="s">
        <v>762</v>
      </c>
      <c r="YF15" s="1116"/>
      <c r="YG15" s="712"/>
      <c r="YH15" s="716" t="s">
        <v>1549</v>
      </c>
      <c r="YI15" s="717"/>
      <c r="YJ15" s="1119"/>
      <c r="YK15" s="767"/>
      <c r="YL15" s="767"/>
      <c r="YM15" s="767"/>
      <c r="YN15" s="767"/>
      <c r="YO15" s="767"/>
      <c r="YP15" s="767"/>
      <c r="YU15" s="933" t="s">
        <v>789</v>
      </c>
      <c r="YV15" s="825"/>
      <c r="YW15" s="147" t="s">
        <v>442</v>
      </c>
      <c r="YX15" s="148"/>
      <c r="YY15" s="152"/>
      <c r="YZ15" s="87"/>
      <c r="ZA15" s="87"/>
      <c r="ZB15" s="87"/>
      <c r="ZC15" s="87"/>
      <c r="ZD15" s="87"/>
      <c r="ZE15" s="87"/>
      <c r="ZF15" s="152"/>
      <c r="ZG15" s="85" t="s">
        <v>467</v>
      </c>
      <c r="ZH15" s="1102" t="s">
        <v>461</v>
      </c>
      <c r="ZI15" s="1103"/>
      <c r="ZJ15" s="819" t="s">
        <v>126</v>
      </c>
      <c r="ZK15" s="820"/>
      <c r="ZL15" s="675" t="s">
        <v>731</v>
      </c>
      <c r="ZM15" s="676"/>
      <c r="ZN15" s="821" t="s">
        <v>473</v>
      </c>
      <c r="ZO15" s="822"/>
      <c r="ZP15" s="822"/>
      <c r="ZQ15" s="823"/>
      <c r="AAD15" s="947"/>
      <c r="AAE15" s="947"/>
      <c r="AAF15" s="947"/>
      <c r="AAG15" s="947"/>
      <c r="AAH15" s="465">
        <v>5</v>
      </c>
      <c r="AAI15" s="956"/>
      <c r="AAJ15" s="957"/>
      <c r="AAK15" s="956"/>
      <c r="AAL15" s="957"/>
      <c r="AAM15" s="958">
        <f t="shared" si="0"/>
        <v>6.6666666666666666E-2</v>
      </c>
      <c r="AAN15" s="959"/>
      <c r="AAP15" s="947"/>
      <c r="AAQ15" s="947"/>
      <c r="AAR15" s="947"/>
      <c r="AAS15" s="947"/>
      <c r="AAT15" s="465">
        <v>65</v>
      </c>
      <c r="AAU15" s="956"/>
      <c r="AAV15" s="957"/>
      <c r="AAW15" s="956"/>
      <c r="AAX15" s="957"/>
      <c r="AAY15" s="958">
        <f t="shared" si="1"/>
        <v>0.8666666666666667</v>
      </c>
      <c r="AAZ15" s="959"/>
      <c r="ABB15" s="947"/>
      <c r="ABC15" s="947"/>
      <c r="ABD15" s="947"/>
      <c r="ABE15" s="947"/>
      <c r="ABF15" s="465">
        <v>125</v>
      </c>
      <c r="ABG15" s="956"/>
      <c r="ABH15" s="957"/>
      <c r="ABI15" s="956"/>
      <c r="ABJ15" s="957"/>
      <c r="ABK15" s="958">
        <f t="shared" si="2"/>
        <v>1.6666666666666667</v>
      </c>
      <c r="ABL15" s="959"/>
      <c r="ABN15" s="947"/>
      <c r="ABO15" s="947"/>
      <c r="ABP15" s="947"/>
      <c r="ABQ15" s="947"/>
      <c r="ABR15" s="465">
        <v>185</v>
      </c>
      <c r="ABS15" s="956"/>
      <c r="ABT15" s="957"/>
      <c r="ABU15" s="956"/>
      <c r="ABV15" s="957"/>
      <c r="ABW15" s="958">
        <f t="shared" si="3"/>
        <v>2.4666666666666668</v>
      </c>
      <c r="ABX15" s="959"/>
      <c r="ABZ15" s="947"/>
      <c r="ACA15" s="947"/>
      <c r="ACB15" s="947"/>
      <c r="ACC15" s="947"/>
      <c r="ACD15" s="465">
        <v>245</v>
      </c>
      <c r="ACE15" s="956"/>
      <c r="ACF15" s="957"/>
      <c r="ACG15" s="956"/>
      <c r="ACH15" s="957"/>
      <c r="ACI15" s="958">
        <f t="shared" si="4"/>
        <v>3.2666666666666671</v>
      </c>
      <c r="ACJ15" s="959"/>
      <c r="ADB15" s="1033"/>
      <c r="ADC15" s="1033"/>
      <c r="ADD15" s="187"/>
      <c r="ADE15" s="187"/>
      <c r="ADF15" s="187"/>
      <c r="ADG15" s="187"/>
      <c r="ADH15" s="187"/>
      <c r="ADI15" s="188"/>
      <c r="ADJ15" s="1071"/>
      <c r="ADK15" s="1071"/>
      <c r="ADL15" s="1052"/>
      <c r="ADM15" s="1052"/>
      <c r="ADN15" s="1052"/>
      <c r="ADO15" s="1052"/>
      <c r="ADP15" s="1052"/>
      <c r="ADQ15" s="1052"/>
      <c r="ADR15" s="1052"/>
      <c r="ADS15" s="1052"/>
      <c r="ADT15" s="1052"/>
      <c r="ADU15" s="1052"/>
      <c r="ADV15" s="1052"/>
      <c r="ADW15" s="1052"/>
      <c r="ADX15" s="859"/>
      <c r="ADY15" s="1016"/>
      <c r="ADZ15" s="1016"/>
      <c r="AEA15" s="1016"/>
      <c r="AEB15" s="1016"/>
      <c r="AEC15" s="1016"/>
      <c r="AED15" s="1016"/>
      <c r="AEE15" s="1016"/>
      <c r="AEF15" s="1016"/>
      <c r="AEG15" s="1016"/>
      <c r="AEH15" s="1016"/>
      <c r="AEI15" s="1016"/>
      <c r="AEJ15" s="1016"/>
      <c r="AEK15" s="860"/>
      <c r="AEM15" s="1386"/>
      <c r="AEN15" s="1386"/>
      <c r="AEO15" s="1386"/>
      <c r="AEP15" s="1386"/>
      <c r="AEQ15" s="1386"/>
      <c r="AER15" s="1386"/>
      <c r="AES15" s="1386"/>
      <c r="AET15" s="1386"/>
      <c r="AEU15" s="1386"/>
      <c r="AEV15" s="1386"/>
      <c r="AEW15" s="1386"/>
      <c r="AEX15" s="1386"/>
      <c r="AEY15" s="1386"/>
      <c r="AEZ15" s="1386"/>
      <c r="AFA15" s="1386"/>
      <c r="AFC15" s="1144"/>
      <c r="AFD15" s="1145"/>
      <c r="AFE15" s="1145"/>
      <c r="AFF15" s="1145"/>
      <c r="AFG15" s="1145"/>
      <c r="AFH15" s="1145"/>
      <c r="AFI15" s="1145"/>
      <c r="AFJ15" s="1145"/>
      <c r="AFK15" s="1145"/>
      <c r="AFL15" s="1145"/>
      <c r="AFM15" s="1145"/>
      <c r="AFN15" s="1146"/>
      <c r="AFO15" s="144"/>
      <c r="AHO15" s="144"/>
    </row>
    <row r="16" spans="4:1024 1034:1055" ht="48" customHeight="1" thickBot="1">
      <c r="H16" s="157"/>
      <c r="I16" s="157"/>
      <c r="J16" s="157"/>
      <c r="K16" s="157"/>
      <c r="L16" s="157"/>
      <c r="M16" s="157"/>
      <c r="N16" s="157"/>
      <c r="O16" s="157"/>
      <c r="AI16" s="826"/>
      <c r="AJ16" s="1488" t="s">
        <v>443</v>
      </c>
      <c r="AK16" s="1489"/>
      <c r="AL16" s="1489"/>
      <c r="AM16" s="1489"/>
      <c r="AN16" s="1489"/>
      <c r="AO16" s="1489"/>
      <c r="AP16" s="1489"/>
      <c r="AQ16" s="1489"/>
      <c r="AR16" s="1489"/>
      <c r="AS16" s="1489"/>
      <c r="AT16" s="1489"/>
      <c r="AU16" s="1489"/>
      <c r="AV16" s="1489"/>
      <c r="AW16" s="1397">
        <f>2*AW12</f>
        <v>2</v>
      </c>
      <c r="AX16" s="1398"/>
      <c r="AY16" s="849" t="s">
        <v>758</v>
      </c>
      <c r="AZ16" s="850"/>
      <c r="BA16" s="746"/>
      <c r="BB16" s="740" t="s">
        <v>428</v>
      </c>
      <c r="BC16" s="742"/>
      <c r="BD16" s="746"/>
      <c r="BJ16" s="139"/>
      <c r="BK16" s="139"/>
      <c r="BL16" s="139"/>
      <c r="BM16" s="139"/>
      <c r="BQ16" s="139"/>
      <c r="BX16" s="795"/>
      <c r="BY16" s="796"/>
      <c r="BZ16" s="797"/>
      <c r="CA16" s="826"/>
      <c r="CB16" s="731" t="s">
        <v>971</v>
      </c>
      <c r="CC16" s="732"/>
      <c r="CD16" s="732"/>
      <c r="CE16" s="732"/>
      <c r="CF16" s="732"/>
      <c r="CG16" s="732"/>
      <c r="CH16" s="732"/>
      <c r="CI16" s="732"/>
      <c r="CJ16" s="732"/>
      <c r="CK16" s="732"/>
      <c r="CL16" s="732"/>
      <c r="CM16" s="732"/>
      <c r="CN16" s="732"/>
      <c r="CO16" s="808">
        <v>1.6E-2</v>
      </c>
      <c r="CP16" s="809"/>
      <c r="CQ16" s="1211" t="s">
        <v>737</v>
      </c>
      <c r="CR16" s="1212"/>
      <c r="CS16" s="712"/>
      <c r="CT16" s="1543" t="s">
        <v>816</v>
      </c>
      <c r="CU16" s="1544"/>
      <c r="CV16" s="746"/>
      <c r="DZ16" s="795"/>
      <c r="EA16" s="796"/>
      <c r="EB16" s="797"/>
      <c r="EC16" s="826"/>
      <c r="ED16" s="816" t="s">
        <v>418</v>
      </c>
      <c r="EE16" s="816"/>
      <c r="EF16" s="816"/>
      <c r="EG16" s="816"/>
      <c r="EH16" s="816"/>
      <c r="EI16" s="816"/>
      <c r="EJ16" s="816"/>
      <c r="EK16" s="816"/>
      <c r="EL16" s="816"/>
      <c r="EM16" s="816"/>
      <c r="EN16" s="816"/>
      <c r="EO16" s="816"/>
      <c r="EP16" s="685"/>
      <c r="EQ16" s="923">
        <v>1.85</v>
      </c>
      <c r="ER16" s="924"/>
      <c r="ES16" s="759" t="s">
        <v>18</v>
      </c>
      <c r="ET16" s="760"/>
      <c r="EU16" s="712"/>
      <c r="EV16" s="716" t="s">
        <v>1044</v>
      </c>
      <c r="EW16" s="717"/>
      <c r="EX16" s="746"/>
      <c r="GF16" s="825"/>
      <c r="GG16" s="700" t="s">
        <v>54</v>
      </c>
      <c r="GH16" s="701"/>
      <c r="GI16" s="701"/>
      <c r="GJ16" s="701"/>
      <c r="GK16" s="701"/>
      <c r="GL16" s="701"/>
      <c r="GM16" s="701"/>
      <c r="GN16" s="701"/>
      <c r="GO16" s="701"/>
      <c r="GP16" s="701"/>
      <c r="GQ16" s="701"/>
      <c r="GR16" s="701"/>
      <c r="GS16" s="702"/>
      <c r="GT16" s="1087">
        <f>AW34</f>
        <v>0.17058500000000001</v>
      </c>
      <c r="GU16" s="1006"/>
      <c r="GV16" s="1211" t="s">
        <v>737</v>
      </c>
      <c r="GW16" s="1212"/>
      <c r="GX16" s="712"/>
      <c r="GY16" s="740" t="s">
        <v>470</v>
      </c>
      <c r="GZ16" s="742"/>
      <c r="HA16" s="746"/>
      <c r="IR16" s="178"/>
      <c r="IS16" s="180"/>
      <c r="IT16" s="885" t="s">
        <v>1221</v>
      </c>
      <c r="IU16" s="885"/>
      <c r="IV16" s="833">
        <f>$JF$22</f>
        <v>1.8967534036424591</v>
      </c>
      <c r="IW16" s="833"/>
      <c r="IX16" s="178"/>
      <c r="IY16" s="179"/>
      <c r="IZ16" s="179"/>
      <c r="JA16" s="179"/>
      <c r="JB16" s="179"/>
      <c r="JC16" s="179"/>
      <c r="JD16" s="179"/>
      <c r="JE16" s="179"/>
      <c r="JF16" s="179"/>
      <c r="JG16" s="179"/>
      <c r="JH16" s="179"/>
      <c r="JI16" s="179"/>
      <c r="JJ16" s="179"/>
      <c r="JK16" s="179"/>
      <c r="JL16" s="179"/>
      <c r="JM16" s="179"/>
      <c r="JN16" s="179"/>
      <c r="JO16" s="179"/>
      <c r="JP16" s="180"/>
      <c r="LF16" s="229"/>
      <c r="LG16" s="229"/>
      <c r="LH16" s="229"/>
      <c r="LI16" s="229"/>
      <c r="LJ16" s="229"/>
      <c r="LK16" s="229"/>
      <c r="LL16" s="229"/>
      <c r="LM16" s="229"/>
      <c r="LN16" s="229"/>
      <c r="LO16" s="229"/>
      <c r="LP16" s="379"/>
      <c r="LQ16" s="379"/>
      <c r="LR16" s="379"/>
      <c r="LS16" s="379"/>
      <c r="LT16" s="379"/>
      <c r="LU16" s="379"/>
      <c r="LV16" s="379"/>
      <c r="LZ16" s="902"/>
      <c r="MA16" s="903"/>
      <c r="MB16" s="904"/>
      <c r="MC16" s="939" t="s">
        <v>1351</v>
      </c>
      <c r="MD16" s="940"/>
      <c r="ME16" s="940"/>
      <c r="MF16" s="940"/>
      <c r="MG16" s="940"/>
      <c r="MH16" s="940"/>
      <c r="MI16" s="927" t="s">
        <v>1348</v>
      </c>
      <c r="MJ16" s="928"/>
      <c r="MK16" s="929"/>
      <c r="ML16" s="927" t="s">
        <v>1349</v>
      </c>
      <c r="MM16" s="928"/>
      <c r="MN16" s="929"/>
      <c r="MO16" s="927" t="s">
        <v>1350</v>
      </c>
      <c r="MP16" s="928"/>
      <c r="MQ16" s="929"/>
      <c r="MR16" s="980" t="s">
        <v>1360</v>
      </c>
      <c r="MS16" s="981"/>
      <c r="MT16" s="981"/>
      <c r="MU16" s="982"/>
      <c r="MV16" s="174"/>
      <c r="MW16" s="174"/>
      <c r="MX16" s="174"/>
      <c r="MY16" s="175"/>
      <c r="OR16" s="144"/>
      <c r="OS16" s="144"/>
      <c r="OT16" s="144"/>
      <c r="OU16" s="144"/>
      <c r="OV16" s="144"/>
      <c r="PC16" s="214" t="s">
        <v>899</v>
      </c>
      <c r="PF16" s="403"/>
      <c r="PG16" s="399"/>
      <c r="PH16" s="55"/>
      <c r="PI16" s="55"/>
      <c r="PJ16" s="214" t="s">
        <v>899</v>
      </c>
      <c r="PK16" s="695" t="s">
        <v>442</v>
      </c>
      <c r="PL16" s="695"/>
      <c r="PM16" s="563"/>
      <c r="PN16" s="562" t="s">
        <v>1222</v>
      </c>
      <c r="PO16" s="677">
        <f>$JF$37</f>
        <v>1.5000000000000002</v>
      </c>
      <c r="PP16" s="677"/>
      <c r="PQ16" s="561" t="s">
        <v>451</v>
      </c>
      <c r="PR16" s="739">
        <f>$QA$57</f>
        <v>1.5</v>
      </c>
      <c r="PS16" s="739"/>
      <c r="PT16" s="563"/>
      <c r="PU16" s="85" t="s">
        <v>467</v>
      </c>
      <c r="PV16" s="757" t="s">
        <v>461</v>
      </c>
      <c r="PW16" s="758"/>
      <c r="PX16" s="819" t="s">
        <v>126</v>
      </c>
      <c r="PY16" s="820"/>
      <c r="PZ16" s="675" t="s">
        <v>731</v>
      </c>
      <c r="QA16" s="1094"/>
      <c r="QB16" s="769" t="s">
        <v>473</v>
      </c>
      <c r="QC16" s="769"/>
      <c r="QD16" s="769"/>
      <c r="QE16" s="769"/>
      <c r="QF16" s="769"/>
      <c r="QG16" s="769" t="s">
        <v>462</v>
      </c>
      <c r="QH16" s="769"/>
      <c r="QI16" s="769"/>
      <c r="QJ16" s="769"/>
      <c r="QK16" s="769"/>
      <c r="QL16" s="769"/>
      <c r="QM16" s="769"/>
      <c r="QN16" s="769"/>
      <c r="QO16" s="769"/>
      <c r="QP16" s="769"/>
      <c r="QQ16" s="769"/>
      <c r="QR16" s="769"/>
      <c r="QS16" s="769"/>
      <c r="QT16" s="769"/>
      <c r="QU16" s="769"/>
      <c r="QV16" s="769"/>
      <c r="QW16" s="769"/>
      <c r="QX16" s="769"/>
      <c r="QY16" s="399"/>
      <c r="QZ16" s="399"/>
      <c r="RA16" s="400"/>
      <c r="RC16" s="496"/>
      <c r="RD16" s="496"/>
      <c r="RE16" s="498"/>
      <c r="RF16" s="499"/>
      <c r="RG16" s="500"/>
      <c r="RH16" s="500"/>
      <c r="RI16" s="501"/>
      <c r="RJ16" s="500"/>
      <c r="RK16" s="500"/>
      <c r="RL16" s="500"/>
      <c r="RM16" s="696" t="s">
        <v>1369</v>
      </c>
      <c r="RN16" s="697"/>
      <c r="RO16" s="756">
        <f>$MN$86</f>
        <v>0.65984741945763259</v>
      </c>
      <c r="RP16" s="756"/>
      <c r="RQ16" s="500"/>
      <c r="RR16" s="501"/>
      <c r="RS16" s="499"/>
      <c r="RT16" s="500"/>
      <c r="RU16" s="500"/>
      <c r="RV16" s="500"/>
      <c r="RW16" s="500"/>
      <c r="RX16" s="501"/>
      <c r="RY16" s="499"/>
      <c r="RZ16" s="500"/>
      <c r="SA16" s="500"/>
      <c r="SB16" s="501"/>
      <c r="SC16" s="499"/>
      <c r="SD16" s="500"/>
      <c r="SE16" s="500"/>
      <c r="SF16" s="501"/>
      <c r="SG16" s="499"/>
      <c r="SH16" s="500"/>
      <c r="SI16" s="500"/>
      <c r="SJ16" s="501"/>
      <c r="SK16" s="500"/>
      <c r="SL16" s="500"/>
      <c r="SM16" s="500"/>
      <c r="SN16" s="500"/>
      <c r="SO16" s="499"/>
      <c r="SP16" s="500"/>
      <c r="SQ16" s="500"/>
      <c r="SR16" s="500"/>
      <c r="SS16" s="501"/>
      <c r="ST16" s="499"/>
      <c r="SU16" s="500"/>
      <c r="SV16" s="500"/>
      <c r="SW16" s="500"/>
      <c r="SX16" s="500"/>
      <c r="SY16" s="501"/>
      <c r="SZ16" s="499"/>
      <c r="TA16" s="500"/>
      <c r="TB16" s="500"/>
      <c r="TC16" s="500"/>
      <c r="TD16" s="500"/>
      <c r="TE16" s="501"/>
      <c r="TF16" s="499"/>
      <c r="TG16" s="500"/>
      <c r="TH16" s="501"/>
      <c r="TI16" s="499"/>
      <c r="TJ16" s="500"/>
      <c r="TK16" s="500"/>
      <c r="TL16" s="501"/>
      <c r="TM16" s="499"/>
      <c r="TN16" s="500"/>
      <c r="TO16" s="500"/>
      <c r="TP16" s="501"/>
      <c r="TQ16" s="500"/>
      <c r="TR16" s="500"/>
      <c r="TS16" s="500"/>
      <c r="TT16" s="500"/>
      <c r="TU16" s="499"/>
      <c r="TV16" s="500"/>
      <c r="TW16" s="500"/>
      <c r="TX16" s="500"/>
      <c r="TY16" s="500"/>
      <c r="TZ16" s="501"/>
      <c r="UA16" s="499"/>
      <c r="UB16" s="501"/>
      <c r="UC16" s="499"/>
      <c r="UD16" s="863" t="s">
        <v>1799</v>
      </c>
      <c r="UE16" s="863"/>
      <c r="UF16" s="863"/>
      <c r="UG16" s="863"/>
      <c r="UH16" s="863"/>
      <c r="UI16" s="756">
        <f>$UI$14/1000+TM19+TQ19+TU19</f>
        <v>1.3514440110956538</v>
      </c>
      <c r="UJ16" s="756"/>
      <c r="UK16" s="499"/>
      <c r="UL16" s="500"/>
      <c r="UM16" s="500"/>
      <c r="UN16" s="501"/>
      <c r="UO16" s="499"/>
      <c r="UP16" s="500"/>
      <c r="UQ16" s="500"/>
      <c r="UR16" s="501"/>
      <c r="US16" s="767"/>
      <c r="UT16" s="767"/>
      <c r="UU16" s="767"/>
      <c r="UV16" s="767"/>
      <c r="UW16" s="767"/>
      <c r="WC16" s="861"/>
      <c r="WD16" s="862"/>
      <c r="WE16" s="863"/>
      <c r="WF16" s="863"/>
      <c r="WG16" s="724"/>
      <c r="WH16" s="724"/>
      <c r="WI16" s="724"/>
      <c r="WJ16" s="864"/>
      <c r="WK16" s="864"/>
      <c r="WL16" s="696" t="s">
        <v>1369</v>
      </c>
      <c r="WM16" s="697"/>
      <c r="WN16" s="756">
        <f>$MN$86</f>
        <v>0.65984741945763259</v>
      </c>
      <c r="WO16" s="756"/>
      <c r="WP16" s="855" t="s">
        <v>415</v>
      </c>
      <c r="WQ16" s="856"/>
      <c r="WR16" s="844" t="s">
        <v>877</v>
      </c>
      <c r="WS16" s="845"/>
      <c r="WT16" s="724">
        <f>$WR$92</f>
        <v>1.560804663639157</v>
      </c>
      <c r="WU16" s="724"/>
      <c r="WV16" s="855" t="s">
        <v>415</v>
      </c>
      <c r="WW16" s="856"/>
      <c r="WX16" s="179"/>
      <c r="WY16" s="179"/>
      <c r="WZ16" s="179"/>
      <c r="XA16" s="179"/>
      <c r="XB16" s="179"/>
      <c r="XC16" s="179"/>
      <c r="XD16" s="179"/>
      <c r="XE16" s="901"/>
      <c r="XF16" s="901"/>
      <c r="XG16" s="901"/>
      <c r="XH16" s="183"/>
      <c r="XI16" s="186"/>
      <c r="XO16" s="826"/>
      <c r="XP16" s="844" t="s">
        <v>1472</v>
      </c>
      <c r="XQ16" s="845"/>
      <c r="XR16" s="884">
        <f>$MN$229</f>
        <v>0.96983668719546179</v>
      </c>
      <c r="XS16" s="884"/>
      <c r="XT16" s="704"/>
      <c r="XU16" s="704"/>
      <c r="XV16" s="704"/>
      <c r="XW16" s="704"/>
      <c r="XX16" s="704"/>
      <c r="XY16" s="704"/>
      <c r="XZ16" s="704"/>
      <c r="YA16" s="704"/>
      <c r="YB16" s="705"/>
      <c r="YC16" s="765"/>
      <c r="YD16" s="766"/>
      <c r="YE16" s="1117"/>
      <c r="YF16" s="1118"/>
      <c r="YG16" s="713"/>
      <c r="YH16" s="718"/>
      <c r="YI16" s="719"/>
      <c r="YJ16" s="1120"/>
      <c r="YK16" s="767"/>
      <c r="YL16" s="767"/>
      <c r="YM16" s="767"/>
      <c r="YN16" s="767"/>
      <c r="YO16" s="767"/>
      <c r="YP16" s="767"/>
      <c r="YU16" s="934"/>
      <c r="YV16" s="826"/>
      <c r="YW16" s="703" t="s">
        <v>1582</v>
      </c>
      <c r="YX16" s="704"/>
      <c r="YY16" s="704"/>
      <c r="YZ16" s="704"/>
      <c r="ZA16" s="704"/>
      <c r="ZB16" s="704"/>
      <c r="ZC16" s="704"/>
      <c r="ZD16" s="704"/>
      <c r="ZE16" s="704"/>
      <c r="ZF16" s="704"/>
      <c r="ZG16" s="704"/>
      <c r="ZH16" s="704"/>
      <c r="ZI16" s="705"/>
      <c r="ZJ16" s="974">
        <v>1</v>
      </c>
      <c r="ZK16" s="975"/>
      <c r="ZL16" s="1005"/>
      <c r="ZM16" s="1006"/>
      <c r="ZN16" s="712"/>
      <c r="ZO16" s="952" t="s">
        <v>1323</v>
      </c>
      <c r="ZP16" s="953"/>
      <c r="ZQ16" s="746"/>
      <c r="ZU16" s="216"/>
      <c r="ZV16" s="84" t="s">
        <v>477</v>
      </c>
      <c r="AAD16" s="947"/>
      <c r="AAE16" s="947"/>
      <c r="AAF16" s="947"/>
      <c r="AAG16" s="947"/>
      <c r="AAH16" s="465">
        <v>6</v>
      </c>
      <c r="AAI16" s="956"/>
      <c r="AAJ16" s="957"/>
      <c r="AAK16" s="956"/>
      <c r="AAL16" s="957"/>
      <c r="AAM16" s="958">
        <f t="shared" si="0"/>
        <v>0.08</v>
      </c>
      <c r="AAN16" s="959"/>
      <c r="AAP16" s="947"/>
      <c r="AAQ16" s="947"/>
      <c r="AAR16" s="947"/>
      <c r="AAS16" s="947"/>
      <c r="AAT16" s="465">
        <v>66</v>
      </c>
      <c r="AAU16" s="956"/>
      <c r="AAV16" s="957"/>
      <c r="AAW16" s="956"/>
      <c r="AAX16" s="957"/>
      <c r="AAY16" s="958">
        <f t="shared" si="1"/>
        <v>0.88</v>
      </c>
      <c r="AAZ16" s="959"/>
      <c r="ABB16" s="947"/>
      <c r="ABC16" s="947"/>
      <c r="ABD16" s="947"/>
      <c r="ABE16" s="947"/>
      <c r="ABF16" s="465">
        <v>126</v>
      </c>
      <c r="ABG16" s="956"/>
      <c r="ABH16" s="957"/>
      <c r="ABI16" s="956"/>
      <c r="ABJ16" s="957"/>
      <c r="ABK16" s="958">
        <f t="shared" si="2"/>
        <v>1.6800000000000002</v>
      </c>
      <c r="ABL16" s="959"/>
      <c r="ABN16" s="947"/>
      <c r="ABO16" s="947"/>
      <c r="ABP16" s="947"/>
      <c r="ABQ16" s="947"/>
      <c r="ABR16" s="465">
        <v>186</v>
      </c>
      <c r="ABS16" s="956"/>
      <c r="ABT16" s="957"/>
      <c r="ABU16" s="956"/>
      <c r="ABV16" s="957"/>
      <c r="ABW16" s="958">
        <f t="shared" si="3"/>
        <v>2.48</v>
      </c>
      <c r="ABX16" s="959"/>
      <c r="ABZ16" s="947"/>
      <c r="ACA16" s="947"/>
      <c r="ACB16" s="947"/>
      <c r="ACC16" s="947"/>
      <c r="ACD16" s="465">
        <v>246</v>
      </c>
      <c r="ACE16" s="956"/>
      <c r="ACF16" s="957"/>
      <c r="ACG16" s="956"/>
      <c r="ACH16" s="957"/>
      <c r="ACI16" s="958">
        <f t="shared" si="4"/>
        <v>3.2800000000000002</v>
      </c>
      <c r="ACJ16" s="959"/>
      <c r="ADB16" s="1033"/>
      <c r="ADC16" s="1033"/>
      <c r="ADD16" s="187"/>
      <c r="ADE16" s="187"/>
      <c r="ADF16" s="187"/>
      <c r="ADG16" s="187"/>
      <c r="ADH16" s="187"/>
      <c r="ADI16" s="188"/>
      <c r="ADJ16" s="1071"/>
      <c r="ADK16" s="1071"/>
      <c r="ADL16" s="1052"/>
      <c r="ADM16" s="1052"/>
      <c r="ADN16" s="1052"/>
      <c r="ADO16" s="1052"/>
      <c r="ADP16" s="1052"/>
      <c r="ADQ16" s="1052"/>
      <c r="ADR16" s="1052"/>
      <c r="ADS16" s="1052"/>
      <c r="ADT16" s="1052"/>
      <c r="ADU16" s="1052"/>
      <c r="ADV16" s="1052"/>
      <c r="ADW16" s="1052"/>
      <c r="ADX16" s="859"/>
      <c r="ADY16" s="1016"/>
      <c r="ADZ16" s="1016"/>
      <c r="AEA16" s="1016"/>
      <c r="AEB16" s="1016"/>
      <c r="AEC16" s="1016"/>
      <c r="AED16" s="1016"/>
      <c r="AEE16" s="1016"/>
      <c r="AEF16" s="1016"/>
      <c r="AEG16" s="1016"/>
      <c r="AEH16" s="1016"/>
      <c r="AEI16" s="1016"/>
      <c r="AEJ16" s="1016"/>
      <c r="AEK16" s="860"/>
      <c r="AEM16" s="1386"/>
      <c r="AEN16" s="1386"/>
      <c r="AEO16" s="1386"/>
      <c r="AEP16" s="1386"/>
      <c r="AEQ16" s="1386"/>
      <c r="AER16" s="1386"/>
      <c r="AES16" s="1386"/>
      <c r="AET16" s="1386"/>
      <c r="AEU16" s="1386"/>
      <c r="AEV16" s="1386"/>
      <c r="AEW16" s="1386"/>
      <c r="AEX16" s="1386"/>
      <c r="AEY16" s="1386"/>
      <c r="AEZ16" s="1386"/>
      <c r="AFA16" s="1386"/>
      <c r="AFC16" s="1144"/>
      <c r="AFD16" s="1145"/>
      <c r="AFE16" s="1145"/>
      <c r="AFF16" s="1145"/>
      <c r="AFG16" s="1145"/>
      <c r="AFH16" s="1145"/>
      <c r="AFI16" s="1145"/>
      <c r="AFJ16" s="1145"/>
      <c r="AFK16" s="1145"/>
      <c r="AFL16" s="1145"/>
      <c r="AFM16" s="1145"/>
      <c r="AFN16" s="1146"/>
      <c r="AFO16" s="144"/>
      <c r="AHO16" s="144"/>
      <c r="AMT16" s="825"/>
      <c r="AMU16" s="147" t="s">
        <v>442</v>
      </c>
      <c r="AMV16" s="148"/>
      <c r="AMW16" s="152"/>
      <c r="AMX16" s="87"/>
      <c r="AMY16" s="87"/>
      <c r="AMZ16" s="87"/>
      <c r="ANA16" s="87"/>
      <c r="ANB16" s="87"/>
      <c r="ANC16" s="87"/>
      <c r="AND16" s="152"/>
      <c r="ANE16" s="85" t="s">
        <v>467</v>
      </c>
      <c r="ANF16" s="757" t="s">
        <v>461</v>
      </c>
      <c r="ANG16" s="758"/>
      <c r="ANH16" s="819" t="s">
        <v>126</v>
      </c>
      <c r="ANI16" s="820"/>
      <c r="ANJ16" s="675" t="s">
        <v>731</v>
      </c>
      <c r="ANK16" s="676"/>
      <c r="ANL16" s="821" t="s">
        <v>473</v>
      </c>
      <c r="ANM16" s="822"/>
      <c r="ANN16" s="822"/>
      <c r="ANO16" s="823"/>
    </row>
    <row r="17" spans="1:1022 1034:1055" ht="48" customHeight="1" thickBot="1">
      <c r="H17" s="157"/>
      <c r="I17" s="157"/>
      <c r="J17" s="157"/>
      <c r="K17" s="157"/>
      <c r="L17" s="157"/>
      <c r="M17" s="157"/>
      <c r="N17" s="157"/>
      <c r="O17" s="157"/>
      <c r="AI17" s="827"/>
      <c r="AJ17" s="1491"/>
      <c r="AK17" s="805"/>
      <c r="AL17" s="805"/>
      <c r="AM17" s="805"/>
      <c r="AN17" s="805"/>
      <c r="AO17" s="805"/>
      <c r="AP17" s="805"/>
      <c r="AQ17" s="805"/>
      <c r="AR17" s="805"/>
      <c r="AS17" s="805"/>
      <c r="AT17" s="805"/>
      <c r="AU17" s="805"/>
      <c r="AV17" s="805"/>
      <c r="AW17" s="1399"/>
      <c r="AX17" s="736"/>
      <c r="AY17" s="851"/>
      <c r="AZ17" s="852"/>
      <c r="BA17" s="747"/>
      <c r="BB17" s="743"/>
      <c r="BC17" s="745"/>
      <c r="BD17" s="747"/>
      <c r="BJ17" s="139"/>
      <c r="BL17" s="139"/>
      <c r="BM17" s="139"/>
      <c r="BN17" s="139"/>
      <c r="BO17" s="139"/>
      <c r="BP17" s="139"/>
      <c r="BQ17" s="139"/>
      <c r="BX17" s="798"/>
      <c r="BY17" s="799"/>
      <c r="BZ17" s="800"/>
      <c r="CA17" s="827"/>
      <c r="CB17" s="734"/>
      <c r="CC17" s="735"/>
      <c r="CD17" s="735"/>
      <c r="CE17" s="735"/>
      <c r="CF17" s="735"/>
      <c r="CG17" s="735"/>
      <c r="CH17" s="735"/>
      <c r="CI17" s="735"/>
      <c r="CJ17" s="735"/>
      <c r="CK17" s="735"/>
      <c r="CL17" s="735"/>
      <c r="CM17" s="735"/>
      <c r="CN17" s="735"/>
      <c r="CO17" s="810"/>
      <c r="CP17" s="811"/>
      <c r="CQ17" s="1215"/>
      <c r="CR17" s="1216"/>
      <c r="CS17" s="713"/>
      <c r="CT17" s="1545"/>
      <c r="CU17" s="1546"/>
      <c r="CV17" s="747"/>
      <c r="DZ17" s="798"/>
      <c r="EA17" s="799"/>
      <c r="EB17" s="800"/>
      <c r="EC17" s="827"/>
      <c r="ED17" s="818"/>
      <c r="EE17" s="818"/>
      <c r="EF17" s="818"/>
      <c r="EG17" s="818"/>
      <c r="EH17" s="818"/>
      <c r="EI17" s="818"/>
      <c r="EJ17" s="818"/>
      <c r="EK17" s="818"/>
      <c r="EL17" s="818"/>
      <c r="EM17" s="818"/>
      <c r="EN17" s="818"/>
      <c r="EO17" s="818"/>
      <c r="EP17" s="1106"/>
      <c r="EQ17" s="925"/>
      <c r="ER17" s="926"/>
      <c r="ES17" s="761"/>
      <c r="ET17" s="762"/>
      <c r="EU17" s="713"/>
      <c r="EV17" s="718"/>
      <c r="EW17" s="719"/>
      <c r="EX17" s="747"/>
      <c r="GF17" s="827"/>
      <c r="GG17" s="706"/>
      <c r="GH17" s="707"/>
      <c r="GI17" s="707"/>
      <c r="GJ17" s="707"/>
      <c r="GK17" s="707"/>
      <c r="GL17" s="707"/>
      <c r="GM17" s="707"/>
      <c r="GN17" s="707"/>
      <c r="GO17" s="707"/>
      <c r="GP17" s="707"/>
      <c r="GQ17" s="707"/>
      <c r="GR17" s="707"/>
      <c r="GS17" s="708"/>
      <c r="GT17" s="1089"/>
      <c r="GU17" s="708"/>
      <c r="GV17" s="1215"/>
      <c r="GW17" s="1216"/>
      <c r="GX17" s="713"/>
      <c r="GY17" s="743"/>
      <c r="GZ17" s="745"/>
      <c r="HA17" s="747"/>
      <c r="IR17" s="792" t="s">
        <v>1078</v>
      </c>
      <c r="IS17" s="793"/>
      <c r="IT17" s="794"/>
      <c r="IU17" s="825"/>
      <c r="IV17" s="147" t="s">
        <v>442</v>
      </c>
      <c r="IW17" s="148"/>
      <c r="IX17" s="152"/>
      <c r="IY17" s="87"/>
      <c r="IZ17" s="87"/>
      <c r="JA17" s="87"/>
      <c r="JB17" s="87"/>
      <c r="JC17" s="231"/>
      <c r="JD17" s="84" t="s">
        <v>477</v>
      </c>
      <c r="JE17" s="152"/>
      <c r="JF17" s="85" t="s">
        <v>467</v>
      </c>
      <c r="JG17" s="757" t="s">
        <v>461</v>
      </c>
      <c r="JH17" s="899"/>
      <c r="JI17" s="819" t="s">
        <v>126</v>
      </c>
      <c r="JJ17" s="820"/>
      <c r="JK17" s="675" t="s">
        <v>731</v>
      </c>
      <c r="JL17" s="676"/>
      <c r="JM17" s="821" t="s">
        <v>473</v>
      </c>
      <c r="JN17" s="822"/>
      <c r="JO17" s="822"/>
      <c r="JP17" s="823"/>
      <c r="LF17" s="229"/>
      <c r="LG17" s="229"/>
      <c r="LH17" s="229"/>
      <c r="LI17" s="229"/>
      <c r="LJ17" s="229"/>
      <c r="LK17" s="229"/>
      <c r="LL17" s="229"/>
      <c r="LM17" s="229"/>
      <c r="LN17" s="229"/>
      <c r="LO17" s="229"/>
      <c r="LP17" s="379"/>
      <c r="LQ17" s="379"/>
      <c r="LR17" s="379"/>
      <c r="LS17" s="379"/>
      <c r="LT17" s="379"/>
      <c r="LU17" s="379"/>
      <c r="LV17" s="379"/>
      <c r="LZ17" s="907"/>
      <c r="MA17" s="901"/>
      <c r="MB17" s="908"/>
      <c r="MC17" s="967"/>
      <c r="MD17" s="968"/>
      <c r="ME17" s="968"/>
      <c r="MF17" s="968"/>
      <c r="MG17" s="968"/>
      <c r="MH17" s="969"/>
      <c r="MI17" s="970">
        <f>'Программные таблицы'!F422</f>
        <v>1.7543859649122805E-8</v>
      </c>
      <c r="MJ17" s="970"/>
      <c r="MK17" s="970"/>
      <c r="ML17" s="970">
        <f>'Программные таблицы'!H422</f>
        <v>2.127659574468085E-8</v>
      </c>
      <c r="MM17" s="970"/>
      <c r="MN17" s="970"/>
      <c r="MO17" s="970">
        <f>'Программные таблицы'!J422</f>
        <v>2.4390243902439023E-8</v>
      </c>
      <c r="MP17" s="970"/>
      <c r="MQ17" s="970"/>
      <c r="MR17" s="921"/>
      <c r="MS17" s="922"/>
      <c r="MT17" s="383">
        <f xml:space="preserve">
IF(MQ19=MI17,20,
IF(MQ19=ML17,75,
IF(MQ19=MO17,115,""
)))</f>
        <v>75</v>
      </c>
      <c r="MU17" s="378" t="s">
        <v>1359</v>
      </c>
      <c r="MV17" s="179"/>
      <c r="MW17" s="179"/>
      <c r="MX17" s="179"/>
      <c r="MY17" s="180"/>
      <c r="NY17" s="214" t="s">
        <v>899</v>
      </c>
      <c r="NZ17" s="821" t="s">
        <v>921</v>
      </c>
      <c r="OA17" s="822"/>
      <c r="OB17" s="823"/>
      <c r="OW17" s="144"/>
      <c r="OX17" s="144"/>
      <c r="PC17" s="825"/>
      <c r="PF17" s="403"/>
      <c r="PG17" s="399"/>
      <c r="PH17" s="55"/>
      <c r="PI17" s="399"/>
      <c r="PJ17" s="825"/>
      <c r="PK17" s="673" t="s">
        <v>1697</v>
      </c>
      <c r="PL17" s="674"/>
      <c r="PM17" s="677">
        <f>$QA$37</f>
        <v>1.6</v>
      </c>
      <c r="PN17" s="677"/>
      <c r="PO17" s="696" t="s">
        <v>1370</v>
      </c>
      <c r="PP17" s="697"/>
      <c r="PQ17" s="724">
        <f>$AQ$7</f>
        <v>50</v>
      </c>
      <c r="PR17" s="737"/>
      <c r="PS17" s="727" t="s">
        <v>1674</v>
      </c>
      <c r="PT17" s="727"/>
      <c r="PU17" s="727"/>
      <c r="PV17" s="727"/>
      <c r="PW17" s="728"/>
      <c r="PX17" s="752">
        <f>(PM19*(PQ17/50)^PR16)*(PM17*(PO16^2)*PQ18+PM18*(PM20^2)*PQ19)</f>
        <v>332.23361083473287</v>
      </c>
      <c r="PY17" s="753"/>
      <c r="PZ17" s="1327" t="s">
        <v>3</v>
      </c>
      <c r="QA17" s="1123"/>
      <c r="QB17" s="978"/>
      <c r="QC17" s="1245" t="s">
        <v>1682</v>
      </c>
      <c r="QD17" s="1245"/>
      <c r="QE17" s="1245"/>
      <c r="QF17" s="1085"/>
      <c r="QG17" s="767"/>
      <c r="QH17" s="767"/>
      <c r="QI17" s="767"/>
      <c r="QJ17" s="767"/>
      <c r="QK17" s="767"/>
      <c r="QL17" s="767"/>
      <c r="QM17" s="767"/>
      <c r="QN17" s="767"/>
      <c r="QO17" s="767"/>
      <c r="QP17" s="767"/>
      <c r="QQ17" s="767"/>
      <c r="QR17" s="767"/>
      <c r="QS17" s="767"/>
      <c r="QT17" s="767"/>
      <c r="QU17" s="767"/>
      <c r="QV17" s="767"/>
      <c r="QW17" s="767"/>
      <c r="QX17" s="767"/>
      <c r="QY17" s="399"/>
      <c r="QZ17" s="399"/>
      <c r="RA17" s="400"/>
      <c r="RC17" s="767"/>
      <c r="RD17" s="767"/>
      <c r="RE17" s="767"/>
      <c r="RF17" s="767"/>
      <c r="RG17" s="767"/>
      <c r="RH17" s="767"/>
      <c r="RI17" s="767"/>
      <c r="RJ17" s="863" t="s">
        <v>1737</v>
      </c>
      <c r="RK17" s="863"/>
      <c r="RL17" s="863"/>
      <c r="RM17" s="767"/>
      <c r="RN17" s="767"/>
      <c r="RO17" s="767"/>
      <c r="RP17" s="767"/>
      <c r="RQ17" s="767"/>
      <c r="RR17" s="767"/>
      <c r="RS17" s="840"/>
      <c r="RT17" s="840"/>
      <c r="RU17" s="840"/>
      <c r="RV17" s="840"/>
      <c r="RW17" s="840"/>
      <c r="RX17" s="840"/>
      <c r="RY17" s="767"/>
      <c r="RZ17" s="767"/>
      <c r="SA17" s="767"/>
      <c r="SB17" s="767"/>
      <c r="SC17" s="767"/>
      <c r="SD17" s="767"/>
      <c r="SE17" s="767"/>
      <c r="SF17" s="767"/>
      <c r="SG17" s="767"/>
      <c r="SH17" s="767"/>
      <c r="SI17" s="767"/>
      <c r="SJ17" s="767"/>
      <c r="SK17" s="767"/>
      <c r="SL17" s="767"/>
      <c r="SM17" s="767"/>
      <c r="SN17" s="767"/>
      <c r="SO17" s="767"/>
      <c r="SP17" s="767"/>
      <c r="SQ17" s="767"/>
      <c r="SR17" s="767"/>
      <c r="SS17" s="767"/>
      <c r="ST17" s="919"/>
      <c r="SU17" s="840"/>
      <c r="SV17" s="840"/>
      <c r="SW17" s="840"/>
      <c r="SX17" s="840"/>
      <c r="SY17" s="920"/>
      <c r="SZ17" s="74"/>
      <c r="TA17" s="70"/>
      <c r="TB17" s="70"/>
      <c r="TC17" s="70"/>
      <c r="TD17" s="70"/>
      <c r="TE17" s="71"/>
      <c r="TF17" s="767"/>
      <c r="TG17" s="767"/>
      <c r="TH17" s="767"/>
      <c r="TI17" s="767"/>
      <c r="TJ17" s="767"/>
      <c r="TK17" s="767"/>
      <c r="TL17" s="767"/>
      <c r="TM17" s="767"/>
      <c r="TN17" s="767"/>
      <c r="TO17" s="767"/>
      <c r="TP17" s="767"/>
      <c r="TQ17" s="767"/>
      <c r="TR17" s="767"/>
      <c r="TS17" s="767"/>
      <c r="TT17" s="767"/>
      <c r="TU17" s="767"/>
      <c r="TV17" s="767"/>
      <c r="TW17" s="767"/>
      <c r="TX17" s="767"/>
      <c r="TY17" s="767"/>
      <c r="TZ17" s="767"/>
      <c r="UA17" s="919"/>
      <c r="UB17" s="920"/>
      <c r="UC17" s="74"/>
      <c r="UD17" s="767"/>
      <c r="UE17" s="767"/>
      <c r="UF17" s="767"/>
      <c r="UG17" s="767"/>
      <c r="UH17" s="767"/>
      <c r="UI17" s="767"/>
      <c r="UJ17" s="767"/>
      <c r="UK17" s="767"/>
      <c r="UL17" s="767"/>
      <c r="UM17" s="767"/>
      <c r="UN17" s="767"/>
      <c r="UO17" s="767"/>
      <c r="UP17" s="767"/>
      <c r="UQ17" s="767"/>
      <c r="UR17" s="767"/>
      <c r="US17" s="767"/>
      <c r="UT17" s="767"/>
      <c r="UU17" s="767"/>
      <c r="UV17" s="767"/>
      <c r="UW17" s="767"/>
      <c r="WC17" s="1410" t="s">
        <v>703</v>
      </c>
      <c r="WD17" s="1411"/>
      <c r="WE17" s="1412"/>
      <c r="WF17" s="1412"/>
      <c r="WG17" s="1412"/>
      <c r="WH17" s="1413"/>
      <c r="WI17" s="942" t="s">
        <v>1569</v>
      </c>
      <c r="WJ17" s="942"/>
      <c r="WK17" s="942"/>
      <c r="WL17" s="940"/>
      <c r="WM17" s="940"/>
      <c r="WN17" s="1237"/>
      <c r="WO17" s="700" t="s">
        <v>436</v>
      </c>
      <c r="WP17" s="909"/>
      <c r="WQ17" s="727" t="s">
        <v>414</v>
      </c>
      <c r="WR17" s="727"/>
      <c r="WS17" s="700" t="s">
        <v>864</v>
      </c>
      <c r="WT17" s="701"/>
      <c r="WU17" s="701"/>
      <c r="WV17" s="701"/>
      <c r="WW17" s="701"/>
      <c r="WX17" s="701"/>
      <c r="WY17" s="701"/>
      <c r="WZ17" s="701"/>
      <c r="XA17" s="701"/>
      <c r="XB17" s="701"/>
      <c r="XC17" s="701"/>
      <c r="XD17" s="909"/>
      <c r="XE17" s="769" t="s">
        <v>186</v>
      </c>
      <c r="XF17" s="769"/>
      <c r="XG17" s="769"/>
      <c r="XH17" s="769"/>
      <c r="XI17" s="769"/>
      <c r="XO17" s="827"/>
      <c r="XP17" s="1057" t="s">
        <v>1468</v>
      </c>
      <c r="XQ17" s="1058"/>
      <c r="XR17" s="883">
        <f>$MN$98</f>
        <v>0.55105560251025065</v>
      </c>
      <c r="XS17" s="883"/>
      <c r="XT17" s="707"/>
      <c r="XU17" s="707"/>
      <c r="XV17" s="707"/>
      <c r="XW17" s="707"/>
      <c r="XX17" s="707"/>
      <c r="XY17" s="707"/>
      <c r="XZ17" s="707"/>
      <c r="YA17" s="707"/>
      <c r="YB17" s="708"/>
      <c r="YC17" s="1022"/>
      <c r="YD17" s="1023"/>
      <c r="YE17" s="1023"/>
      <c r="YF17" s="1023"/>
      <c r="YG17" s="1023"/>
      <c r="YH17" s="1023"/>
      <c r="YI17" s="1023"/>
      <c r="YJ17" s="1024"/>
      <c r="YK17" s="768"/>
      <c r="YL17" s="768"/>
      <c r="YM17" s="768"/>
      <c r="YN17" s="768"/>
      <c r="YO17" s="768"/>
      <c r="YP17" s="768"/>
      <c r="YU17" s="935"/>
      <c r="YV17" s="827"/>
      <c r="YW17" s="706"/>
      <c r="YX17" s="707"/>
      <c r="YY17" s="707"/>
      <c r="YZ17" s="707"/>
      <c r="ZA17" s="707"/>
      <c r="ZB17" s="707"/>
      <c r="ZC17" s="707"/>
      <c r="ZD17" s="707"/>
      <c r="ZE17" s="707"/>
      <c r="ZF17" s="707"/>
      <c r="ZG17" s="707"/>
      <c r="ZH17" s="707"/>
      <c r="ZI17" s="708"/>
      <c r="ZJ17" s="976"/>
      <c r="ZK17" s="977"/>
      <c r="ZL17" s="706"/>
      <c r="ZM17" s="708"/>
      <c r="ZN17" s="713"/>
      <c r="ZO17" s="954"/>
      <c r="ZP17" s="955"/>
      <c r="ZQ17" s="747"/>
      <c r="ZU17" s="216"/>
      <c r="ZV17" s="84" t="s">
        <v>729</v>
      </c>
      <c r="AAD17" s="947"/>
      <c r="AAE17" s="947"/>
      <c r="AAF17" s="947"/>
      <c r="AAG17" s="947"/>
      <c r="AAH17" s="465">
        <v>7</v>
      </c>
      <c r="AAI17" s="956"/>
      <c r="AAJ17" s="957"/>
      <c r="AAK17" s="956"/>
      <c r="AAL17" s="957"/>
      <c r="AAM17" s="958">
        <f t="shared" ref="AAM17:AAM29" si="5">(4/300*AAH17)</f>
        <v>9.3333333333333338E-2</v>
      </c>
      <c r="AAN17" s="959"/>
      <c r="AAP17" s="947"/>
      <c r="AAQ17" s="947"/>
      <c r="AAR17" s="947"/>
      <c r="AAS17" s="947"/>
      <c r="AAT17" s="465">
        <v>67</v>
      </c>
      <c r="AAU17" s="956"/>
      <c r="AAV17" s="957"/>
      <c r="AAW17" s="956"/>
      <c r="AAX17" s="957"/>
      <c r="AAY17" s="958">
        <f t="shared" si="1"/>
        <v>0.89333333333333342</v>
      </c>
      <c r="AAZ17" s="959"/>
      <c r="ABB17" s="947"/>
      <c r="ABC17" s="947"/>
      <c r="ABD17" s="947"/>
      <c r="ABE17" s="947"/>
      <c r="ABF17" s="465">
        <v>127</v>
      </c>
      <c r="ABG17" s="956"/>
      <c r="ABH17" s="957"/>
      <c r="ABI17" s="956"/>
      <c r="ABJ17" s="957"/>
      <c r="ABK17" s="958">
        <f t="shared" si="2"/>
        <v>1.6933333333333334</v>
      </c>
      <c r="ABL17" s="959"/>
      <c r="ABN17" s="947"/>
      <c r="ABO17" s="947"/>
      <c r="ABP17" s="947"/>
      <c r="ABQ17" s="947"/>
      <c r="ABR17" s="465">
        <v>187</v>
      </c>
      <c r="ABS17" s="956"/>
      <c r="ABT17" s="957"/>
      <c r="ABU17" s="956"/>
      <c r="ABV17" s="957"/>
      <c r="ABW17" s="958">
        <f t="shared" si="3"/>
        <v>2.4933333333333336</v>
      </c>
      <c r="ABX17" s="959"/>
      <c r="ABZ17" s="947"/>
      <c r="ACA17" s="947"/>
      <c r="ACB17" s="947"/>
      <c r="ACC17" s="947"/>
      <c r="ACD17" s="465">
        <v>247</v>
      </c>
      <c r="ACE17" s="956"/>
      <c r="ACF17" s="957"/>
      <c r="ACG17" s="956"/>
      <c r="ACH17" s="957"/>
      <c r="ACI17" s="958">
        <f t="shared" si="4"/>
        <v>3.2933333333333334</v>
      </c>
      <c r="ACJ17" s="959"/>
      <c r="ADB17" s="1033"/>
      <c r="ADC17" s="1033"/>
      <c r="ADD17" s="187"/>
      <c r="ADE17" s="187"/>
      <c r="ADF17" s="187"/>
      <c r="ADG17" s="187"/>
      <c r="ADH17" s="187"/>
      <c r="ADI17" s="188"/>
      <c r="ADJ17" s="1071"/>
      <c r="ADK17" s="1071"/>
      <c r="ADL17" s="1052"/>
      <c r="ADM17" s="1052"/>
      <c r="ADN17" s="1052"/>
      <c r="ADO17" s="1052"/>
      <c r="ADP17" s="1052"/>
      <c r="ADQ17" s="1052"/>
      <c r="ADR17" s="1052"/>
      <c r="ADS17" s="1052"/>
      <c r="ADT17" s="1052"/>
      <c r="ADU17" s="1052"/>
      <c r="ADV17" s="1052"/>
      <c r="ADW17" s="1052"/>
      <c r="ADX17" s="859"/>
      <c r="ADY17" s="1016"/>
      <c r="ADZ17" s="1016"/>
      <c r="AEA17" s="1016"/>
      <c r="AEB17" s="1016"/>
      <c r="AEC17" s="1016"/>
      <c r="AED17" s="1016"/>
      <c r="AEE17" s="1016"/>
      <c r="AEF17" s="1016"/>
      <c r="AEG17" s="1016"/>
      <c r="AEH17" s="1016"/>
      <c r="AEI17" s="1016"/>
      <c r="AEJ17" s="1016"/>
      <c r="AEK17" s="860"/>
      <c r="AEM17" s="1386"/>
      <c r="AEN17" s="1386"/>
      <c r="AEO17" s="1386"/>
      <c r="AEP17" s="1386"/>
      <c r="AEQ17" s="1386"/>
      <c r="AER17" s="1386"/>
      <c r="AES17" s="1386"/>
      <c r="AET17" s="1386"/>
      <c r="AEU17" s="1386"/>
      <c r="AEV17" s="1386"/>
      <c r="AEW17" s="1386"/>
      <c r="AEX17" s="1386"/>
      <c r="AEY17" s="1386"/>
      <c r="AEZ17" s="1386"/>
      <c r="AFA17" s="1386"/>
      <c r="AFC17" s="1144"/>
      <c r="AFD17" s="1145"/>
      <c r="AFE17" s="1145"/>
      <c r="AFF17" s="1145"/>
      <c r="AFG17" s="1145"/>
      <c r="AFH17" s="1145"/>
      <c r="AFI17" s="1145"/>
      <c r="AFJ17" s="1145"/>
      <c r="AFK17" s="1145"/>
      <c r="AFL17" s="1145"/>
      <c r="AFM17" s="1145"/>
      <c r="AFN17" s="1146"/>
      <c r="AFO17" s="144"/>
      <c r="AHO17" s="144"/>
      <c r="AIM17" s="825"/>
      <c r="AIN17" s="147" t="s">
        <v>442</v>
      </c>
      <c r="AIO17" s="148"/>
      <c r="AIP17" s="152"/>
      <c r="AIQ17" s="87"/>
      <c r="AIR17" s="87"/>
      <c r="AIS17" s="87"/>
      <c r="AIT17" s="87"/>
      <c r="AIU17" s="87"/>
      <c r="AIV17" s="87"/>
      <c r="AIW17" s="152"/>
      <c r="AIX17" s="85" t="s">
        <v>467</v>
      </c>
      <c r="AIY17" s="757" t="s">
        <v>461</v>
      </c>
      <c r="AIZ17" s="758"/>
      <c r="AJA17" s="819" t="s">
        <v>126</v>
      </c>
      <c r="AJB17" s="820"/>
      <c r="AJC17" s="675" t="s">
        <v>731</v>
      </c>
      <c r="AJD17" s="676"/>
      <c r="AJE17" s="821" t="s">
        <v>473</v>
      </c>
      <c r="AJF17" s="822"/>
      <c r="AJG17" s="822"/>
      <c r="AJH17" s="823"/>
      <c r="AMT17" s="826"/>
      <c r="AMU17" s="816"/>
      <c r="AMV17" s="816"/>
      <c r="AMW17" s="816"/>
      <c r="AMX17" s="816"/>
      <c r="AMY17" s="816"/>
      <c r="AMZ17" s="816"/>
      <c r="ANA17" s="816"/>
      <c r="ANB17" s="816"/>
      <c r="ANC17" s="816"/>
      <c r="AND17" s="816"/>
      <c r="ANE17" s="816"/>
      <c r="ANF17" s="816"/>
      <c r="ANG17" s="816"/>
      <c r="ANH17" s="763"/>
      <c r="ANI17" s="764"/>
      <c r="ANJ17" s="1005"/>
      <c r="ANK17" s="1006"/>
      <c r="ANL17" s="712"/>
      <c r="ANM17" s="716" t="s">
        <v>442</v>
      </c>
      <c r="ANN17" s="717"/>
      <c r="ANO17" s="746"/>
    </row>
    <row r="18" spans="1:1022 1034:1055" ht="48" customHeight="1" thickBot="1">
      <c r="A18" s="144"/>
      <c r="B18" s="144"/>
      <c r="C18" s="144"/>
      <c r="D18" s="226" t="s">
        <v>1002</v>
      </c>
      <c r="E18" s="227"/>
      <c r="F18" s="227"/>
      <c r="G18" s="227"/>
      <c r="H18" s="227"/>
      <c r="I18" s="227"/>
      <c r="J18" s="227"/>
      <c r="K18" s="227"/>
      <c r="L18" s="227"/>
      <c r="M18" s="227"/>
      <c r="N18" s="227"/>
      <c r="O18" s="227"/>
      <c r="P18" s="227"/>
      <c r="Q18" s="227"/>
      <c r="R18" s="227"/>
      <c r="S18" s="649"/>
      <c r="X18" s="880">
        <v>3000</v>
      </c>
      <c r="Y18" s="880"/>
      <c r="Z18" s="880">
        <f>3000/X18</f>
        <v>1</v>
      </c>
      <c r="AA18" s="880"/>
      <c r="BO18" s="139"/>
      <c r="BP18" s="139"/>
      <c r="BQ18" s="139"/>
      <c r="BR18" s="72"/>
      <c r="BS18" s="72"/>
      <c r="BT18" s="72"/>
      <c r="BU18" s="72"/>
      <c r="BV18" s="72"/>
      <c r="BW18" s="72"/>
      <c r="BX18" s="72"/>
      <c r="BY18" s="72"/>
      <c r="BZ18" s="72"/>
      <c r="CA18" s="72"/>
      <c r="CB18" s="72"/>
      <c r="CC18" s="72"/>
      <c r="CD18" s="72"/>
      <c r="CE18" s="72"/>
      <c r="CF18" s="72"/>
      <c r="CG18" s="72"/>
      <c r="CH18" s="72"/>
      <c r="CI18" s="72"/>
      <c r="CJ18" s="72"/>
      <c r="CK18" s="72"/>
      <c r="FB18" s="144"/>
      <c r="FC18" s="144"/>
      <c r="FD18" s="144"/>
      <c r="FE18" s="144"/>
      <c r="FF18" s="144"/>
      <c r="FG18" s="144"/>
      <c r="IR18" s="795"/>
      <c r="IS18" s="796"/>
      <c r="IT18" s="797"/>
      <c r="IU18" s="826"/>
      <c r="IV18" s="700" t="s">
        <v>92</v>
      </c>
      <c r="IW18" s="701"/>
      <c r="IX18" s="701"/>
      <c r="IY18" s="701"/>
      <c r="IZ18" s="701"/>
      <c r="JA18" s="701"/>
      <c r="JB18" s="701"/>
      <c r="JC18" s="701"/>
      <c r="JD18" s="701"/>
      <c r="JE18" s="701"/>
      <c r="JF18" s="701"/>
      <c r="JG18" s="701"/>
      <c r="JH18" s="702"/>
      <c r="JI18" s="983">
        <v>1520</v>
      </c>
      <c r="JJ18" s="984"/>
      <c r="JK18" s="759" t="s">
        <v>17</v>
      </c>
      <c r="JL18" s="760"/>
      <c r="JM18" s="714"/>
      <c r="JN18" s="952" t="s">
        <v>1161</v>
      </c>
      <c r="JO18" s="953"/>
      <c r="JP18" s="746"/>
      <c r="LD18" s="144"/>
      <c r="LE18" s="144"/>
      <c r="LF18" s="144"/>
      <c r="LG18" s="144"/>
      <c r="LH18" s="144"/>
      <c r="LI18" s="144"/>
      <c r="LJ18" s="144"/>
      <c r="LK18" s="144"/>
      <c r="LL18" s="144"/>
      <c r="LM18" s="144"/>
      <c r="LN18" s="144"/>
      <c r="LO18" s="144"/>
      <c r="LP18" s="379"/>
      <c r="LQ18" s="379"/>
      <c r="LR18" s="379"/>
      <c r="LS18" s="379"/>
      <c r="LT18" s="379"/>
      <c r="LU18" s="379"/>
      <c r="LV18" s="379"/>
      <c r="LZ18" s="792" t="s">
        <v>1078</v>
      </c>
      <c r="MA18" s="793"/>
      <c r="MB18" s="794"/>
      <c r="MC18" s="825"/>
      <c r="MD18" s="665" t="s">
        <v>442</v>
      </c>
      <c r="ME18" s="666"/>
      <c r="MF18" s="373"/>
      <c r="MG18" s="87"/>
      <c r="MH18" s="87"/>
      <c r="MI18" s="87"/>
      <c r="MJ18" s="87"/>
      <c r="MK18" s="87"/>
      <c r="ML18" s="84" t="s">
        <v>477</v>
      </c>
      <c r="MM18" s="373"/>
      <c r="MN18" s="85" t="s">
        <v>467</v>
      </c>
      <c r="MO18" s="757" t="s">
        <v>461</v>
      </c>
      <c r="MP18" s="758"/>
      <c r="MQ18" s="774" t="s">
        <v>126</v>
      </c>
      <c r="MR18" s="775"/>
      <c r="MS18" s="776"/>
      <c r="MT18" s="675" t="s">
        <v>731</v>
      </c>
      <c r="MU18" s="676"/>
      <c r="MV18" s="821" t="s">
        <v>473</v>
      </c>
      <c r="MW18" s="822"/>
      <c r="MX18" s="822"/>
      <c r="MY18" s="823"/>
      <c r="NY18" s="825"/>
      <c r="NZ18" s="1066" t="s">
        <v>920</v>
      </c>
      <c r="OA18" s="1111"/>
      <c r="OB18" s="1067"/>
      <c r="PC18" s="827"/>
      <c r="PF18" s="403"/>
      <c r="PG18" s="399"/>
      <c r="PH18" s="55"/>
      <c r="PI18" s="399"/>
      <c r="PJ18" s="826"/>
      <c r="PK18" s="673" t="s">
        <v>1698</v>
      </c>
      <c r="PL18" s="674"/>
      <c r="PM18" s="739">
        <f>$QA$41</f>
        <v>1.8</v>
      </c>
      <c r="PN18" s="739"/>
      <c r="PO18" s="863" t="s">
        <v>1701</v>
      </c>
      <c r="PP18" s="863"/>
      <c r="PQ18" s="739">
        <f>$PX$53</f>
        <v>36.914845648303633</v>
      </c>
      <c r="PR18" s="739"/>
      <c r="PS18" s="727"/>
      <c r="PT18" s="727"/>
      <c r="PU18" s="727"/>
      <c r="PV18" s="727"/>
      <c r="PW18" s="728"/>
      <c r="PX18" s="754"/>
      <c r="PY18" s="755"/>
      <c r="PZ18" s="1329"/>
      <c r="QA18" s="1125"/>
      <c r="QB18" s="979"/>
      <c r="QC18" s="1246"/>
      <c r="QD18" s="1246"/>
      <c r="QE18" s="1246"/>
      <c r="QF18" s="1086"/>
      <c r="QG18" s="767"/>
      <c r="QH18" s="767"/>
      <c r="QI18" s="767"/>
      <c r="QJ18" s="767"/>
      <c r="QK18" s="767"/>
      <c r="QL18" s="767"/>
      <c r="QM18" s="767"/>
      <c r="QN18" s="767"/>
      <c r="QO18" s="767"/>
      <c r="QP18" s="767"/>
      <c r="QQ18" s="767"/>
      <c r="QR18" s="767"/>
      <c r="QS18" s="767"/>
      <c r="QT18" s="767"/>
      <c r="QU18" s="767"/>
      <c r="QV18" s="767"/>
      <c r="QW18" s="767"/>
      <c r="QX18" s="767"/>
      <c r="QY18" s="399"/>
      <c r="QZ18" s="399"/>
      <c r="RA18" s="400"/>
      <c r="RC18" s="767"/>
      <c r="RD18" s="767"/>
      <c r="RE18" s="767"/>
      <c r="RF18" s="767"/>
      <c r="RG18" s="767"/>
      <c r="RH18" s="767"/>
      <c r="RI18" s="767"/>
      <c r="RJ18" s="864" t="s">
        <v>416</v>
      </c>
      <c r="RK18" s="864"/>
      <c r="RL18" s="864"/>
      <c r="RM18" s="767"/>
      <c r="RN18" s="767"/>
      <c r="RO18" s="767"/>
      <c r="RP18" s="767"/>
      <c r="RQ18" s="767"/>
      <c r="RR18" s="767"/>
      <c r="RS18" s="841"/>
      <c r="RT18" s="841"/>
      <c r="RU18" s="841"/>
      <c r="RV18" s="841"/>
      <c r="RW18" s="841"/>
      <c r="RX18" s="841"/>
      <c r="RY18" s="767"/>
      <c r="RZ18" s="767"/>
      <c r="SA18" s="767"/>
      <c r="SB18" s="767"/>
      <c r="SC18" s="767"/>
      <c r="SD18" s="767"/>
      <c r="SE18" s="767"/>
      <c r="SF18" s="767"/>
      <c r="SG18" s="767"/>
      <c r="SH18" s="767"/>
      <c r="SI18" s="767"/>
      <c r="SJ18" s="767"/>
      <c r="SK18" s="767"/>
      <c r="SL18" s="767"/>
      <c r="SM18" s="767"/>
      <c r="SN18" s="767"/>
      <c r="SO18" s="767"/>
      <c r="SP18" s="767"/>
      <c r="SQ18" s="767"/>
      <c r="SR18" s="767"/>
      <c r="SS18" s="767"/>
      <c r="ST18" s="921"/>
      <c r="SU18" s="1257"/>
      <c r="SV18" s="1257"/>
      <c r="SW18" s="1257"/>
      <c r="SX18" s="1257"/>
      <c r="SY18" s="922"/>
      <c r="SZ18" s="499"/>
      <c r="TA18" s="500"/>
      <c r="TB18" s="500"/>
      <c r="TC18" s="500"/>
      <c r="TD18" s="500"/>
      <c r="TE18" s="501"/>
      <c r="TF18" s="767"/>
      <c r="TG18" s="767"/>
      <c r="TH18" s="767"/>
      <c r="TI18" s="767"/>
      <c r="TJ18" s="767"/>
      <c r="TK18" s="767"/>
      <c r="TL18" s="767"/>
      <c r="TM18" s="767"/>
      <c r="TN18" s="767"/>
      <c r="TO18" s="767"/>
      <c r="TP18" s="767"/>
      <c r="TQ18" s="767"/>
      <c r="TR18" s="767"/>
      <c r="TS18" s="767"/>
      <c r="TT18" s="767"/>
      <c r="TU18" s="767"/>
      <c r="TV18" s="767"/>
      <c r="TW18" s="767"/>
      <c r="TX18" s="767"/>
      <c r="TY18" s="767"/>
      <c r="TZ18" s="767"/>
      <c r="UA18" s="921"/>
      <c r="UB18" s="922"/>
      <c r="UC18" s="499"/>
      <c r="UD18" s="767"/>
      <c r="UE18" s="767"/>
      <c r="UF18" s="767"/>
      <c r="UG18" s="767"/>
      <c r="UH18" s="767"/>
      <c r="UI18" s="767"/>
      <c r="UJ18" s="767"/>
      <c r="UK18" s="767"/>
      <c r="UL18" s="767"/>
      <c r="UM18" s="767"/>
      <c r="UN18" s="767"/>
      <c r="UO18" s="767"/>
      <c r="UP18" s="767"/>
      <c r="UQ18" s="767"/>
      <c r="UR18" s="767"/>
      <c r="US18" s="767"/>
      <c r="UT18" s="767"/>
      <c r="UU18" s="767"/>
      <c r="UV18" s="767"/>
      <c r="UW18" s="767"/>
      <c r="WC18" s="1414"/>
      <c r="WD18" s="1412"/>
      <c r="WE18" s="1412"/>
      <c r="WF18" s="1412"/>
      <c r="WG18" s="1412"/>
      <c r="WH18" s="1413"/>
      <c r="WI18" s="968"/>
      <c r="WJ18" s="968"/>
      <c r="WK18" s="968"/>
      <c r="WL18" s="968"/>
      <c r="WM18" s="968"/>
      <c r="WN18" s="969"/>
      <c r="WO18" s="703"/>
      <c r="WP18" s="1160"/>
      <c r="WQ18" s="727"/>
      <c r="WR18" s="727"/>
      <c r="WS18" s="910"/>
      <c r="WT18" s="911"/>
      <c r="WU18" s="911"/>
      <c r="WV18" s="911"/>
      <c r="WW18" s="911"/>
      <c r="WX18" s="911"/>
      <c r="WY18" s="911"/>
      <c r="WZ18" s="911"/>
      <c r="XA18" s="911"/>
      <c r="XB18" s="911"/>
      <c r="XC18" s="911"/>
      <c r="XD18" s="912"/>
      <c r="XE18" s="769"/>
      <c r="XF18" s="769"/>
      <c r="XG18" s="769"/>
      <c r="XH18" s="769"/>
      <c r="XI18" s="769"/>
      <c r="AAD18" s="947"/>
      <c r="AAE18" s="947"/>
      <c r="AAF18" s="947"/>
      <c r="AAG18" s="947"/>
      <c r="AAH18" s="465">
        <v>8</v>
      </c>
      <c r="AAI18" s="956"/>
      <c r="AAJ18" s="957"/>
      <c r="AAK18" s="956"/>
      <c r="AAL18" s="957"/>
      <c r="AAM18" s="958">
        <f t="shared" si="5"/>
        <v>0.10666666666666667</v>
      </c>
      <c r="AAN18" s="959"/>
      <c r="AAP18" s="947"/>
      <c r="AAQ18" s="947"/>
      <c r="AAR18" s="947"/>
      <c r="AAS18" s="947"/>
      <c r="AAT18" s="465">
        <v>68</v>
      </c>
      <c r="AAU18" s="956"/>
      <c r="AAV18" s="957"/>
      <c r="AAW18" s="956"/>
      <c r="AAX18" s="957"/>
      <c r="AAY18" s="958">
        <f t="shared" si="1"/>
        <v>0.90666666666666673</v>
      </c>
      <c r="AAZ18" s="959"/>
      <c r="ABB18" s="947"/>
      <c r="ABC18" s="947"/>
      <c r="ABD18" s="947"/>
      <c r="ABE18" s="947"/>
      <c r="ABF18" s="465">
        <v>128</v>
      </c>
      <c r="ABG18" s="956"/>
      <c r="ABH18" s="957"/>
      <c r="ABI18" s="956"/>
      <c r="ABJ18" s="957"/>
      <c r="ABK18" s="958">
        <f t="shared" si="2"/>
        <v>1.7066666666666668</v>
      </c>
      <c r="ABL18" s="959"/>
      <c r="ABN18" s="947"/>
      <c r="ABO18" s="947"/>
      <c r="ABP18" s="947"/>
      <c r="ABQ18" s="947"/>
      <c r="ABR18" s="465">
        <v>188</v>
      </c>
      <c r="ABS18" s="956"/>
      <c r="ABT18" s="957"/>
      <c r="ABU18" s="956"/>
      <c r="ABV18" s="957"/>
      <c r="ABW18" s="958">
        <f t="shared" si="3"/>
        <v>2.5066666666666668</v>
      </c>
      <c r="ABX18" s="959"/>
      <c r="ABZ18" s="947"/>
      <c r="ACA18" s="947"/>
      <c r="ACB18" s="947"/>
      <c r="ACC18" s="947"/>
      <c r="ACD18" s="465">
        <v>248</v>
      </c>
      <c r="ACE18" s="956"/>
      <c r="ACF18" s="957"/>
      <c r="ACG18" s="956"/>
      <c r="ACH18" s="957"/>
      <c r="ACI18" s="958">
        <f t="shared" si="4"/>
        <v>3.3066666666666671</v>
      </c>
      <c r="ACJ18" s="959"/>
      <c r="ADB18" s="1033"/>
      <c r="ADC18" s="1033"/>
      <c r="ADD18" s="184"/>
      <c r="ADE18" s="184"/>
      <c r="ADF18" s="184"/>
      <c r="ADG18" s="184"/>
      <c r="ADH18" s="184"/>
      <c r="ADI18" s="186"/>
      <c r="ADJ18" s="1071"/>
      <c r="ADK18" s="1071"/>
      <c r="ADL18" s="1052"/>
      <c r="ADM18" s="1052"/>
      <c r="ADN18" s="1052"/>
      <c r="ADO18" s="1052"/>
      <c r="ADP18" s="1052"/>
      <c r="ADQ18" s="1052"/>
      <c r="ADR18" s="1052"/>
      <c r="ADS18" s="1052"/>
      <c r="ADT18" s="1052"/>
      <c r="ADU18" s="1052"/>
      <c r="ADV18" s="1052"/>
      <c r="ADW18" s="1052"/>
      <c r="ADX18" s="861"/>
      <c r="ADY18" s="1017"/>
      <c r="ADZ18" s="1017"/>
      <c r="AEA18" s="1017"/>
      <c r="AEB18" s="1017"/>
      <c r="AEC18" s="1017"/>
      <c r="AED18" s="1017"/>
      <c r="AEE18" s="1017"/>
      <c r="AEF18" s="1017"/>
      <c r="AEG18" s="1017"/>
      <c r="AEH18" s="1017"/>
      <c r="AEI18" s="1017"/>
      <c r="AEJ18" s="1017"/>
      <c r="AEK18" s="862"/>
      <c r="AEM18" s="1386"/>
      <c r="AEN18" s="1386"/>
      <c r="AEO18" s="1386"/>
      <c r="AEP18" s="1386"/>
      <c r="AEQ18" s="1386"/>
      <c r="AER18" s="1386"/>
      <c r="AES18" s="1386"/>
      <c r="AET18" s="1386"/>
      <c r="AEU18" s="1386"/>
      <c r="AEV18" s="1386"/>
      <c r="AEW18" s="1386"/>
      <c r="AEX18" s="1386"/>
      <c r="AEY18" s="1386"/>
      <c r="AEZ18" s="1386"/>
      <c r="AFA18" s="1386"/>
      <c r="AFC18" s="1144"/>
      <c r="AFD18" s="1145"/>
      <c r="AFE18" s="1145"/>
      <c r="AFF18" s="1145"/>
      <c r="AFG18" s="1145"/>
      <c r="AFH18" s="1145"/>
      <c r="AFI18" s="1145"/>
      <c r="AFJ18" s="1145"/>
      <c r="AFK18" s="1145"/>
      <c r="AFL18" s="1145"/>
      <c r="AFM18" s="1145"/>
      <c r="AFN18" s="1146"/>
      <c r="AFO18" s="144"/>
      <c r="AHO18" s="144"/>
      <c r="AIM18" s="826"/>
      <c r="AIN18" s="816" t="s">
        <v>160</v>
      </c>
      <c r="AIO18" s="816"/>
      <c r="AIP18" s="816"/>
      <c r="AIQ18" s="816"/>
      <c r="AIR18" s="816"/>
      <c r="AIS18" s="816"/>
      <c r="AIT18" s="816"/>
      <c r="AIU18" s="816"/>
      <c r="AIV18" s="816"/>
      <c r="AIW18" s="816"/>
      <c r="AIX18" s="816"/>
      <c r="AIY18" s="816"/>
      <c r="AIZ18" s="816"/>
      <c r="AJA18" s="752">
        <f>AJD22*(AJA45+PX17)/(3.14*AW34*AW82*AJD115)</f>
        <v>2984.3522045807813</v>
      </c>
      <c r="AJB18" s="753"/>
      <c r="AJC18" s="1005"/>
      <c r="AJD18" s="1006"/>
      <c r="AJE18" s="712"/>
      <c r="AJF18" s="716" t="s">
        <v>442</v>
      </c>
      <c r="AJG18" s="717"/>
      <c r="AJH18" s="746"/>
      <c r="AMT18" s="827"/>
      <c r="AMU18" s="818"/>
      <c r="AMV18" s="818"/>
      <c r="AMW18" s="818"/>
      <c r="AMX18" s="818"/>
      <c r="AMY18" s="818"/>
      <c r="AMZ18" s="818"/>
      <c r="ANA18" s="818"/>
      <c r="ANB18" s="818"/>
      <c r="ANC18" s="818"/>
      <c r="AND18" s="818"/>
      <c r="ANE18" s="818"/>
      <c r="ANF18" s="818"/>
      <c r="ANG18" s="818"/>
      <c r="ANH18" s="765"/>
      <c r="ANI18" s="766"/>
      <c r="ANJ18" s="706"/>
      <c r="ANK18" s="708"/>
      <c r="ANL18" s="713"/>
      <c r="ANM18" s="718"/>
      <c r="ANN18" s="719"/>
      <c r="ANO18" s="747"/>
    </row>
    <row r="19" spans="1:1022 1034:1055" ht="48" customHeight="1" thickBot="1">
      <c r="A19" s="144"/>
      <c r="B19" s="144"/>
      <c r="C19" s="144"/>
      <c r="D19" s="648"/>
      <c r="E19" s="1508" t="s">
        <v>999</v>
      </c>
      <c r="F19" s="1509"/>
      <c r="G19" s="1509"/>
      <c r="H19" s="1509"/>
      <c r="I19" s="1509"/>
      <c r="J19" s="1509"/>
      <c r="K19" s="1509"/>
      <c r="L19" s="1509"/>
      <c r="M19" s="1509"/>
      <c r="N19" s="1509"/>
      <c r="O19" s="1509"/>
      <c r="P19" s="1509"/>
      <c r="Q19" s="1509"/>
      <c r="R19" s="1510"/>
      <c r="S19" s="220"/>
      <c r="X19" s="880">
        <v>1500</v>
      </c>
      <c r="Y19" s="880"/>
      <c r="Z19" s="880">
        <f>3000/X19</f>
        <v>2</v>
      </c>
      <c r="AA19" s="880"/>
      <c r="AI19" s="554"/>
      <c r="AJ19" s="513"/>
      <c r="AK19" s="602" t="s">
        <v>994</v>
      </c>
      <c r="AL19" s="727" t="s">
        <v>1805</v>
      </c>
      <c r="AM19" s="727"/>
      <c r="AN19" s="727"/>
      <c r="AO19" s="727"/>
      <c r="AP19" s="727"/>
      <c r="AQ19" s="727"/>
      <c r="AR19" s="727"/>
      <c r="AS19" s="727"/>
      <c r="AT19" s="727"/>
      <c r="AU19" s="727"/>
      <c r="AV19" s="727"/>
      <c r="AW19" s="727"/>
      <c r="AX19" s="668">
        <f>'Программные таблицы'!$Q$6</f>
        <v>0.313</v>
      </c>
      <c r="AY19" s="669"/>
      <c r="AZ19" s="513"/>
      <c r="BA19" s="513"/>
      <c r="BB19" s="513"/>
      <c r="BC19" s="513"/>
      <c r="BD19" s="513"/>
      <c r="BE19" s="513"/>
      <c r="BF19" s="513"/>
      <c r="BG19" s="519"/>
      <c r="BQ19" s="139"/>
      <c r="BX19" s="825"/>
      <c r="BY19" s="695" t="s">
        <v>767</v>
      </c>
      <c r="BZ19" s="695"/>
      <c r="CA19" s="137"/>
      <c r="CB19" s="580" t="s">
        <v>470</v>
      </c>
      <c r="CC19" s="756">
        <f>$AW$34</f>
        <v>0.17058500000000001</v>
      </c>
      <c r="CD19" s="756"/>
      <c r="CE19" s="87"/>
      <c r="CF19" s="87"/>
      <c r="CG19" s="87"/>
      <c r="CH19" s="137"/>
      <c r="CI19" s="85" t="s">
        <v>467</v>
      </c>
      <c r="CJ19" s="757" t="s">
        <v>461</v>
      </c>
      <c r="CK19" s="758"/>
      <c r="CL19" s="819" t="s">
        <v>126</v>
      </c>
      <c r="CM19" s="820"/>
      <c r="CN19" s="675" t="s">
        <v>731</v>
      </c>
      <c r="CO19" s="676"/>
      <c r="CP19" s="821" t="s">
        <v>473</v>
      </c>
      <c r="CQ19" s="822"/>
      <c r="CR19" s="822"/>
      <c r="CS19" s="823"/>
      <c r="CT19" s="769" t="s">
        <v>462</v>
      </c>
      <c r="CU19" s="769"/>
      <c r="CV19" s="769"/>
      <c r="CW19" s="769"/>
      <c r="DZ19" s="792" t="s">
        <v>1078</v>
      </c>
      <c r="EA19" s="793"/>
      <c r="EB19" s="794"/>
      <c r="EC19" s="825"/>
      <c r="ED19" s="665" t="s">
        <v>442</v>
      </c>
      <c r="EE19" s="666"/>
      <c r="EF19" s="146"/>
      <c r="EG19" s="87"/>
      <c r="EH19" s="87"/>
      <c r="EI19" s="87"/>
      <c r="EJ19" s="87"/>
      <c r="EK19" s="216"/>
      <c r="EL19" s="84" t="s">
        <v>477</v>
      </c>
      <c r="EM19" s="146"/>
      <c r="EN19" s="85" t="s">
        <v>467</v>
      </c>
      <c r="EO19" s="757" t="s">
        <v>461</v>
      </c>
      <c r="EP19" s="758"/>
      <c r="EQ19" s="819" t="s">
        <v>126</v>
      </c>
      <c r="ER19" s="820"/>
      <c r="ES19" s="675" t="s">
        <v>731</v>
      </c>
      <c r="ET19" s="676"/>
      <c r="EU19" s="821" t="s">
        <v>473</v>
      </c>
      <c r="EV19" s="822"/>
      <c r="EW19" s="822"/>
      <c r="EX19" s="823"/>
      <c r="FB19" s="144"/>
      <c r="FC19" s="144"/>
      <c r="FD19" s="144"/>
      <c r="FE19" s="144"/>
      <c r="FF19" s="144"/>
      <c r="FG19" s="144"/>
      <c r="GF19" s="85" t="s">
        <v>839</v>
      </c>
      <c r="GG19" s="665" t="s">
        <v>442</v>
      </c>
      <c r="GH19" s="666"/>
      <c r="GI19" s="254"/>
      <c r="GJ19" s="87"/>
      <c r="GK19" s="87"/>
      <c r="GL19" s="87"/>
      <c r="GM19" s="87"/>
      <c r="GN19" s="87"/>
      <c r="GO19" s="87"/>
      <c r="GP19" s="254"/>
      <c r="GQ19" s="85" t="s">
        <v>467</v>
      </c>
      <c r="GR19" s="757" t="s">
        <v>461</v>
      </c>
      <c r="GS19" s="899"/>
      <c r="GT19" s="819" t="s">
        <v>126</v>
      </c>
      <c r="GU19" s="820"/>
      <c r="GV19" s="675" t="s">
        <v>731</v>
      </c>
      <c r="GW19" s="676"/>
      <c r="GX19" s="821" t="s">
        <v>473</v>
      </c>
      <c r="GY19" s="822"/>
      <c r="GZ19" s="822"/>
      <c r="HA19" s="823"/>
      <c r="IR19" s="798"/>
      <c r="IS19" s="799"/>
      <c r="IT19" s="800"/>
      <c r="IU19" s="827"/>
      <c r="IV19" s="706"/>
      <c r="IW19" s="707"/>
      <c r="IX19" s="707"/>
      <c r="IY19" s="707"/>
      <c r="IZ19" s="707"/>
      <c r="JA19" s="707"/>
      <c r="JB19" s="707"/>
      <c r="JC19" s="707"/>
      <c r="JD19" s="707"/>
      <c r="JE19" s="707"/>
      <c r="JF19" s="707"/>
      <c r="JG19" s="707"/>
      <c r="JH19" s="708"/>
      <c r="JI19" s="985"/>
      <c r="JJ19" s="986"/>
      <c r="JK19" s="761"/>
      <c r="JL19" s="762"/>
      <c r="JM19" s="715"/>
      <c r="JN19" s="954"/>
      <c r="JO19" s="955"/>
      <c r="JP19" s="747"/>
      <c r="LD19" s="144"/>
      <c r="LE19" s="144"/>
      <c r="LF19" s="144"/>
      <c r="LG19" s="144"/>
      <c r="LH19" s="144"/>
      <c r="LI19" s="144"/>
      <c r="LJ19" s="144"/>
      <c r="LK19" s="144"/>
      <c r="LL19" s="144"/>
      <c r="LM19" s="144"/>
      <c r="LN19" s="144"/>
      <c r="LO19" s="144"/>
      <c r="LZ19" s="795"/>
      <c r="MA19" s="796"/>
      <c r="MB19" s="797"/>
      <c r="MC19" s="826"/>
      <c r="MD19" s="939" t="s">
        <v>1355</v>
      </c>
      <c r="ME19" s="940"/>
      <c r="MF19" s="940"/>
      <c r="MG19" s="940"/>
      <c r="MH19" s="940"/>
      <c r="MI19" s="940"/>
      <c r="MJ19" s="940"/>
      <c r="MK19" s="940"/>
      <c r="ML19" s="940"/>
      <c r="MM19" s="940"/>
      <c r="MN19" s="940"/>
      <c r="MO19" s="940"/>
      <c r="MP19" s="1003"/>
      <c r="MQ19" s="1262">
        <f>ML17</f>
        <v>2.127659574468085E-8</v>
      </c>
      <c r="MR19" s="1263"/>
      <c r="MS19" s="1264"/>
      <c r="MT19" s="895" t="s">
        <v>1343</v>
      </c>
      <c r="MU19" s="896"/>
      <c r="MV19" s="712"/>
      <c r="MW19" s="952" t="s">
        <v>449</v>
      </c>
      <c r="MX19" s="953"/>
      <c r="MY19" s="746"/>
      <c r="NY19" s="827"/>
      <c r="NZ19" s="1112"/>
      <c r="OA19" s="1113"/>
      <c r="OB19" s="1114"/>
      <c r="PF19" s="403"/>
      <c r="PG19" s="399"/>
      <c r="PH19" s="55"/>
      <c r="PI19" s="399"/>
      <c r="PJ19" s="826"/>
      <c r="PK19" s="696" t="s">
        <v>1696</v>
      </c>
      <c r="PL19" s="697"/>
      <c r="PM19" s="948">
        <f>$QA$61</f>
        <v>2.5</v>
      </c>
      <c r="PN19" s="965"/>
      <c r="PO19" s="863" t="s">
        <v>1700</v>
      </c>
      <c r="PP19" s="863"/>
      <c r="PQ19" s="739">
        <f>$PX$49</f>
        <v>0</v>
      </c>
      <c r="PR19" s="948"/>
      <c r="PS19" s="727"/>
      <c r="PT19" s="727"/>
      <c r="PU19" s="727"/>
      <c r="PV19" s="727"/>
      <c r="PW19" s="728"/>
      <c r="PX19" s="1432"/>
      <c r="PY19" s="1433"/>
      <c r="PZ19" s="1433"/>
      <c r="QA19" s="1433"/>
      <c r="QB19" s="1433"/>
      <c r="QC19" s="1433"/>
      <c r="QD19" s="1433"/>
      <c r="QE19" s="1433"/>
      <c r="QF19" s="1434"/>
      <c r="QG19" s="767"/>
      <c r="QH19" s="767"/>
      <c r="QI19" s="767"/>
      <c r="QJ19" s="767"/>
      <c r="QK19" s="767"/>
      <c r="QL19" s="767"/>
      <c r="QM19" s="767"/>
      <c r="QN19" s="767"/>
      <c r="QO19" s="767"/>
      <c r="QP19" s="767"/>
      <c r="QQ19" s="767"/>
      <c r="QR19" s="767"/>
      <c r="QS19" s="767"/>
      <c r="QT19" s="767"/>
      <c r="QU19" s="767"/>
      <c r="QV19" s="767"/>
      <c r="QW19" s="767"/>
      <c r="QX19" s="767"/>
      <c r="QY19" s="399"/>
      <c r="QZ19" s="399"/>
      <c r="RA19" s="400"/>
      <c r="RC19" s="570">
        <v>1</v>
      </c>
      <c r="RD19" s="668">
        <v>1E-3</v>
      </c>
      <c r="RE19" s="669"/>
      <c r="RF19" s="670">
        <f>($RH$14*$RH$15)/RD19</f>
        <v>681.03172965079546</v>
      </c>
      <c r="RG19" s="670"/>
      <c r="RH19" s="670"/>
      <c r="RI19" s="670"/>
      <c r="RJ19" s="698">
        <f>$AQ$4/1000</f>
        <v>30</v>
      </c>
      <c r="RK19" s="699"/>
      <c r="RL19" s="726"/>
      <c r="RM19" s="670">
        <f>$RO$14+($RO$15*$RO$16)/RD19</f>
        <v>681.22023082101191</v>
      </c>
      <c r="RN19" s="670"/>
      <c r="RO19" s="670"/>
      <c r="RP19" s="670"/>
      <c r="RQ19" s="670"/>
      <c r="RR19" s="670"/>
      <c r="RS19" s="671">
        <f t="shared" ref="RS19:RS50" si="6">$XC$194+$WR$88*$XC$170/RD19</f>
        <v>1.560804663639157</v>
      </c>
      <c r="RT19" s="671"/>
      <c r="RU19" s="671"/>
      <c r="RV19" s="671"/>
      <c r="RW19" s="671"/>
      <c r="RX19" s="671"/>
      <c r="RY19" s="681">
        <f>(RM19^2+RS19^2)^0.5</f>
        <v>681.22201886832079</v>
      </c>
      <c r="RZ19" s="681"/>
      <c r="SA19" s="681"/>
      <c r="SB19" s="681"/>
      <c r="SC19" s="670">
        <f>'Вывод расчетов'!$AQ$6/RY19</f>
        <v>0.55782107664587022</v>
      </c>
      <c r="SD19" s="670"/>
      <c r="SE19" s="670"/>
      <c r="SF19" s="670"/>
      <c r="SG19" s="867">
        <f>RM19/RY19</f>
        <v>0.99999737523559229</v>
      </c>
      <c r="SH19" s="867"/>
      <c r="SI19" s="867"/>
      <c r="SJ19" s="867"/>
      <c r="SK19" s="874">
        <f>RS19/RY19</f>
        <v>2.2911835208028679E-3</v>
      </c>
      <c r="SL19" s="875"/>
      <c r="SM19" s="875"/>
      <c r="SN19" s="876"/>
      <c r="SO19" s="692">
        <f>$SR$14+SC19*SG19+$SR$15</f>
        <v>0.9081420536282121</v>
      </c>
      <c r="SP19" s="693"/>
      <c r="SQ19" s="693"/>
      <c r="SR19" s="693"/>
      <c r="SS19" s="694"/>
      <c r="ST19" s="668">
        <f>$SX$14+SC19*SK19</f>
        <v>10.983354832454362</v>
      </c>
      <c r="SU19" s="678"/>
      <c r="SV19" s="678"/>
      <c r="SW19" s="678"/>
      <c r="SX19" s="678"/>
      <c r="SY19" s="669"/>
      <c r="SZ19" s="682">
        <f>(SO19^2+ST19^2)^0.5</f>
        <v>11.020835057524753</v>
      </c>
      <c r="TA19" s="683"/>
      <c r="TB19" s="683"/>
      <c r="TC19" s="683"/>
      <c r="TD19" s="683"/>
      <c r="TE19" s="684"/>
      <c r="TF19" s="692">
        <f>$TG$14*SC19</f>
        <v>0.56670472215243939</v>
      </c>
      <c r="TG19" s="693"/>
      <c r="TH19" s="694"/>
      <c r="TI19" s="670">
        <f>(3*$TK$14*SO19)/1000</f>
        <v>1.0352819411361618</v>
      </c>
      <c r="TJ19" s="670"/>
      <c r="TK19" s="670"/>
      <c r="TL19" s="670"/>
      <c r="TM19" s="688">
        <f>3*SZ19^2*$TO$14/1000</f>
        <v>6.760867095076617E-2</v>
      </c>
      <c r="TN19" s="688"/>
      <c r="TO19" s="688"/>
      <c r="TP19" s="688"/>
      <c r="TQ19" s="688">
        <f>(3*(TF19^2)*$TS$14)/1000</f>
        <v>6.3573839371221545E-4</v>
      </c>
      <c r="TR19" s="688"/>
      <c r="TS19" s="688"/>
      <c r="TT19" s="688"/>
      <c r="TU19" s="874">
        <f>$TW$14*(SZ19/$TW$15)^2/1000</f>
        <v>1.917851540948733E-2</v>
      </c>
      <c r="TV19" s="875"/>
      <c r="TW19" s="875"/>
      <c r="TX19" s="875"/>
      <c r="TY19" s="875"/>
      <c r="TZ19" s="876"/>
      <c r="UA19" s="886">
        <v>1E-3</v>
      </c>
      <c r="UB19" s="887"/>
      <c r="UC19" s="650">
        <v>0.02</v>
      </c>
      <c r="UD19" s="866">
        <f t="shared" ref="UD19:UD50" si="7">$UI$14/1000+TM19+TQ19+TU19+$UI$15</f>
        <v>0.96770974058137904</v>
      </c>
      <c r="UE19" s="866"/>
      <c r="UF19" s="866"/>
      <c r="UG19" s="866"/>
      <c r="UH19" s="866"/>
      <c r="UI19" s="866"/>
      <c r="UJ19" s="866"/>
      <c r="UK19" s="670">
        <f t="shared" ref="UK19:UK50" si="8">TI19-UD19</f>
        <v>6.7572200554782746E-2</v>
      </c>
      <c r="UL19" s="670"/>
      <c r="UM19" s="670"/>
      <c r="UN19" s="670"/>
      <c r="UO19" s="688">
        <f t="shared" ref="UO19:UO50" si="9">1-(UD19/TI19)</f>
        <v>6.526937046793857E-2</v>
      </c>
      <c r="UP19" s="688"/>
      <c r="UQ19" s="688"/>
      <c r="UR19" s="688"/>
      <c r="US19" s="866">
        <f t="shared" ref="US19:US50" si="10">(SO19-$UV$14)/SZ19</f>
        <v>8.2402290651120425E-2</v>
      </c>
      <c r="UT19" s="866"/>
      <c r="UU19" s="866"/>
      <c r="UV19" s="866"/>
      <c r="UW19" s="866"/>
      <c r="WC19" s="1415"/>
      <c r="WD19" s="1416"/>
      <c r="WE19" s="1416"/>
      <c r="WF19" s="1416"/>
      <c r="WG19" s="1416"/>
      <c r="WH19" s="1417"/>
      <c r="WI19" s="182"/>
      <c r="WJ19" s="182"/>
      <c r="WK19" s="182"/>
      <c r="WL19" s="182"/>
      <c r="WM19" s="182"/>
      <c r="WN19" s="185"/>
      <c r="WO19" s="880">
        <v>0</v>
      </c>
      <c r="WP19" s="880"/>
      <c r="WQ19" s="1389" t="s">
        <v>1012</v>
      </c>
      <c r="WR19" s="1389"/>
      <c r="WS19" s="866">
        <v>5.0000000000000001E-3</v>
      </c>
      <c r="WT19" s="866"/>
      <c r="WU19" s="866">
        <v>1E-3</v>
      </c>
      <c r="WV19" s="866"/>
      <c r="WW19" s="866">
        <v>1.5E-3</v>
      </c>
      <c r="WX19" s="866"/>
      <c r="WY19" s="866">
        <v>0.02</v>
      </c>
      <c r="WZ19" s="866"/>
      <c r="XA19" s="866">
        <v>2.5000000000000001E-2</v>
      </c>
      <c r="XB19" s="866"/>
      <c r="XC19" s="866">
        <v>0.03</v>
      </c>
      <c r="XD19" s="866"/>
      <c r="XE19" s="857"/>
      <c r="XF19" s="1015"/>
      <c r="XG19" s="173"/>
      <c r="XH19" s="174"/>
      <c r="XI19" s="175"/>
      <c r="XQ19" s="216"/>
      <c r="XR19" s="665" t="s">
        <v>924</v>
      </c>
      <c r="XS19" s="667"/>
      <c r="XT19" s="216"/>
      <c r="XU19" s="685" t="s">
        <v>1113</v>
      </c>
      <c r="XV19" s="686"/>
      <c r="XW19" s="686"/>
      <c r="XX19" s="686"/>
      <c r="XY19" s="686"/>
      <c r="XZ19" s="686"/>
      <c r="YA19" s="686"/>
      <c r="YB19" s="686"/>
      <c r="YC19" s="686"/>
      <c r="YD19" s="686"/>
      <c r="YE19" s="687"/>
      <c r="YF19" s="216"/>
      <c r="AAD19" s="947"/>
      <c r="AAE19" s="947"/>
      <c r="AAF19" s="947"/>
      <c r="AAG19" s="947"/>
      <c r="AAH19" s="465">
        <v>9</v>
      </c>
      <c r="AAI19" s="956"/>
      <c r="AAJ19" s="957"/>
      <c r="AAK19" s="956"/>
      <c r="AAL19" s="957"/>
      <c r="AAM19" s="958">
        <f t="shared" si="5"/>
        <v>0.12000000000000001</v>
      </c>
      <c r="AAN19" s="959"/>
      <c r="AAP19" s="947"/>
      <c r="AAQ19" s="947"/>
      <c r="AAR19" s="947"/>
      <c r="AAS19" s="947"/>
      <c r="AAT19" s="465">
        <v>69</v>
      </c>
      <c r="AAU19" s="956"/>
      <c r="AAV19" s="957"/>
      <c r="AAW19" s="956"/>
      <c r="AAX19" s="957"/>
      <c r="AAY19" s="958">
        <f t="shared" si="1"/>
        <v>0.92</v>
      </c>
      <c r="AAZ19" s="959"/>
      <c r="ABB19" s="947"/>
      <c r="ABC19" s="947"/>
      <c r="ABD19" s="947"/>
      <c r="ABE19" s="947"/>
      <c r="ABF19" s="465">
        <v>129</v>
      </c>
      <c r="ABG19" s="956"/>
      <c r="ABH19" s="957"/>
      <c r="ABI19" s="956"/>
      <c r="ABJ19" s="957"/>
      <c r="ABK19" s="958">
        <f t="shared" si="2"/>
        <v>1.7200000000000002</v>
      </c>
      <c r="ABL19" s="959"/>
      <c r="ABN19" s="947"/>
      <c r="ABO19" s="947"/>
      <c r="ABP19" s="947"/>
      <c r="ABQ19" s="947"/>
      <c r="ABR19" s="465">
        <v>189</v>
      </c>
      <c r="ABS19" s="956"/>
      <c r="ABT19" s="957"/>
      <c r="ABU19" s="956"/>
      <c r="ABV19" s="957"/>
      <c r="ABW19" s="958">
        <f t="shared" si="3"/>
        <v>2.52</v>
      </c>
      <c r="ABX19" s="959"/>
      <c r="ABZ19" s="947"/>
      <c r="ACA19" s="947"/>
      <c r="ACB19" s="947"/>
      <c r="ACC19" s="947"/>
      <c r="ACD19" s="465">
        <v>249</v>
      </c>
      <c r="ACE19" s="956"/>
      <c r="ACF19" s="957"/>
      <c r="ACG19" s="956"/>
      <c r="ACH19" s="957"/>
      <c r="ACI19" s="958">
        <f t="shared" si="4"/>
        <v>3.3200000000000003</v>
      </c>
      <c r="ACJ19" s="959"/>
      <c r="ADB19" s="1033"/>
      <c r="ADC19" s="1033"/>
      <c r="ADD19" s="182"/>
      <c r="ADE19" s="182"/>
      <c r="ADF19" s="182"/>
      <c r="ADG19" s="185"/>
      <c r="ADH19" s="1066" t="s">
        <v>1816</v>
      </c>
      <c r="ADI19" s="1067"/>
      <c r="ADJ19" s="1070" t="s">
        <v>762</v>
      </c>
      <c r="ADK19" s="1070"/>
      <c r="ADL19" s="1050">
        <f>0.9</f>
        <v>0.9</v>
      </c>
      <c r="ADM19" s="1051"/>
      <c r="ADN19" s="1051">
        <v>0.55000000000000004</v>
      </c>
      <c r="ADO19" s="1051"/>
      <c r="ADP19" s="1051">
        <v>0.5</v>
      </c>
      <c r="ADQ19" s="1051"/>
      <c r="ADR19" s="1051">
        <v>0.4</v>
      </c>
      <c r="ADS19" s="1051"/>
      <c r="ADT19" s="1051">
        <v>0.3</v>
      </c>
      <c r="ADU19" s="1051"/>
      <c r="ADV19" s="1051">
        <v>0.55000000000000004</v>
      </c>
      <c r="ADW19" s="1051"/>
      <c r="ADX19" s="192"/>
      <c r="ADY19" s="187"/>
      <c r="ADZ19" s="187"/>
      <c r="AEA19" s="188"/>
      <c r="AEB19" s="905"/>
      <c r="AEC19" s="900"/>
      <c r="AED19" s="900"/>
      <c r="AEE19" s="900"/>
      <c r="AEF19" s="900"/>
      <c r="AEG19" s="172"/>
      <c r="AEH19" s="172"/>
      <c r="AEI19" s="172"/>
      <c r="AEJ19" s="172"/>
      <c r="AEK19" s="177"/>
      <c r="AEM19" s="1386"/>
      <c r="AEN19" s="1386"/>
      <c r="AEO19" s="1386"/>
      <c r="AEP19" s="1386"/>
      <c r="AEQ19" s="1386"/>
      <c r="AER19" s="1386"/>
      <c r="AES19" s="1386"/>
      <c r="AET19" s="1386"/>
      <c r="AEU19" s="1386"/>
      <c r="AEV19" s="1386"/>
      <c r="AEW19" s="1386"/>
      <c r="AEX19" s="1386"/>
      <c r="AEY19" s="1386"/>
      <c r="AEZ19" s="1386"/>
      <c r="AFA19" s="1386"/>
      <c r="AFC19" s="1147"/>
      <c r="AFD19" s="1148"/>
      <c r="AFE19" s="1148"/>
      <c r="AFF19" s="1148"/>
      <c r="AFG19" s="1148"/>
      <c r="AFH19" s="1148"/>
      <c r="AFI19" s="1148"/>
      <c r="AFJ19" s="1148"/>
      <c r="AFK19" s="1148"/>
      <c r="AFL19" s="1148"/>
      <c r="AFM19" s="1148"/>
      <c r="AFN19" s="1149"/>
      <c r="AFO19" s="144"/>
      <c r="AHO19" s="144"/>
      <c r="AIM19" s="827"/>
      <c r="AIN19" s="818"/>
      <c r="AIO19" s="818"/>
      <c r="AIP19" s="818"/>
      <c r="AIQ19" s="818"/>
      <c r="AIR19" s="818"/>
      <c r="AIS19" s="818"/>
      <c r="AIT19" s="818"/>
      <c r="AIU19" s="818"/>
      <c r="AIV19" s="818"/>
      <c r="AIW19" s="818"/>
      <c r="AIX19" s="818"/>
      <c r="AIY19" s="818"/>
      <c r="AIZ19" s="818"/>
      <c r="AJA19" s="754"/>
      <c r="AJB19" s="755"/>
      <c r="AJC19" s="706"/>
      <c r="AJD19" s="708"/>
      <c r="AJE19" s="713"/>
      <c r="AJF19" s="718"/>
      <c r="AJG19" s="719"/>
      <c r="AJH19" s="747"/>
    </row>
    <row r="20" spans="1:1022 1034:1055" ht="48" customHeight="1" thickBot="1">
      <c r="A20" s="144"/>
      <c r="B20" s="144"/>
      <c r="C20" s="144"/>
      <c r="D20" s="652">
        <v>1</v>
      </c>
      <c r="E20" s="1508" t="s">
        <v>1000</v>
      </c>
      <c r="F20" s="1509"/>
      <c r="G20" s="1509"/>
      <c r="H20" s="1509"/>
      <c r="I20" s="1509"/>
      <c r="J20" s="1509"/>
      <c r="K20" s="1509"/>
      <c r="L20" s="1509"/>
      <c r="M20" s="1509"/>
      <c r="N20" s="1509"/>
      <c r="O20" s="1509"/>
      <c r="P20" s="1509"/>
      <c r="Q20" s="1509"/>
      <c r="R20" s="1509"/>
      <c r="S20" s="1510"/>
      <c r="X20" s="880">
        <v>750</v>
      </c>
      <c r="Y20" s="880"/>
      <c r="Z20" s="880">
        <f>3000/X20</f>
        <v>4</v>
      </c>
      <c r="AA20" s="880"/>
      <c r="AC20" s="144"/>
      <c r="AD20" s="144"/>
      <c r="AE20" s="144"/>
      <c r="AI20" s="792" t="s">
        <v>1078</v>
      </c>
      <c r="AJ20" s="793"/>
      <c r="AK20" s="794"/>
      <c r="AL20" s="825"/>
      <c r="AM20" s="681">
        <v>1.3</v>
      </c>
      <c r="AN20" s="681"/>
      <c r="AO20" s="598"/>
      <c r="AP20" s="87"/>
      <c r="AQ20" s="87"/>
      <c r="AR20" s="87"/>
      <c r="AS20" s="87"/>
      <c r="AT20" s="87"/>
      <c r="AU20" s="85" t="s">
        <v>477</v>
      </c>
      <c r="AV20" s="598"/>
      <c r="AW20" s="85" t="s">
        <v>467</v>
      </c>
      <c r="AX20" s="1504" t="s">
        <v>461</v>
      </c>
      <c r="AY20" s="1505"/>
      <c r="AZ20" s="1130" t="s">
        <v>126</v>
      </c>
      <c r="BA20" s="1131"/>
      <c r="BB20" s="675" t="s">
        <v>731</v>
      </c>
      <c r="BC20" s="676"/>
      <c r="BD20" s="821" t="s">
        <v>473</v>
      </c>
      <c r="BE20" s="822"/>
      <c r="BF20" s="822"/>
      <c r="BG20" s="823"/>
      <c r="BQ20" s="139"/>
      <c r="BX20" s="826"/>
      <c r="BY20" s="1557" t="s">
        <v>1046</v>
      </c>
      <c r="BZ20" s="732"/>
      <c r="CA20" s="732"/>
      <c r="CB20" s="732"/>
      <c r="CC20" s="732"/>
      <c r="CD20" s="732"/>
      <c r="CE20" s="732"/>
      <c r="CF20" s="732"/>
      <c r="CG20" s="732"/>
      <c r="CH20" s="732"/>
      <c r="CI20" s="732"/>
      <c r="CJ20" s="732"/>
      <c r="CK20" s="732"/>
      <c r="CL20" s="1087">
        <f>(3.14*AW34)/CO12</f>
        <v>29.757605555555564</v>
      </c>
      <c r="CM20" s="1006"/>
      <c r="CN20" s="849" t="s">
        <v>762</v>
      </c>
      <c r="CO20" s="850"/>
      <c r="CP20" s="712"/>
      <c r="CQ20" s="716" t="s">
        <v>784</v>
      </c>
      <c r="CR20" s="717"/>
      <c r="CS20" s="746"/>
      <c r="CT20" s="767"/>
      <c r="CU20" s="767"/>
      <c r="CV20" s="767"/>
      <c r="CW20" s="767"/>
      <c r="DZ20" s="795"/>
      <c r="EA20" s="796"/>
      <c r="EB20" s="797"/>
      <c r="EC20" s="826"/>
      <c r="ED20" s="816" t="s">
        <v>49</v>
      </c>
      <c r="EE20" s="816"/>
      <c r="EF20" s="816"/>
      <c r="EG20" s="816"/>
      <c r="EH20" s="816"/>
      <c r="EI20" s="816"/>
      <c r="EJ20" s="816"/>
      <c r="EK20" s="816"/>
      <c r="EL20" s="816"/>
      <c r="EM20" s="816"/>
      <c r="EN20" s="816"/>
      <c r="EO20" s="816"/>
      <c r="EP20" s="685"/>
      <c r="EQ20" s="923">
        <v>1.9</v>
      </c>
      <c r="ER20" s="924"/>
      <c r="ES20" s="759" t="s">
        <v>18</v>
      </c>
      <c r="ET20" s="760"/>
      <c r="EU20" s="712"/>
      <c r="EV20" s="716" t="s">
        <v>1045</v>
      </c>
      <c r="EW20" s="717"/>
      <c r="EX20" s="746"/>
      <c r="FB20" s="144"/>
      <c r="FC20" s="144"/>
      <c r="FD20" s="144"/>
      <c r="FE20" s="144"/>
      <c r="FF20" s="144"/>
      <c r="FG20" s="144"/>
      <c r="GF20" s="825"/>
      <c r="GG20" s="700" t="s">
        <v>57</v>
      </c>
      <c r="GH20" s="701"/>
      <c r="GI20" s="701"/>
      <c r="GJ20" s="701"/>
      <c r="GK20" s="701"/>
      <c r="GL20" s="701"/>
      <c r="GM20" s="701"/>
      <c r="GN20" s="701"/>
      <c r="GO20" s="701"/>
      <c r="GP20" s="701"/>
      <c r="GQ20" s="701"/>
      <c r="GR20" s="701"/>
      <c r="GS20" s="702"/>
      <c r="GT20" s="1087">
        <f>AZ21</f>
        <v>0.313</v>
      </c>
      <c r="GU20" s="1006"/>
      <c r="GV20" s="1211" t="s">
        <v>737</v>
      </c>
      <c r="GW20" s="1212"/>
      <c r="GX20" s="712"/>
      <c r="GY20" s="740" t="s">
        <v>1054</v>
      </c>
      <c r="GZ20" s="742"/>
      <c r="HA20" s="746"/>
      <c r="JY20" s="144"/>
      <c r="LC20" s="229"/>
      <c r="LD20" s="144"/>
      <c r="LE20" s="144"/>
      <c r="LF20" s="144"/>
      <c r="LG20" s="144"/>
      <c r="LH20" s="144"/>
      <c r="LI20" s="144"/>
      <c r="LJ20" s="144"/>
      <c r="LK20" s="144"/>
      <c r="LL20" s="144"/>
      <c r="LM20" s="144"/>
      <c r="LN20" s="144"/>
      <c r="LO20" s="144"/>
      <c r="LZ20" s="798"/>
      <c r="MA20" s="799"/>
      <c r="MB20" s="800"/>
      <c r="MC20" s="827"/>
      <c r="MD20" s="943"/>
      <c r="ME20" s="944"/>
      <c r="MF20" s="944"/>
      <c r="MG20" s="944"/>
      <c r="MH20" s="944"/>
      <c r="MI20" s="944"/>
      <c r="MJ20" s="944"/>
      <c r="MK20" s="944"/>
      <c r="ML20" s="944"/>
      <c r="MM20" s="944"/>
      <c r="MN20" s="944"/>
      <c r="MO20" s="944"/>
      <c r="MP20" s="1004"/>
      <c r="MQ20" s="1265"/>
      <c r="MR20" s="1266"/>
      <c r="MS20" s="1267"/>
      <c r="MT20" s="897"/>
      <c r="MU20" s="898"/>
      <c r="MV20" s="713"/>
      <c r="MW20" s="954"/>
      <c r="MX20" s="955"/>
      <c r="MY20" s="747"/>
      <c r="OD20" s="821" t="s">
        <v>462</v>
      </c>
      <c r="OE20" s="822"/>
      <c r="OF20" s="822"/>
      <c r="OG20" s="822"/>
      <c r="OH20" s="822"/>
      <c r="OI20" s="823"/>
      <c r="OK20" s="769" t="s">
        <v>462</v>
      </c>
      <c r="OL20" s="769"/>
      <c r="OM20" s="769"/>
      <c r="ON20" s="769"/>
      <c r="OO20" s="769"/>
      <c r="OQ20" s="821" t="s">
        <v>462</v>
      </c>
      <c r="OR20" s="822"/>
      <c r="OS20" s="822"/>
      <c r="OT20" s="823"/>
      <c r="PF20" s="403"/>
      <c r="PG20" s="399"/>
      <c r="PH20" s="55"/>
      <c r="PI20" s="399"/>
      <c r="PJ20" s="827"/>
      <c r="PK20" s="709" t="s">
        <v>1221</v>
      </c>
      <c r="PL20" s="709"/>
      <c r="PM20" s="672">
        <f>$JF$22</f>
        <v>1.8967534036424591</v>
      </c>
      <c r="PN20" s="672"/>
      <c r="PO20" s="930"/>
      <c r="PP20" s="931"/>
      <c r="PQ20" s="931"/>
      <c r="PR20" s="931"/>
      <c r="PS20" s="729"/>
      <c r="PT20" s="729"/>
      <c r="PU20" s="729"/>
      <c r="PV20" s="729"/>
      <c r="PW20" s="730"/>
      <c r="PX20" s="1435"/>
      <c r="PY20" s="1436"/>
      <c r="PZ20" s="1436"/>
      <c r="QA20" s="1436"/>
      <c r="QB20" s="1436"/>
      <c r="QC20" s="1436"/>
      <c r="QD20" s="1436"/>
      <c r="QE20" s="1436"/>
      <c r="QF20" s="1437"/>
      <c r="QG20" s="768"/>
      <c r="QH20" s="768"/>
      <c r="QI20" s="768"/>
      <c r="QJ20" s="768"/>
      <c r="QK20" s="768"/>
      <c r="QL20" s="768"/>
      <c r="QM20" s="768"/>
      <c r="QN20" s="768"/>
      <c r="QO20" s="768"/>
      <c r="QP20" s="768"/>
      <c r="QQ20" s="768"/>
      <c r="QR20" s="768"/>
      <c r="QS20" s="768"/>
      <c r="QT20" s="768"/>
      <c r="QU20" s="768"/>
      <c r="QV20" s="768"/>
      <c r="QW20" s="768"/>
      <c r="QX20" s="768"/>
      <c r="QY20" s="399"/>
      <c r="QZ20" s="399"/>
      <c r="RA20" s="400"/>
      <c r="RC20" s="369">
        <v>2</v>
      </c>
      <c r="RD20" s="668">
        <v>2E-3</v>
      </c>
      <c r="RE20" s="669"/>
      <c r="RF20" s="670">
        <f t="shared" ref="RF20:RF30" si="11">($RH$14*$RH$15)/RD20</f>
        <v>340.51586482539773</v>
      </c>
      <c r="RG20" s="670"/>
      <c r="RH20" s="670"/>
      <c r="RI20" s="670"/>
      <c r="RJ20" s="698">
        <f t="shared" ref="RJ20:RJ83" si="12">$AQ$4/1000</f>
        <v>30</v>
      </c>
      <c r="RK20" s="699"/>
      <c r="RL20" s="726"/>
      <c r="RM20" s="670">
        <f t="shared" ref="RM20:RM83" si="13">$RO$14+($RO$15*$RO$16)/RD20</f>
        <v>340.70436599561418</v>
      </c>
      <c r="RN20" s="670"/>
      <c r="RO20" s="670"/>
      <c r="RP20" s="670"/>
      <c r="RQ20" s="670"/>
      <c r="RR20" s="670"/>
      <c r="RS20" s="671">
        <f t="shared" si="6"/>
        <v>1.560804663639157</v>
      </c>
      <c r="RT20" s="671"/>
      <c r="RU20" s="671"/>
      <c r="RV20" s="671"/>
      <c r="RW20" s="671"/>
      <c r="RX20" s="671"/>
      <c r="RY20" s="681">
        <f t="shared" ref="RY20:RY83" si="14">(RM20^2+RS20^2)^0.5</f>
        <v>340.70794108689552</v>
      </c>
      <c r="RZ20" s="681"/>
      <c r="SA20" s="681"/>
      <c r="SB20" s="681"/>
      <c r="SC20" s="681">
        <f>'Вывод расчетов'!$AQ$6/RY20</f>
        <v>1.1153247523018059</v>
      </c>
      <c r="SD20" s="681"/>
      <c r="SE20" s="681"/>
      <c r="SF20" s="681"/>
      <c r="SG20" s="867">
        <f t="shared" ref="SG20:SG29" si="15">RM20/RY20</f>
        <v>0.99998950687421628</v>
      </c>
      <c r="SH20" s="867"/>
      <c r="SI20" s="867"/>
      <c r="SJ20" s="867"/>
      <c r="SK20" s="874">
        <f t="shared" ref="SK20:SK83" si="16">RS20/RY20</f>
        <v>4.5810633549074904E-3</v>
      </c>
      <c r="SL20" s="875"/>
      <c r="SM20" s="875"/>
      <c r="SN20" s="876"/>
      <c r="SO20" s="692">
        <f t="shared" ref="SO20:SO27" si="17">$SR$14+SC20*SG20+$SR$15</f>
        <v>1.4656354901901401</v>
      </c>
      <c r="SP20" s="693"/>
      <c r="SQ20" s="693"/>
      <c r="SR20" s="693"/>
      <c r="SS20" s="694"/>
      <c r="ST20" s="668">
        <f t="shared" ref="ST20:ST24" si="18">$SX$14+SC20*SK20</f>
        <v>10.987186135347585</v>
      </c>
      <c r="SU20" s="678"/>
      <c r="SV20" s="678"/>
      <c r="SW20" s="678"/>
      <c r="SX20" s="678"/>
      <c r="SY20" s="669"/>
      <c r="SZ20" s="682">
        <f t="shared" ref="SZ20:SZ83" si="19">(SO20^2+ST20^2)^0.5</f>
        <v>11.084509306364405</v>
      </c>
      <c r="TA20" s="683"/>
      <c r="TB20" s="683"/>
      <c r="TC20" s="683"/>
      <c r="TD20" s="683"/>
      <c r="TE20" s="684"/>
      <c r="TF20" s="682">
        <f>'Вывод расчетов'!$XC$174*SC20</f>
        <v>1.1330869885079531</v>
      </c>
      <c r="TG20" s="683"/>
      <c r="TH20" s="684"/>
      <c r="TI20" s="670">
        <f t="shared" ref="TI20:TI24" si="20">(3*$TK$14*SO20)/1000</f>
        <v>1.6708244588167598</v>
      </c>
      <c r="TJ20" s="670"/>
      <c r="TK20" s="670"/>
      <c r="TL20" s="670"/>
      <c r="TM20" s="685">
        <f t="shared" ref="TM20:TM83" si="21">3*SZ20^2*$TO$14/1000</f>
        <v>6.8392162846637253E-2</v>
      </c>
      <c r="TN20" s="686"/>
      <c r="TO20" s="686"/>
      <c r="TP20" s="687"/>
      <c r="TQ20" s="688">
        <f t="shared" ref="TQ20:TQ83" si="22">(3*(TF20^2)*$TS$14)/1000</f>
        <v>2.5415068364583269E-3</v>
      </c>
      <c r="TR20" s="688"/>
      <c r="TS20" s="688"/>
      <c r="TT20" s="688"/>
      <c r="TU20" s="874">
        <f t="shared" ref="TU20:TU27" si="23">$TW$14*(SZ20/$TW$15)^2/1000</f>
        <v>1.9400768135163806E-2</v>
      </c>
      <c r="TV20" s="875"/>
      <c r="TW20" s="875"/>
      <c r="TX20" s="875"/>
      <c r="TY20" s="875"/>
      <c r="TZ20" s="876"/>
      <c r="UA20" s="679">
        <v>2E-3</v>
      </c>
      <c r="UB20" s="680"/>
      <c r="UC20" s="650">
        <v>0.04</v>
      </c>
      <c r="UD20" s="866">
        <f t="shared" si="7"/>
        <v>0.97062125364567287</v>
      </c>
      <c r="UE20" s="866"/>
      <c r="UF20" s="866"/>
      <c r="UG20" s="866"/>
      <c r="UH20" s="866"/>
      <c r="UI20" s="866"/>
      <c r="UJ20" s="866"/>
      <c r="UK20" s="670">
        <f t="shared" si="8"/>
        <v>0.70020320517108692</v>
      </c>
      <c r="UL20" s="670"/>
      <c r="UM20" s="670"/>
      <c r="UN20" s="670"/>
      <c r="UO20" s="688">
        <f t="shared" si="9"/>
        <v>0.41907646340475235</v>
      </c>
      <c r="UP20" s="688"/>
      <c r="UQ20" s="688"/>
      <c r="UR20" s="688"/>
      <c r="US20" s="866">
        <f t="shared" si="10"/>
        <v>0.13222375927354896</v>
      </c>
      <c r="UT20" s="866"/>
      <c r="UU20" s="866"/>
      <c r="UV20" s="866"/>
      <c r="UW20" s="866"/>
      <c r="WC20" s="939" t="s">
        <v>1041</v>
      </c>
      <c r="WD20" s="940"/>
      <c r="WE20" s="940"/>
      <c r="WF20" s="940"/>
      <c r="WG20" s="940"/>
      <c r="WH20" s="1237"/>
      <c r="WI20" s="183"/>
      <c r="WJ20" s="184"/>
      <c r="WK20" s="184"/>
      <c r="WL20" s="184"/>
      <c r="WM20" s="184"/>
      <c r="WN20" s="186"/>
      <c r="WO20" s="880"/>
      <c r="WP20" s="880"/>
      <c r="WQ20" s="1389"/>
      <c r="WR20" s="1389"/>
      <c r="WS20" s="866"/>
      <c r="WT20" s="866"/>
      <c r="WU20" s="866"/>
      <c r="WV20" s="866"/>
      <c r="WW20" s="866"/>
      <c r="WX20" s="866"/>
      <c r="WY20" s="866"/>
      <c r="WZ20" s="866"/>
      <c r="XA20" s="866"/>
      <c r="XB20" s="866"/>
      <c r="XC20" s="866"/>
      <c r="XD20" s="866"/>
      <c r="XE20" s="861"/>
      <c r="XF20" s="1017"/>
      <c r="XG20" s="178"/>
      <c r="XH20" s="172"/>
      <c r="XI20" s="177"/>
      <c r="YU20" s="1" t="s">
        <v>1530</v>
      </c>
      <c r="ZW20" s="144"/>
      <c r="AAD20" s="947"/>
      <c r="AAE20" s="947"/>
      <c r="AAF20" s="947"/>
      <c r="AAG20" s="947"/>
      <c r="AAH20" s="465">
        <v>10</v>
      </c>
      <c r="AAI20" s="956"/>
      <c r="AAJ20" s="957"/>
      <c r="AAK20" s="956"/>
      <c r="AAL20" s="957"/>
      <c r="AAM20" s="958">
        <f t="shared" si="5"/>
        <v>0.13333333333333333</v>
      </c>
      <c r="AAN20" s="959"/>
      <c r="AAP20" s="947"/>
      <c r="AAQ20" s="947"/>
      <c r="AAR20" s="947"/>
      <c r="AAS20" s="947"/>
      <c r="AAT20" s="465">
        <v>70</v>
      </c>
      <c r="AAU20" s="956"/>
      <c r="AAV20" s="957"/>
      <c r="AAW20" s="956"/>
      <c r="AAX20" s="957"/>
      <c r="AAY20" s="958">
        <f t="shared" si="1"/>
        <v>0.93333333333333335</v>
      </c>
      <c r="AAZ20" s="959"/>
      <c r="ABB20" s="947"/>
      <c r="ABC20" s="947"/>
      <c r="ABD20" s="947"/>
      <c r="ABE20" s="947"/>
      <c r="ABF20" s="465">
        <v>130</v>
      </c>
      <c r="ABG20" s="956"/>
      <c r="ABH20" s="957"/>
      <c r="ABI20" s="956"/>
      <c r="ABJ20" s="957"/>
      <c r="ABK20" s="958">
        <f t="shared" si="2"/>
        <v>1.7333333333333334</v>
      </c>
      <c r="ABL20" s="959"/>
      <c r="ABN20" s="947"/>
      <c r="ABO20" s="947"/>
      <c r="ABP20" s="947"/>
      <c r="ABQ20" s="947"/>
      <c r="ABR20" s="465">
        <v>190</v>
      </c>
      <c r="ABS20" s="956"/>
      <c r="ABT20" s="957"/>
      <c r="ABU20" s="956"/>
      <c r="ABV20" s="957"/>
      <c r="ABW20" s="958">
        <f t="shared" si="3"/>
        <v>2.5333333333333337</v>
      </c>
      <c r="ABX20" s="959"/>
      <c r="ABZ20" s="947"/>
      <c r="ACA20" s="947"/>
      <c r="ACB20" s="947"/>
      <c r="ACC20" s="947"/>
      <c r="ACD20" s="465">
        <v>250</v>
      </c>
      <c r="ACE20" s="956"/>
      <c r="ACF20" s="957"/>
      <c r="ACG20" s="956"/>
      <c r="ACH20" s="957"/>
      <c r="ACI20" s="958">
        <f t="shared" si="4"/>
        <v>3.3333333333333335</v>
      </c>
      <c r="ACJ20" s="959"/>
      <c r="ADB20" s="1033"/>
      <c r="ADC20" s="1033"/>
      <c r="ADD20" s="184"/>
      <c r="ADE20" s="184"/>
      <c r="ADF20" s="184"/>
      <c r="ADG20" s="186"/>
      <c r="ADH20" s="1068"/>
      <c r="ADI20" s="1069"/>
      <c r="ADJ20" s="1070"/>
      <c r="ADK20" s="1070"/>
      <c r="ADL20" s="1050"/>
      <c r="ADM20" s="1051"/>
      <c r="ADN20" s="1051"/>
      <c r="ADO20" s="1051"/>
      <c r="ADP20" s="1051"/>
      <c r="ADQ20" s="1051"/>
      <c r="ADR20" s="1051"/>
      <c r="ADS20" s="1051"/>
      <c r="ADT20" s="1051"/>
      <c r="ADU20" s="1051"/>
      <c r="ADV20" s="1051"/>
      <c r="ADW20" s="1051"/>
      <c r="ADX20" s="192"/>
      <c r="ADY20" s="187"/>
      <c r="ADZ20" s="187"/>
      <c r="AEA20" s="188"/>
      <c r="AEB20" s="905"/>
      <c r="AEC20" s="900"/>
      <c r="AED20" s="900"/>
      <c r="AEE20" s="900"/>
      <c r="AEF20" s="900"/>
      <c r="AEG20" s="172"/>
      <c r="AEH20" s="172"/>
      <c r="AEI20" s="172"/>
      <c r="AEJ20" s="172"/>
      <c r="AEK20" s="177"/>
      <c r="AEM20" s="1386"/>
      <c r="AEN20" s="1386"/>
      <c r="AEO20" s="1386"/>
      <c r="AEP20" s="1386"/>
      <c r="AEQ20" s="1386"/>
      <c r="AER20" s="1386"/>
      <c r="AES20" s="1386"/>
      <c r="AET20" s="1386"/>
      <c r="AEU20" s="1386"/>
      <c r="AEV20" s="1386"/>
      <c r="AEW20" s="1386"/>
      <c r="AEX20" s="1386"/>
      <c r="AEY20" s="1386"/>
      <c r="AEZ20" s="1386"/>
      <c r="AFA20" s="1386"/>
      <c r="AFM20" s="144"/>
      <c r="AFN20" s="144"/>
      <c r="AFO20" s="144"/>
      <c r="AHO20" s="144"/>
      <c r="AMT20" s="825"/>
      <c r="AMU20" s="147" t="s">
        <v>442</v>
      </c>
      <c r="AMV20" s="148"/>
      <c r="AMW20" s="152"/>
      <c r="AMX20" s="87"/>
      <c r="AMY20" s="87"/>
      <c r="AMZ20" s="87"/>
      <c r="ANA20" s="87"/>
      <c r="ANB20" s="87"/>
      <c r="ANC20" s="87"/>
      <c r="AND20" s="152"/>
      <c r="ANE20" s="85" t="s">
        <v>467</v>
      </c>
      <c r="ANF20" s="757" t="s">
        <v>461</v>
      </c>
      <c r="ANG20" s="758"/>
      <c r="ANH20" s="819" t="s">
        <v>126</v>
      </c>
      <c r="ANI20" s="820"/>
      <c r="ANJ20" s="675" t="s">
        <v>731</v>
      </c>
      <c r="ANK20" s="676"/>
      <c r="ANL20" s="821" t="s">
        <v>473</v>
      </c>
      <c r="ANM20" s="822"/>
      <c r="ANN20" s="822"/>
      <c r="ANO20" s="823"/>
    </row>
    <row r="21" spans="1:1022 1034:1055" ht="48" customHeight="1" thickBot="1">
      <c r="A21" s="144"/>
      <c r="B21" s="144"/>
      <c r="C21" s="144"/>
      <c r="D21" s="652">
        <v>2</v>
      </c>
      <c r="E21" s="1508" t="s">
        <v>1001</v>
      </c>
      <c r="F21" s="1509"/>
      <c r="G21" s="1509"/>
      <c r="H21" s="1509"/>
      <c r="I21" s="1509"/>
      <c r="J21" s="1509"/>
      <c r="K21" s="1509"/>
      <c r="L21" s="1509"/>
      <c r="M21" s="1509"/>
      <c r="N21" s="1509"/>
      <c r="O21" s="1509"/>
      <c r="P21" s="1509"/>
      <c r="Q21" s="1509"/>
      <c r="R21" s="1509"/>
      <c r="S21" s="1510"/>
      <c r="W21" s="2"/>
      <c r="X21" s="2"/>
      <c r="Y21" s="2"/>
      <c r="AC21" s="144"/>
      <c r="AD21" s="144"/>
      <c r="AE21" s="144"/>
      <c r="AI21" s="795"/>
      <c r="AJ21" s="796"/>
      <c r="AK21" s="797"/>
      <c r="AL21" s="826"/>
      <c r="AM21" s="1488" t="s">
        <v>7</v>
      </c>
      <c r="AN21" s="1489"/>
      <c r="AO21" s="1489"/>
      <c r="AP21" s="1489"/>
      <c r="AQ21" s="1489"/>
      <c r="AR21" s="1489"/>
      <c r="AS21" s="1489"/>
      <c r="AT21" s="1489"/>
      <c r="AU21" s="1489"/>
      <c r="AV21" s="1489"/>
      <c r="AW21" s="1489"/>
      <c r="AX21" s="1489"/>
      <c r="AY21" s="1490"/>
      <c r="AZ21" s="1498">
        <f>AX19</f>
        <v>0.313</v>
      </c>
      <c r="BA21" s="1499"/>
      <c r="BB21" s="1400" t="s">
        <v>737</v>
      </c>
      <c r="BC21" s="1401"/>
      <c r="BD21" s="714"/>
      <c r="BE21" s="740" t="s">
        <v>1054</v>
      </c>
      <c r="BF21" s="742"/>
      <c r="BG21" s="746"/>
      <c r="BQ21" s="139"/>
      <c r="BX21" s="827"/>
      <c r="BY21" s="734"/>
      <c r="BZ21" s="735"/>
      <c r="CA21" s="735"/>
      <c r="CB21" s="735"/>
      <c r="CC21" s="735"/>
      <c r="CD21" s="735"/>
      <c r="CE21" s="735"/>
      <c r="CF21" s="735"/>
      <c r="CG21" s="735"/>
      <c r="CH21" s="735"/>
      <c r="CI21" s="735"/>
      <c r="CJ21" s="735"/>
      <c r="CK21" s="735"/>
      <c r="CL21" s="1089"/>
      <c r="CM21" s="708"/>
      <c r="CN21" s="851"/>
      <c r="CO21" s="852"/>
      <c r="CP21" s="713"/>
      <c r="CQ21" s="718"/>
      <c r="CR21" s="719"/>
      <c r="CS21" s="747"/>
      <c r="CT21" s="768"/>
      <c r="CU21" s="768"/>
      <c r="CV21" s="768"/>
      <c r="CW21" s="768"/>
      <c r="DZ21" s="798"/>
      <c r="EA21" s="799"/>
      <c r="EB21" s="800"/>
      <c r="EC21" s="827"/>
      <c r="ED21" s="818"/>
      <c r="EE21" s="818"/>
      <c r="EF21" s="818"/>
      <c r="EG21" s="818"/>
      <c r="EH21" s="818"/>
      <c r="EI21" s="818"/>
      <c r="EJ21" s="818"/>
      <c r="EK21" s="818"/>
      <c r="EL21" s="818"/>
      <c r="EM21" s="818"/>
      <c r="EN21" s="818"/>
      <c r="EO21" s="818"/>
      <c r="EP21" s="1106"/>
      <c r="EQ21" s="925"/>
      <c r="ER21" s="926"/>
      <c r="ES21" s="761"/>
      <c r="ET21" s="762"/>
      <c r="EU21" s="713"/>
      <c r="EV21" s="718"/>
      <c r="EW21" s="719"/>
      <c r="EX21" s="747"/>
      <c r="FB21" s="144"/>
      <c r="FC21" s="144"/>
      <c r="FD21" s="144"/>
      <c r="FE21" s="144"/>
      <c r="FF21" s="144"/>
      <c r="FG21" s="144"/>
      <c r="GF21" s="827"/>
      <c r="GG21" s="706"/>
      <c r="GH21" s="707"/>
      <c r="GI21" s="707"/>
      <c r="GJ21" s="707"/>
      <c r="GK21" s="707"/>
      <c r="GL21" s="707"/>
      <c r="GM21" s="707"/>
      <c r="GN21" s="707"/>
      <c r="GO21" s="707"/>
      <c r="GP21" s="707"/>
      <c r="GQ21" s="707"/>
      <c r="GR21" s="707"/>
      <c r="GS21" s="708"/>
      <c r="GT21" s="1089"/>
      <c r="GU21" s="708"/>
      <c r="GV21" s="1215"/>
      <c r="GW21" s="1216"/>
      <c r="GX21" s="713"/>
      <c r="GY21" s="743"/>
      <c r="GZ21" s="745"/>
      <c r="HA21" s="747"/>
      <c r="IR21" s="767"/>
      <c r="IS21" s="665" t="s">
        <v>1138</v>
      </c>
      <c r="IT21" s="667"/>
      <c r="IU21" s="244"/>
      <c r="IV21" s="696" t="s">
        <v>1134</v>
      </c>
      <c r="IW21" s="697"/>
      <c r="IX21" s="677">
        <f>$AZ$86</f>
        <v>0.13</v>
      </c>
      <c r="IY21" s="677"/>
      <c r="IZ21" s="150"/>
      <c r="JA21" s="87"/>
      <c r="JB21" s="150"/>
      <c r="JC21" s="85" t="s">
        <v>467</v>
      </c>
      <c r="JD21" s="757" t="s">
        <v>461</v>
      </c>
      <c r="JE21" s="758"/>
      <c r="JF21" s="819" t="s">
        <v>126</v>
      </c>
      <c r="JG21" s="820"/>
      <c r="JH21" s="675" t="s">
        <v>731</v>
      </c>
      <c r="JI21" s="676"/>
      <c r="JJ21" s="821" t="s">
        <v>473</v>
      </c>
      <c r="JK21" s="822"/>
      <c r="JL21" s="822"/>
      <c r="JM21" s="822"/>
      <c r="JN21" s="769" t="s">
        <v>462</v>
      </c>
      <c r="JO21" s="769"/>
      <c r="JP21" s="769"/>
      <c r="JQ21" s="769"/>
      <c r="JR21" s="769"/>
      <c r="JS21" s="769"/>
      <c r="LD21" s="144"/>
      <c r="LE21" s="144"/>
      <c r="LF21" s="144"/>
      <c r="LG21" s="144"/>
      <c r="LH21" s="144"/>
      <c r="LI21" s="144"/>
      <c r="LJ21" s="144"/>
      <c r="LK21" s="144"/>
      <c r="LL21" s="144"/>
      <c r="LM21" s="144"/>
      <c r="LN21" s="144"/>
      <c r="LO21" s="144"/>
      <c r="OC21" s="229"/>
      <c r="OD21" s="919"/>
      <c r="OE21" s="840"/>
      <c r="OF21" s="840"/>
      <c r="OG21" s="840"/>
      <c r="OH21" s="840"/>
      <c r="OI21" s="920"/>
      <c r="OK21" s="767"/>
      <c r="OL21" s="767"/>
      <c r="OM21" s="767"/>
      <c r="ON21" s="767"/>
      <c r="OO21" s="767"/>
      <c r="OQ21" s="919"/>
      <c r="OR21" s="840"/>
      <c r="OS21" s="840"/>
      <c r="OT21" s="920"/>
      <c r="PF21" s="403"/>
      <c r="PG21" s="399"/>
      <c r="PH21" s="55"/>
      <c r="PI21" s="399"/>
      <c r="PJ21" s="399"/>
      <c r="PK21" s="399"/>
      <c r="PL21" s="399"/>
      <c r="PM21" s="399"/>
      <c r="PN21" s="399"/>
      <c r="PO21" s="399"/>
      <c r="PP21" s="399"/>
      <c r="PQ21" s="399"/>
      <c r="PR21" s="399"/>
      <c r="PS21" s="399"/>
      <c r="PT21" s="399"/>
      <c r="PU21" s="399"/>
      <c r="PV21" s="399"/>
      <c r="PW21" s="399"/>
      <c r="PX21" s="399"/>
      <c r="PY21" s="399"/>
      <c r="PZ21" s="399"/>
      <c r="QA21" s="399"/>
      <c r="QB21" s="399"/>
      <c r="QC21" s="399"/>
      <c r="QD21" s="399"/>
      <c r="QE21" s="399"/>
      <c r="QF21" s="399"/>
      <c r="QG21" s="399"/>
      <c r="QH21" s="596"/>
      <c r="QI21" s="596"/>
      <c r="QJ21" s="596"/>
      <c r="QK21" s="596"/>
      <c r="QL21" s="596"/>
      <c r="QM21" s="596"/>
      <c r="QN21" s="596"/>
      <c r="QO21" s="596"/>
      <c r="QP21" s="596"/>
      <c r="QQ21" s="596"/>
      <c r="QR21" s="596"/>
      <c r="QS21" s="596"/>
      <c r="QT21" s="596"/>
      <c r="QU21" s="596"/>
      <c r="QV21" s="596"/>
      <c r="QW21" s="596"/>
      <c r="QX21" s="399"/>
      <c r="QY21" s="399"/>
      <c r="QZ21" s="399"/>
      <c r="RA21" s="400"/>
      <c r="RC21" s="369">
        <v>3</v>
      </c>
      <c r="RD21" s="668">
        <v>3.0000000000000001E-3</v>
      </c>
      <c r="RE21" s="669"/>
      <c r="RF21" s="670">
        <f t="shared" si="11"/>
        <v>227.01057655026517</v>
      </c>
      <c r="RG21" s="670"/>
      <c r="RH21" s="670"/>
      <c r="RI21" s="670"/>
      <c r="RJ21" s="698">
        <f t="shared" si="12"/>
        <v>30</v>
      </c>
      <c r="RK21" s="699"/>
      <c r="RL21" s="726"/>
      <c r="RM21" s="670">
        <f t="shared" si="13"/>
        <v>227.19907772048163</v>
      </c>
      <c r="RN21" s="670"/>
      <c r="RO21" s="670"/>
      <c r="RP21" s="670"/>
      <c r="RQ21" s="670"/>
      <c r="RR21" s="670"/>
      <c r="RS21" s="671">
        <f t="shared" si="6"/>
        <v>1.560804663639157</v>
      </c>
      <c r="RT21" s="671"/>
      <c r="RU21" s="671"/>
      <c r="RV21" s="671"/>
      <c r="RW21" s="671"/>
      <c r="RX21" s="671"/>
      <c r="RY21" s="681">
        <f t="shared" si="14"/>
        <v>227.20443883919938</v>
      </c>
      <c r="RZ21" s="681"/>
      <c r="SA21" s="681"/>
      <c r="SB21" s="681"/>
      <c r="SC21" s="681">
        <f>'Вывод расчетов'!$AQ$6/RY21</f>
        <v>1.6725025353441243</v>
      </c>
      <c r="SD21" s="681"/>
      <c r="SE21" s="681"/>
      <c r="SF21" s="681"/>
      <c r="SG21" s="867">
        <f t="shared" si="15"/>
        <v>0.9999764039877691</v>
      </c>
      <c r="SH21" s="867"/>
      <c r="SI21" s="867"/>
      <c r="SJ21" s="867"/>
      <c r="SK21" s="874">
        <f t="shared" si="16"/>
        <v>6.8696046239826933E-3</v>
      </c>
      <c r="SL21" s="875"/>
      <c r="SM21" s="875"/>
      <c r="SN21" s="876"/>
      <c r="SO21" s="692">
        <f t="shared" si="17"/>
        <v>2.0227855120850942</v>
      </c>
      <c r="SP21" s="693"/>
      <c r="SQ21" s="693"/>
      <c r="SR21" s="693"/>
      <c r="SS21" s="694"/>
      <c r="ST21" s="668">
        <f t="shared" si="18"/>
        <v>10.993566193146417</v>
      </c>
      <c r="SU21" s="678"/>
      <c r="SV21" s="678"/>
      <c r="SW21" s="678"/>
      <c r="SX21" s="678"/>
      <c r="SY21" s="669"/>
      <c r="SZ21" s="682">
        <f t="shared" si="19"/>
        <v>11.178110702215879</v>
      </c>
      <c r="TA21" s="683"/>
      <c r="TB21" s="683"/>
      <c r="TC21" s="683"/>
      <c r="TD21" s="683"/>
      <c r="TE21" s="684"/>
      <c r="TF21" s="682">
        <f>'Вывод расчетов'!$XC$174*SC21</f>
        <v>1.6991381722085015</v>
      </c>
      <c r="TG21" s="683"/>
      <c r="TH21" s="684"/>
      <c r="TI21" s="670">
        <f t="shared" si="20"/>
        <v>2.3059754837770075</v>
      </c>
      <c r="TJ21" s="670"/>
      <c r="TK21" s="670"/>
      <c r="TL21" s="670"/>
      <c r="TM21" s="685">
        <f t="shared" si="21"/>
        <v>6.9552093411069132E-2</v>
      </c>
      <c r="TN21" s="686"/>
      <c r="TO21" s="686"/>
      <c r="TP21" s="687"/>
      <c r="TQ21" s="688">
        <f t="shared" si="22"/>
        <v>5.7150781135858119E-3</v>
      </c>
      <c r="TR21" s="688"/>
      <c r="TS21" s="688"/>
      <c r="TT21" s="688"/>
      <c r="TU21" s="874">
        <f t="shared" si="23"/>
        <v>1.9729805015952246E-2</v>
      </c>
      <c r="TV21" s="875"/>
      <c r="TW21" s="875"/>
      <c r="TX21" s="875"/>
      <c r="TY21" s="875"/>
      <c r="TZ21" s="876"/>
      <c r="UA21" s="756">
        <v>3.0000000000000001E-3</v>
      </c>
      <c r="UB21" s="756"/>
      <c r="UC21" s="650">
        <v>0.06</v>
      </c>
      <c r="UD21" s="866">
        <f t="shared" si="7"/>
        <v>0.97528379236802065</v>
      </c>
      <c r="UE21" s="866"/>
      <c r="UF21" s="866"/>
      <c r="UG21" s="866"/>
      <c r="UH21" s="866"/>
      <c r="UI21" s="866"/>
      <c r="UJ21" s="866"/>
      <c r="UK21" s="670">
        <f t="shared" si="8"/>
        <v>1.3306916914089868</v>
      </c>
      <c r="UL21" s="670"/>
      <c r="UM21" s="670"/>
      <c r="UN21" s="670"/>
      <c r="UO21" s="688">
        <f t="shared" si="9"/>
        <v>0.57706237588849718</v>
      </c>
      <c r="UP21" s="688"/>
      <c r="UQ21" s="688"/>
      <c r="UR21" s="688"/>
      <c r="US21" s="866">
        <f t="shared" si="10"/>
        <v>0.18095951686040376</v>
      </c>
      <c r="UT21" s="866"/>
      <c r="UU21" s="866"/>
      <c r="UV21" s="866"/>
      <c r="UW21" s="866"/>
      <c r="WC21" s="941"/>
      <c r="WD21" s="942"/>
      <c r="WE21" s="942"/>
      <c r="WF21" s="942"/>
      <c r="WG21" s="942"/>
      <c r="WH21" s="1238"/>
      <c r="WI21" s="181"/>
      <c r="WJ21" s="182"/>
      <c r="WK21" s="182"/>
      <c r="WL21" s="182"/>
      <c r="WM21" s="182"/>
      <c r="WN21" s="185"/>
      <c r="WO21" s="880">
        <v>1</v>
      </c>
      <c r="WP21" s="880"/>
      <c r="WQ21" s="1033" t="s">
        <v>415</v>
      </c>
      <c r="WR21" s="1033"/>
      <c r="WS21" s="1034">
        <f>('Вывод расчетов'!$XC$182*'Вывод расчетов'!$XC$170)/WS19</f>
        <v>34.67872335558323</v>
      </c>
      <c r="WT21" s="1034"/>
      <c r="WU21" s="1034">
        <f>('Вывод расчетов'!$XC$182*'Вывод расчетов'!$XC$170)/WU19</f>
        <v>173.39361677791615</v>
      </c>
      <c r="WV21" s="1034"/>
      <c r="WW21" s="1034">
        <f>('Вывод расчетов'!$XC$182*'Вывод расчетов'!$XC$170)/WW19</f>
        <v>115.59574451861076</v>
      </c>
      <c r="WX21" s="1034"/>
      <c r="WY21" s="1034">
        <f>('Вывод расчетов'!$XC$182*'Вывод расчетов'!$XC$170)/WY19</f>
        <v>8.6696808388958075</v>
      </c>
      <c r="WZ21" s="1034"/>
      <c r="XA21" s="1034">
        <f>('Вывод расчетов'!$XC$182*'Вывод расчетов'!$XC$170)/XA19</f>
        <v>6.9357446711166455</v>
      </c>
      <c r="XB21" s="1034"/>
      <c r="XC21" s="1034">
        <f>('Вывод расчетов'!$XC$182*'Вывод расчетов'!$XC$170)/XC19</f>
        <v>5.7797872259305381</v>
      </c>
      <c r="XD21" s="1034"/>
      <c r="XE21" s="1072"/>
      <c r="XF21" s="1072"/>
      <c r="XG21" s="1072"/>
      <c r="XH21" s="172"/>
      <c r="XI21" s="177"/>
      <c r="XO21" s="85" t="s">
        <v>839</v>
      </c>
      <c r="XP21" s="665" t="s">
        <v>442</v>
      </c>
      <c r="XQ21" s="666"/>
      <c r="XR21" s="152"/>
      <c r="XS21" s="1382" t="s">
        <v>1192</v>
      </c>
      <c r="XT21" s="1382"/>
      <c r="XU21" s="1382"/>
      <c r="XV21" s="677">
        <f>$GW$77</f>
        <v>1</v>
      </c>
      <c r="XW21" s="677"/>
      <c r="XX21" s="87"/>
      <c r="XY21" s="152"/>
      <c r="XZ21" s="85" t="s">
        <v>467</v>
      </c>
      <c r="YA21" s="1102" t="s">
        <v>461</v>
      </c>
      <c r="YB21" s="1103"/>
      <c r="YC21" s="819" t="s">
        <v>126</v>
      </c>
      <c r="YD21" s="820"/>
      <c r="YE21" s="675" t="s">
        <v>731</v>
      </c>
      <c r="YF21" s="1094"/>
      <c r="YG21" s="769" t="s">
        <v>473</v>
      </c>
      <c r="YH21" s="769"/>
      <c r="YI21" s="769"/>
      <c r="YJ21" s="769"/>
      <c r="YK21" s="769"/>
      <c r="YL21" s="769" t="s">
        <v>462</v>
      </c>
      <c r="YM21" s="769"/>
      <c r="YN21" s="769"/>
      <c r="YO21" s="769"/>
      <c r="YP21" s="769"/>
      <c r="YQ21" s="769"/>
      <c r="YR21" s="769"/>
      <c r="YS21" s="769"/>
      <c r="YT21" s="769"/>
      <c r="YU21" s="769"/>
      <c r="AAD21" s="947"/>
      <c r="AAE21" s="947"/>
      <c r="AAF21" s="947"/>
      <c r="AAG21" s="947"/>
      <c r="AAH21" s="465">
        <v>11</v>
      </c>
      <c r="AAI21" s="956"/>
      <c r="AAJ21" s="957"/>
      <c r="AAK21" s="956"/>
      <c r="AAL21" s="957"/>
      <c r="AAM21" s="958">
        <f t="shared" si="5"/>
        <v>0.14666666666666667</v>
      </c>
      <c r="AAN21" s="959"/>
      <c r="AAP21" s="947"/>
      <c r="AAQ21" s="947"/>
      <c r="AAR21" s="947"/>
      <c r="AAS21" s="947"/>
      <c r="AAT21" s="465">
        <v>71</v>
      </c>
      <c r="AAU21" s="956"/>
      <c r="AAV21" s="957"/>
      <c r="AAW21" s="956"/>
      <c r="AAX21" s="957"/>
      <c r="AAY21" s="958">
        <f t="shared" si="1"/>
        <v>0.94666666666666677</v>
      </c>
      <c r="AAZ21" s="959"/>
      <c r="ABB21" s="947"/>
      <c r="ABC21" s="947"/>
      <c r="ABD21" s="947"/>
      <c r="ABE21" s="947"/>
      <c r="ABF21" s="465">
        <v>131</v>
      </c>
      <c r="ABG21" s="956"/>
      <c r="ABH21" s="957"/>
      <c r="ABI21" s="956"/>
      <c r="ABJ21" s="957"/>
      <c r="ABK21" s="958">
        <f t="shared" si="2"/>
        <v>1.7466666666666668</v>
      </c>
      <c r="ABL21" s="959"/>
      <c r="ABN21" s="947"/>
      <c r="ABO21" s="947"/>
      <c r="ABP21" s="947"/>
      <c r="ABQ21" s="947"/>
      <c r="ABR21" s="465">
        <v>191</v>
      </c>
      <c r="ABS21" s="956"/>
      <c r="ABT21" s="957"/>
      <c r="ABU21" s="956"/>
      <c r="ABV21" s="957"/>
      <c r="ABW21" s="958">
        <f t="shared" si="3"/>
        <v>2.5466666666666669</v>
      </c>
      <c r="ABX21" s="959"/>
      <c r="ABZ21" s="947"/>
      <c r="ACA21" s="947"/>
      <c r="ACB21" s="947"/>
      <c r="ACC21" s="947"/>
      <c r="ACD21" s="465">
        <v>251</v>
      </c>
      <c r="ACE21" s="956"/>
      <c r="ACF21" s="957"/>
      <c r="ACG21" s="956"/>
      <c r="ACH21" s="957"/>
      <c r="ACI21" s="958">
        <f t="shared" si="4"/>
        <v>3.3466666666666667</v>
      </c>
      <c r="ACJ21" s="959"/>
      <c r="ADB21" s="1033">
        <v>3</v>
      </c>
      <c r="ADC21" s="1033"/>
      <c r="ADD21" s="182"/>
      <c r="ADE21" s="182"/>
      <c r="ADF21" s="182"/>
      <c r="ADG21" s="182"/>
      <c r="ADH21" s="182"/>
      <c r="ADI21" s="185"/>
      <c r="ADJ21" s="1071"/>
      <c r="ADK21" s="1071"/>
      <c r="ADL21" s="1052"/>
      <c r="ADM21" s="1052"/>
      <c r="ADN21" s="1052"/>
      <c r="ADO21" s="1052"/>
      <c r="ADP21" s="1052"/>
      <c r="ADQ21" s="1052"/>
      <c r="ADR21" s="1052"/>
      <c r="ADS21" s="1052"/>
      <c r="ADT21" s="1052"/>
      <c r="ADU21" s="1052"/>
      <c r="ADV21" s="1052"/>
      <c r="ADW21" s="1052"/>
      <c r="ADX21" s="857"/>
      <c r="ADY21" s="1015"/>
      <c r="ADZ21" s="1015"/>
      <c r="AEA21" s="1015"/>
      <c r="AEB21" s="1015"/>
      <c r="AEC21" s="1015"/>
      <c r="AED21" s="1015"/>
      <c r="AEE21" s="1015"/>
      <c r="AEF21" s="1015"/>
      <c r="AEG21" s="1015"/>
      <c r="AEH21" s="1015"/>
      <c r="AEI21" s="1015"/>
      <c r="AEJ21" s="1015"/>
      <c r="AEK21" s="858"/>
      <c r="AEM21" s="1386"/>
      <c r="AEN21" s="1386"/>
      <c r="AEO21" s="1386"/>
      <c r="AEP21" s="1386"/>
      <c r="AEQ21" s="1386"/>
      <c r="AER21" s="1386"/>
      <c r="AES21" s="1386"/>
      <c r="AET21" s="1386"/>
      <c r="AEU21" s="1386"/>
      <c r="AEV21" s="1386"/>
      <c r="AEW21" s="1386"/>
      <c r="AEX21" s="1386"/>
      <c r="AEY21" s="1386"/>
      <c r="AEZ21" s="1386"/>
      <c r="AFA21" s="1386"/>
      <c r="AFC21" s="1385" t="s">
        <v>1119</v>
      </c>
      <c r="AFD21" s="1385"/>
      <c r="AFE21" s="1385"/>
      <c r="AFF21" s="1385"/>
      <c r="AFG21" s="1385"/>
      <c r="AFH21" s="1385"/>
      <c r="AFI21" s="1385"/>
      <c r="AFJ21" s="1385"/>
      <c r="AFK21" s="1385"/>
      <c r="AFL21" s="1385"/>
      <c r="AFM21" s="467"/>
      <c r="AFN21" s="144"/>
      <c r="AFO21" s="144"/>
      <c r="AHO21" s="144"/>
      <c r="AIM21" s="792" t="s">
        <v>1078</v>
      </c>
      <c r="AIN21" s="793"/>
      <c r="AIO21" s="794"/>
      <c r="AIP21" s="825"/>
      <c r="AIQ21" s="147" t="s">
        <v>442</v>
      </c>
      <c r="AIR21" s="148"/>
      <c r="AIS21" s="152"/>
      <c r="AIT21" s="87"/>
      <c r="AIU21" s="87"/>
      <c r="AIV21" s="87"/>
      <c r="AIW21" s="87"/>
      <c r="AIX21" s="216"/>
      <c r="AIY21" s="84" t="s">
        <v>477</v>
      </c>
      <c r="AIZ21" s="152"/>
      <c r="AJA21" s="85" t="s">
        <v>467</v>
      </c>
      <c r="AJB21" s="757" t="s">
        <v>461</v>
      </c>
      <c r="AJC21" s="758"/>
      <c r="AJD21" s="819" t="s">
        <v>126</v>
      </c>
      <c r="AJE21" s="820"/>
      <c r="AJF21" s="675" t="s">
        <v>731</v>
      </c>
      <c r="AJG21" s="676"/>
      <c r="AJH21" s="821" t="s">
        <v>473</v>
      </c>
      <c r="AJI21" s="822"/>
      <c r="AJJ21" s="822"/>
      <c r="AJK21" s="823"/>
      <c r="AMT21" s="826"/>
      <c r="AMU21" s="816"/>
      <c r="AMV21" s="816"/>
      <c r="AMW21" s="816"/>
      <c r="AMX21" s="816"/>
      <c r="AMY21" s="816"/>
      <c r="AMZ21" s="816"/>
      <c r="ANA21" s="816"/>
      <c r="ANB21" s="816"/>
      <c r="ANC21" s="816"/>
      <c r="AND21" s="816"/>
      <c r="ANE21" s="816"/>
      <c r="ANF21" s="816"/>
      <c r="ANG21" s="816"/>
      <c r="ANH21" s="763"/>
      <c r="ANI21" s="764"/>
      <c r="ANJ21" s="1005"/>
      <c r="ANK21" s="1006"/>
      <c r="ANL21" s="712"/>
      <c r="ANM21" s="716" t="s">
        <v>442</v>
      </c>
      <c r="ANN21" s="717"/>
      <c r="ANO21" s="746"/>
    </row>
    <row r="22" spans="1:1022 1034:1055" ht="48" customHeight="1" thickBot="1">
      <c r="A22" s="144"/>
      <c r="B22" s="144"/>
      <c r="C22" s="144"/>
      <c r="D22" s="652">
        <v>3</v>
      </c>
      <c r="E22" s="1508" t="s">
        <v>1024</v>
      </c>
      <c r="F22" s="1509"/>
      <c r="G22" s="1509"/>
      <c r="H22" s="1509"/>
      <c r="I22" s="1509"/>
      <c r="J22" s="1509"/>
      <c r="K22" s="1509"/>
      <c r="L22" s="1509"/>
      <c r="M22" s="1509"/>
      <c r="N22" s="1509"/>
      <c r="O22" s="1509"/>
      <c r="P22" s="1509"/>
      <c r="Q22" s="1509"/>
      <c r="R22" s="1509"/>
      <c r="S22" s="1510"/>
      <c r="W22" s="2"/>
      <c r="X22" s="2"/>
      <c r="AC22" s="144"/>
      <c r="AD22" s="144"/>
      <c r="AE22" s="144"/>
      <c r="AI22" s="798"/>
      <c r="AJ22" s="799"/>
      <c r="AK22" s="800"/>
      <c r="AL22" s="827"/>
      <c r="AM22" s="1491"/>
      <c r="AN22" s="805"/>
      <c r="AO22" s="805"/>
      <c r="AP22" s="805"/>
      <c r="AQ22" s="805"/>
      <c r="AR22" s="805"/>
      <c r="AS22" s="805"/>
      <c r="AT22" s="805"/>
      <c r="AU22" s="805"/>
      <c r="AV22" s="805"/>
      <c r="AW22" s="805"/>
      <c r="AX22" s="805"/>
      <c r="AY22" s="1492"/>
      <c r="AZ22" s="1500"/>
      <c r="BA22" s="1501"/>
      <c r="BB22" s="1402"/>
      <c r="BC22" s="1403"/>
      <c r="BD22" s="715"/>
      <c r="BE22" s="743"/>
      <c r="BF22" s="745"/>
      <c r="BG22" s="747"/>
      <c r="BO22" s="139"/>
      <c r="BP22" s="139"/>
      <c r="BQ22" s="139"/>
      <c r="FB22" s="144"/>
      <c r="FC22" s="144"/>
      <c r="FD22" s="144"/>
      <c r="FE22" s="144"/>
      <c r="FF22" s="144"/>
      <c r="FG22" s="144"/>
      <c r="FH22" s="144"/>
      <c r="FK22" s="144"/>
      <c r="FL22" s="144"/>
      <c r="FM22" s="144"/>
      <c r="FN22" s="144"/>
      <c r="FO22" s="144"/>
      <c r="FP22" s="144"/>
      <c r="FQ22" s="144"/>
      <c r="FR22" s="144"/>
      <c r="FS22" s="144"/>
      <c r="FT22" s="144"/>
      <c r="FU22" s="144"/>
      <c r="IR22" s="767"/>
      <c r="IS22" s="246" t="s">
        <v>1124</v>
      </c>
      <c r="IT22" s="677">
        <f>$EQ$37</f>
        <v>0.97</v>
      </c>
      <c r="IU22" s="677"/>
      <c r="IV22" s="696" t="s">
        <v>1169</v>
      </c>
      <c r="IW22" s="697"/>
      <c r="IX22" s="833">
        <f>$CL$92</f>
        <v>0.75945292831578104</v>
      </c>
      <c r="IY22" s="833"/>
      <c r="IZ22" s="941" t="s">
        <v>1137</v>
      </c>
      <c r="JA22" s="704"/>
      <c r="JB22" s="704"/>
      <c r="JC22" s="704"/>
      <c r="JD22" s="704"/>
      <c r="JE22" s="705"/>
      <c r="JF22" s="763">
        <f>(IX22*IT23)/(IX23*IT22)*1000</f>
        <v>1.8967534036424591</v>
      </c>
      <c r="JG22" s="764"/>
      <c r="JH22" s="759" t="s">
        <v>18</v>
      </c>
      <c r="JI22" s="760"/>
      <c r="JJ22" s="714"/>
      <c r="JK22" s="1297" t="s">
        <v>1135</v>
      </c>
      <c r="JL22" s="1298"/>
      <c r="JM22" s="746"/>
      <c r="JN22" s="767"/>
      <c r="JO22" s="767"/>
      <c r="JP22" s="767"/>
      <c r="JQ22" s="767"/>
      <c r="JR22" s="767"/>
      <c r="JS22" s="767"/>
      <c r="LD22" s="144"/>
      <c r="LE22" s="144"/>
      <c r="LF22" s="144"/>
      <c r="LG22" s="144"/>
      <c r="LH22" s="144"/>
      <c r="LI22" s="144"/>
      <c r="LJ22" s="144"/>
      <c r="LK22" s="144"/>
      <c r="LL22" s="144"/>
      <c r="LM22" s="144"/>
      <c r="LN22" s="144"/>
      <c r="LO22" s="144"/>
      <c r="LZ22" s="825"/>
      <c r="MA22" s="665" t="s">
        <v>442</v>
      </c>
      <c r="MB22" s="666"/>
      <c r="MC22" s="152"/>
      <c r="MD22" s="371" t="s">
        <v>449</v>
      </c>
      <c r="ME22" s="1446">
        <f>$MQ$19</f>
        <v>2.127659574468085E-8</v>
      </c>
      <c r="MF22" s="1447"/>
      <c r="MG22" s="1448"/>
      <c r="MH22" s="1247" t="s">
        <v>415</v>
      </c>
      <c r="MI22" s="1248"/>
      <c r="MJ22" s="152"/>
      <c r="MK22" s="85" t="s">
        <v>467</v>
      </c>
      <c r="ML22" s="757" t="s">
        <v>461</v>
      </c>
      <c r="MM22" s="758"/>
      <c r="MN22" s="819" t="s">
        <v>126</v>
      </c>
      <c r="MO22" s="820"/>
      <c r="MP22" s="675" t="s">
        <v>731</v>
      </c>
      <c r="MQ22" s="676"/>
      <c r="MR22" s="821" t="s">
        <v>473</v>
      </c>
      <c r="MS22" s="822"/>
      <c r="MT22" s="822"/>
      <c r="MU22" s="823"/>
      <c r="MV22" s="821" t="s">
        <v>462</v>
      </c>
      <c r="MW22" s="822"/>
      <c r="MX22" s="823"/>
      <c r="OD22" s="890"/>
      <c r="OE22" s="841"/>
      <c r="OF22" s="841"/>
      <c r="OG22" s="841"/>
      <c r="OH22" s="841"/>
      <c r="OI22" s="891"/>
      <c r="OK22" s="767"/>
      <c r="OL22" s="767"/>
      <c r="OM22" s="767"/>
      <c r="ON22" s="767"/>
      <c r="OO22" s="767"/>
      <c r="OQ22" s="890"/>
      <c r="OR22" s="841"/>
      <c r="OS22" s="841"/>
      <c r="OT22" s="891"/>
      <c r="PF22" s="403"/>
      <c r="PG22" s="399"/>
      <c r="PH22" s="55"/>
      <c r="PI22" s="399"/>
      <c r="PJ22" s="932" t="s">
        <v>1713</v>
      </c>
      <c r="PK22" s="932"/>
      <c r="PL22" s="1000" t="s">
        <v>1</v>
      </c>
      <c r="PM22" s="1001"/>
      <c r="PN22" s="1001"/>
      <c r="PO22" s="1001"/>
      <c r="PP22" s="1002"/>
      <c r="PQ22" s="561" t="s">
        <v>1737</v>
      </c>
      <c r="PR22" s="698">
        <f>$AQ$4</f>
        <v>30000</v>
      </c>
      <c r="PS22" s="699"/>
      <c r="PT22" s="726"/>
      <c r="PU22" s="1419" t="s">
        <v>416</v>
      </c>
      <c r="PV22" s="1419"/>
      <c r="PW22" s="566"/>
      <c r="PX22" s="521" t="s">
        <v>994</v>
      </c>
      <c r="PY22" s="995" t="str">
        <f>IF(OR(PR22 &gt; 250000,PR22 = 250000),
"Расчет по формуле данной последовательности",
"Данная переменная не используется в расчете")</f>
        <v>Данная переменная не используется в расчете</v>
      </c>
      <c r="PZ22" s="996"/>
      <c r="QA22" s="996"/>
      <c r="QB22" s="996"/>
      <c r="QC22" s="996"/>
      <c r="QD22" s="996"/>
      <c r="QE22" s="996"/>
      <c r="QF22" s="996"/>
      <c r="QG22" s="997"/>
      <c r="QH22" s="399"/>
      <c r="QI22" s="399"/>
      <c r="QJ22" s="399"/>
      <c r="QK22" s="399"/>
      <c r="QL22" s="399"/>
      <c r="QM22" s="399"/>
      <c r="QN22" s="399"/>
      <c r="QO22" s="399"/>
      <c r="QP22" s="399"/>
      <c r="QQ22" s="399"/>
      <c r="QR22" s="399"/>
      <c r="QS22" s="399"/>
      <c r="QT22" s="399"/>
      <c r="QU22" s="399"/>
      <c r="QV22" s="399"/>
      <c r="QW22" s="399"/>
      <c r="QX22" s="399"/>
      <c r="QY22" s="399"/>
      <c r="QZ22" s="399"/>
      <c r="RA22" s="400"/>
      <c r="RC22" s="369">
        <v>4</v>
      </c>
      <c r="RD22" s="668">
        <v>4.0000000000000001E-3</v>
      </c>
      <c r="RE22" s="669"/>
      <c r="RF22" s="670">
        <f t="shared" si="11"/>
        <v>170.25793241269886</v>
      </c>
      <c r="RG22" s="670"/>
      <c r="RH22" s="670"/>
      <c r="RI22" s="670"/>
      <c r="RJ22" s="698">
        <f t="shared" si="12"/>
        <v>30</v>
      </c>
      <c r="RK22" s="699"/>
      <c r="RL22" s="726"/>
      <c r="RM22" s="670">
        <f t="shared" si="13"/>
        <v>170.44643358291532</v>
      </c>
      <c r="RN22" s="670"/>
      <c r="RO22" s="670"/>
      <c r="RP22" s="670"/>
      <c r="RQ22" s="670"/>
      <c r="RR22" s="670"/>
      <c r="RS22" s="671">
        <f t="shared" si="6"/>
        <v>1.560804663639157</v>
      </c>
      <c r="RT22" s="671"/>
      <c r="RU22" s="671"/>
      <c r="RV22" s="671"/>
      <c r="RW22" s="671"/>
      <c r="RX22" s="671"/>
      <c r="RY22" s="681">
        <f t="shared" si="14"/>
        <v>170.4535796993809</v>
      </c>
      <c r="RZ22" s="681"/>
      <c r="SA22" s="681"/>
      <c r="SB22" s="681"/>
      <c r="SC22" s="681">
        <f>'Вывод расчетов'!$AQ$6/RY22</f>
        <v>2.229345964280621</v>
      </c>
      <c r="SD22" s="681"/>
      <c r="SE22" s="681"/>
      <c r="SF22" s="681"/>
      <c r="SG22" s="867">
        <f t="shared" si="15"/>
        <v>0.99995807587920316</v>
      </c>
      <c r="SH22" s="867"/>
      <c r="SI22" s="867"/>
      <c r="SJ22" s="867"/>
      <c r="SK22" s="874">
        <f t="shared" si="16"/>
        <v>9.156772573458755E-3</v>
      </c>
      <c r="SL22" s="875"/>
      <c r="SM22" s="875"/>
      <c r="SN22" s="876"/>
      <c r="SO22" s="692">
        <f t="shared" si="17"/>
        <v>2.5795749420423659</v>
      </c>
      <c r="SP22" s="693"/>
      <c r="SQ22" s="693"/>
      <c r="SR22" s="693"/>
      <c r="SS22" s="694"/>
      <c r="ST22" s="668">
        <f t="shared" si="18"/>
        <v>11.00249037597847</v>
      </c>
      <c r="SU22" s="678"/>
      <c r="SV22" s="678"/>
      <c r="SW22" s="678"/>
      <c r="SX22" s="678"/>
      <c r="SY22" s="669"/>
      <c r="SZ22" s="682">
        <f t="shared" si="19"/>
        <v>11.300840736649274</v>
      </c>
      <c r="TA22" s="683"/>
      <c r="TB22" s="683"/>
      <c r="TC22" s="683"/>
      <c r="TD22" s="683"/>
      <c r="TE22" s="684"/>
      <c r="TF22" s="682">
        <f>'Вывод расчетов'!$XC$174*SC22</f>
        <v>2.264849677007386</v>
      </c>
      <c r="TG22" s="683"/>
      <c r="TH22" s="684"/>
      <c r="TI22" s="670">
        <f t="shared" si="20"/>
        <v>2.9407154339282968</v>
      </c>
      <c r="TJ22" s="670"/>
      <c r="TK22" s="670"/>
      <c r="TL22" s="670"/>
      <c r="TM22" s="685">
        <f t="shared" si="21"/>
        <v>7.1087771891958085E-2</v>
      </c>
      <c r="TN22" s="686"/>
      <c r="TO22" s="686"/>
      <c r="TP22" s="687"/>
      <c r="TQ22" s="688">
        <f t="shared" si="22"/>
        <v>1.0154149231848051E-2</v>
      </c>
      <c r="TR22" s="688"/>
      <c r="TS22" s="688"/>
      <c r="TT22" s="688"/>
      <c r="TU22" s="874">
        <f t="shared" si="23"/>
        <v>2.0165430106574039E-2</v>
      </c>
      <c r="TV22" s="875"/>
      <c r="TW22" s="875"/>
      <c r="TX22" s="875"/>
      <c r="TY22" s="875"/>
      <c r="TZ22" s="876"/>
      <c r="UA22" s="679">
        <v>4.0000000000000001E-3</v>
      </c>
      <c r="UB22" s="680"/>
      <c r="UC22" s="650">
        <v>0.08</v>
      </c>
      <c r="UD22" s="866">
        <f t="shared" si="7"/>
        <v>0.98169416705779367</v>
      </c>
      <c r="UE22" s="866"/>
      <c r="UF22" s="866"/>
      <c r="UG22" s="866"/>
      <c r="UH22" s="866"/>
      <c r="UI22" s="866"/>
      <c r="UJ22" s="866"/>
      <c r="UK22" s="670">
        <f t="shared" si="8"/>
        <v>1.9590212668705032</v>
      </c>
      <c r="UL22" s="670"/>
      <c r="UM22" s="670"/>
      <c r="UN22" s="670"/>
      <c r="UO22" s="688">
        <f t="shared" si="9"/>
        <v>0.66617165478455798</v>
      </c>
      <c r="UP22" s="688"/>
      <c r="UQ22" s="688"/>
      <c r="UR22" s="688"/>
      <c r="US22" s="866">
        <f t="shared" si="10"/>
        <v>0.22826398514551724</v>
      </c>
      <c r="UT22" s="866"/>
      <c r="UU22" s="866"/>
      <c r="UV22" s="866"/>
      <c r="UW22" s="866"/>
      <c r="WC22" s="941"/>
      <c r="WD22" s="942"/>
      <c r="WE22" s="942"/>
      <c r="WF22" s="942"/>
      <c r="WG22" s="942"/>
      <c r="WH22" s="1238"/>
      <c r="WI22" s="183"/>
      <c r="WJ22" s="184"/>
      <c r="WK22" s="184"/>
      <c r="WL22" s="184"/>
      <c r="WM22" s="184"/>
      <c r="WN22" s="186"/>
      <c r="WO22" s="880"/>
      <c r="WP22" s="880"/>
      <c r="WQ22" s="1033"/>
      <c r="WR22" s="1033"/>
      <c r="WS22" s="1034"/>
      <c r="WT22" s="1034"/>
      <c r="WU22" s="1034"/>
      <c r="WV22" s="1034"/>
      <c r="WW22" s="1034"/>
      <c r="WX22" s="1034"/>
      <c r="WY22" s="1034"/>
      <c r="WZ22" s="1034"/>
      <c r="XA22" s="1034"/>
      <c r="XB22" s="1034"/>
      <c r="XC22" s="1034"/>
      <c r="XD22" s="1034"/>
      <c r="XE22" s="1049"/>
      <c r="XF22" s="1049"/>
      <c r="XG22" s="1049"/>
      <c r="XH22" s="172"/>
      <c r="XI22" s="177"/>
      <c r="XO22" s="825"/>
      <c r="XP22" s="696" t="s">
        <v>1584</v>
      </c>
      <c r="XQ22" s="720"/>
      <c r="XR22" s="1074">
        <f>$GT$101</f>
        <v>10.65</v>
      </c>
      <c r="XS22" s="1074"/>
      <c r="XT22" s="704" t="s">
        <v>179</v>
      </c>
      <c r="XU22" s="704"/>
      <c r="XV22" s="704"/>
      <c r="XW22" s="704"/>
      <c r="XX22" s="704"/>
      <c r="XY22" s="704"/>
      <c r="XZ22" s="704"/>
      <c r="YA22" s="704"/>
      <c r="YB22" s="705"/>
      <c r="YC22" s="763">
        <f>(GT101-GW77-GW73)/1000</f>
        <v>9.1500000000000001E-3</v>
      </c>
      <c r="YD22" s="764"/>
      <c r="YE22" s="1183" t="s">
        <v>50</v>
      </c>
      <c r="YF22" s="1408"/>
      <c r="YG22" s="1085"/>
      <c r="YH22" s="993" t="s">
        <v>1617</v>
      </c>
      <c r="YI22" s="993"/>
      <c r="YJ22" s="993"/>
      <c r="YK22" s="1085"/>
      <c r="YL22" s="767"/>
      <c r="YM22" s="767"/>
      <c r="YN22" s="767"/>
      <c r="YO22" s="767"/>
      <c r="YP22" s="767"/>
      <c r="YQ22" s="767"/>
      <c r="YR22" s="767"/>
      <c r="YS22" s="767"/>
      <c r="YT22" s="767"/>
      <c r="YU22" s="767"/>
      <c r="ZE22" s="1156" t="s">
        <v>1007</v>
      </c>
      <c r="ZF22" s="1157"/>
      <c r="AAD22" s="947"/>
      <c r="AAE22" s="947"/>
      <c r="AAF22" s="947"/>
      <c r="AAG22" s="947"/>
      <c r="AAH22" s="465">
        <v>12</v>
      </c>
      <c r="AAI22" s="956"/>
      <c r="AAJ22" s="957"/>
      <c r="AAK22" s="956"/>
      <c r="AAL22" s="957"/>
      <c r="AAM22" s="958">
        <f t="shared" si="5"/>
        <v>0.16</v>
      </c>
      <c r="AAN22" s="959"/>
      <c r="AAP22" s="947"/>
      <c r="AAQ22" s="947"/>
      <c r="AAR22" s="947"/>
      <c r="AAS22" s="947"/>
      <c r="AAT22" s="465">
        <v>72</v>
      </c>
      <c r="AAU22" s="956"/>
      <c r="AAV22" s="957"/>
      <c r="AAW22" s="956"/>
      <c r="AAX22" s="957"/>
      <c r="AAY22" s="958">
        <f t="shared" si="1"/>
        <v>0.96000000000000008</v>
      </c>
      <c r="AAZ22" s="959"/>
      <c r="ABB22" s="947"/>
      <c r="ABC22" s="947"/>
      <c r="ABD22" s="947"/>
      <c r="ABE22" s="947"/>
      <c r="ABF22" s="465">
        <v>132</v>
      </c>
      <c r="ABG22" s="956"/>
      <c r="ABH22" s="957"/>
      <c r="ABI22" s="956"/>
      <c r="ABJ22" s="957"/>
      <c r="ABK22" s="958">
        <f t="shared" si="2"/>
        <v>1.76</v>
      </c>
      <c r="ABL22" s="959"/>
      <c r="ABN22" s="947"/>
      <c r="ABO22" s="947"/>
      <c r="ABP22" s="947"/>
      <c r="ABQ22" s="947"/>
      <c r="ABR22" s="465">
        <v>192</v>
      </c>
      <c r="ABS22" s="956"/>
      <c r="ABT22" s="957"/>
      <c r="ABU22" s="956"/>
      <c r="ABV22" s="957"/>
      <c r="ABW22" s="958">
        <f t="shared" si="3"/>
        <v>2.56</v>
      </c>
      <c r="ABX22" s="959"/>
      <c r="ABZ22" s="947"/>
      <c r="ACA22" s="947"/>
      <c r="ACB22" s="947"/>
      <c r="ACC22" s="947"/>
      <c r="ACD22" s="465">
        <v>252</v>
      </c>
      <c r="ACE22" s="956"/>
      <c r="ACF22" s="957"/>
      <c r="ACG22" s="956"/>
      <c r="ACH22" s="957"/>
      <c r="ACI22" s="958">
        <f t="shared" si="4"/>
        <v>3.3600000000000003</v>
      </c>
      <c r="ACJ22" s="959"/>
      <c r="ADB22" s="1033"/>
      <c r="ADC22" s="1033"/>
      <c r="ADD22" s="187"/>
      <c r="ADE22" s="187"/>
      <c r="ADF22" s="187"/>
      <c r="ADG22" s="187"/>
      <c r="ADH22" s="187"/>
      <c r="ADI22" s="188"/>
      <c r="ADJ22" s="1071"/>
      <c r="ADK22" s="1071"/>
      <c r="ADL22" s="1052"/>
      <c r="ADM22" s="1052"/>
      <c r="ADN22" s="1052"/>
      <c r="ADO22" s="1052"/>
      <c r="ADP22" s="1052"/>
      <c r="ADQ22" s="1052"/>
      <c r="ADR22" s="1052"/>
      <c r="ADS22" s="1052"/>
      <c r="ADT22" s="1052"/>
      <c r="ADU22" s="1052"/>
      <c r="ADV22" s="1052"/>
      <c r="ADW22" s="1052"/>
      <c r="ADX22" s="859"/>
      <c r="ADY22" s="1016"/>
      <c r="ADZ22" s="1016"/>
      <c r="AEA22" s="1016"/>
      <c r="AEB22" s="1016"/>
      <c r="AEC22" s="1016"/>
      <c r="AED22" s="1016"/>
      <c r="AEE22" s="1016"/>
      <c r="AEF22" s="1016"/>
      <c r="AEG22" s="1016"/>
      <c r="AEH22" s="1016"/>
      <c r="AEI22" s="1016"/>
      <c r="AEJ22" s="1016"/>
      <c r="AEK22" s="860"/>
      <c r="AEM22" s="1386"/>
      <c r="AEN22" s="1386"/>
      <c r="AEO22" s="1386"/>
      <c r="AEP22" s="1386"/>
      <c r="AEQ22" s="1386"/>
      <c r="AER22" s="1386"/>
      <c r="AES22" s="1386"/>
      <c r="AET22" s="1386"/>
      <c r="AEU22" s="1386"/>
      <c r="AEV22" s="1386"/>
      <c r="AEW22" s="1386"/>
      <c r="AEX22" s="1386"/>
      <c r="AEY22" s="1386"/>
      <c r="AEZ22" s="1386"/>
      <c r="AFA22" s="1386"/>
      <c r="AFC22" s="1386"/>
      <c r="AFD22" s="1386"/>
      <c r="AFE22" s="1386"/>
      <c r="AFF22" s="1386"/>
      <c r="AFG22" s="1386"/>
      <c r="AFH22" s="1386"/>
      <c r="AFI22" s="1386"/>
      <c r="AFJ22" s="1386"/>
      <c r="AFK22" s="1386"/>
      <c r="AFL22" s="1386"/>
      <c r="AFM22" s="1386"/>
      <c r="AFN22" s="144"/>
      <c r="AFO22" s="144"/>
      <c r="AHO22" s="144"/>
      <c r="AIM22" s="795"/>
      <c r="AIN22" s="796"/>
      <c r="AIO22" s="797"/>
      <c r="AIP22" s="826"/>
      <c r="AIQ22" s="816" t="s">
        <v>401</v>
      </c>
      <c r="AIR22" s="816"/>
      <c r="AIS22" s="816"/>
      <c r="AIT22" s="816"/>
      <c r="AIU22" s="816"/>
      <c r="AIV22" s="816"/>
      <c r="AIW22" s="816"/>
      <c r="AIX22" s="816"/>
      <c r="AIY22" s="816"/>
      <c r="AIZ22" s="816"/>
      <c r="AJA22" s="816"/>
      <c r="AJB22" s="816"/>
      <c r="AJC22" s="816"/>
      <c r="AJD22" s="1397">
        <v>0.22</v>
      </c>
      <c r="AJE22" s="1398"/>
      <c r="AJF22" s="1005"/>
      <c r="AJG22" s="1006"/>
      <c r="AJH22" s="712"/>
      <c r="AJI22" s="716" t="s">
        <v>442</v>
      </c>
      <c r="AJJ22" s="717"/>
      <c r="AJK22" s="746"/>
      <c r="AMT22" s="827"/>
      <c r="AMU22" s="818"/>
      <c r="AMV22" s="818"/>
      <c r="AMW22" s="818"/>
      <c r="AMX22" s="818"/>
      <c r="AMY22" s="818"/>
      <c r="AMZ22" s="818"/>
      <c r="ANA22" s="818"/>
      <c r="ANB22" s="818"/>
      <c r="ANC22" s="818"/>
      <c r="AND22" s="818"/>
      <c r="ANE22" s="818"/>
      <c r="ANF22" s="818"/>
      <c r="ANG22" s="818"/>
      <c r="ANH22" s="765"/>
      <c r="ANI22" s="766"/>
      <c r="ANJ22" s="706"/>
      <c r="ANK22" s="708"/>
      <c r="ANL22" s="713"/>
      <c r="ANM22" s="718"/>
      <c r="ANN22" s="719"/>
      <c r="ANO22" s="747"/>
    </row>
    <row r="23" spans="1:1022 1034:1055" ht="48" customHeight="1" thickBot="1">
      <c r="A23" s="144"/>
      <c r="B23" s="144"/>
      <c r="C23" s="144"/>
      <c r="D23" s="652">
        <v>4</v>
      </c>
      <c r="E23" s="1508" t="s">
        <v>1025</v>
      </c>
      <c r="F23" s="1509"/>
      <c r="G23" s="1509"/>
      <c r="H23" s="1509"/>
      <c r="I23" s="1509"/>
      <c r="J23" s="1509"/>
      <c r="K23" s="1509"/>
      <c r="L23" s="1509"/>
      <c r="M23" s="1509"/>
      <c r="N23" s="1509"/>
      <c r="O23" s="1509"/>
      <c r="P23" s="1509"/>
      <c r="Q23" s="1509"/>
      <c r="R23" s="1509"/>
      <c r="S23" s="1510"/>
      <c r="AC23" s="144"/>
      <c r="AD23" s="144"/>
      <c r="AE23" s="144"/>
      <c r="BJ23" s="139"/>
      <c r="BO23" s="139"/>
      <c r="BP23" s="139"/>
      <c r="BQ23" s="139"/>
      <c r="BX23" s="825"/>
      <c r="BY23" s="695" t="s">
        <v>768</v>
      </c>
      <c r="BZ23" s="695"/>
      <c r="CA23" s="137"/>
      <c r="CB23" s="580" t="s">
        <v>470</v>
      </c>
      <c r="CC23" s="756">
        <f>$AW$34</f>
        <v>0.17058500000000001</v>
      </c>
      <c r="CD23" s="756"/>
      <c r="CE23" s="87"/>
      <c r="CF23" s="87"/>
      <c r="CG23" s="87"/>
      <c r="CH23" s="137"/>
      <c r="CI23" s="85" t="s">
        <v>467</v>
      </c>
      <c r="CJ23" s="757" t="s">
        <v>461</v>
      </c>
      <c r="CK23" s="758"/>
      <c r="CL23" s="819" t="s">
        <v>126</v>
      </c>
      <c r="CM23" s="820"/>
      <c r="CN23" s="675" t="s">
        <v>731</v>
      </c>
      <c r="CO23" s="676"/>
      <c r="CP23" s="821" t="s">
        <v>473</v>
      </c>
      <c r="CQ23" s="822"/>
      <c r="CR23" s="822"/>
      <c r="CS23" s="823"/>
      <c r="CT23" s="769" t="s">
        <v>462</v>
      </c>
      <c r="CU23" s="769"/>
      <c r="CV23" s="769"/>
      <c r="CW23" s="769"/>
      <c r="DZ23" s="792" t="s">
        <v>1078</v>
      </c>
      <c r="EA23" s="793"/>
      <c r="EB23" s="794"/>
      <c r="EC23" s="825"/>
      <c r="ED23" s="665" t="s">
        <v>442</v>
      </c>
      <c r="EE23" s="666"/>
      <c r="EF23" s="146"/>
      <c r="EG23" s="87"/>
      <c r="EH23" s="87"/>
      <c r="EI23" s="87"/>
      <c r="EJ23" s="87"/>
      <c r="EK23" s="216"/>
      <c r="EL23" s="84" t="s">
        <v>477</v>
      </c>
      <c r="EM23" s="146"/>
      <c r="EN23" s="85" t="s">
        <v>467</v>
      </c>
      <c r="EO23" s="757" t="s">
        <v>461</v>
      </c>
      <c r="EP23" s="758"/>
      <c r="EQ23" s="819" t="s">
        <v>126</v>
      </c>
      <c r="ER23" s="820"/>
      <c r="ES23" s="675" t="s">
        <v>731</v>
      </c>
      <c r="ET23" s="676"/>
      <c r="EU23" s="821" t="s">
        <v>473</v>
      </c>
      <c r="EV23" s="822"/>
      <c r="EW23" s="822"/>
      <c r="EX23" s="823"/>
      <c r="FB23" s="144"/>
      <c r="FC23" s="144"/>
      <c r="FD23" s="144"/>
      <c r="FE23" s="144"/>
      <c r="FF23" s="144"/>
      <c r="FG23" s="144"/>
      <c r="FH23" s="144"/>
      <c r="FK23" s="144"/>
      <c r="FL23" s="144"/>
      <c r="FM23" s="144"/>
      <c r="GF23" s="792" t="s">
        <v>1078</v>
      </c>
      <c r="GG23" s="793"/>
      <c r="GH23" s="794"/>
      <c r="GI23" s="825"/>
      <c r="GJ23" s="665" t="s">
        <v>442</v>
      </c>
      <c r="GK23" s="666"/>
      <c r="GL23" s="152"/>
      <c r="GM23" s="87"/>
      <c r="GN23" s="87"/>
      <c r="GO23" s="87"/>
      <c r="GP23" s="87"/>
      <c r="GQ23" s="216"/>
      <c r="GR23" s="84" t="s">
        <v>477</v>
      </c>
      <c r="GS23" s="216"/>
      <c r="GT23" s="85" t="s">
        <v>467</v>
      </c>
      <c r="GU23" s="757" t="s">
        <v>461</v>
      </c>
      <c r="GV23" s="758"/>
      <c r="GW23" s="819" t="s">
        <v>126</v>
      </c>
      <c r="GX23" s="820"/>
      <c r="GY23" s="675" t="s">
        <v>731</v>
      </c>
      <c r="GZ23" s="676"/>
      <c r="HA23" s="821" t="s">
        <v>473</v>
      </c>
      <c r="HB23" s="822"/>
      <c r="HC23" s="822"/>
      <c r="HD23" s="823"/>
      <c r="IE23" s="144"/>
      <c r="IF23" s="144"/>
      <c r="IR23" s="767"/>
      <c r="IS23" s="246" t="s">
        <v>1125</v>
      </c>
      <c r="IT23" s="739">
        <f>$CL$40</f>
        <v>1.6231421212121216E-2</v>
      </c>
      <c r="IU23" s="739"/>
      <c r="IV23" s="696" t="s">
        <v>1225</v>
      </c>
      <c r="IW23" s="697"/>
      <c r="IX23" s="677">
        <f>$FW$29</f>
        <v>6.7</v>
      </c>
      <c r="IY23" s="677"/>
      <c r="IZ23" s="703"/>
      <c r="JA23" s="704"/>
      <c r="JB23" s="704"/>
      <c r="JC23" s="704"/>
      <c r="JD23" s="704"/>
      <c r="JE23" s="705"/>
      <c r="JF23" s="765"/>
      <c r="JG23" s="766"/>
      <c r="JH23" s="761"/>
      <c r="JI23" s="762"/>
      <c r="JJ23" s="715"/>
      <c r="JK23" s="1299"/>
      <c r="JL23" s="1300"/>
      <c r="JM23" s="747"/>
      <c r="JN23" s="767"/>
      <c r="JO23" s="767"/>
      <c r="JP23" s="767"/>
      <c r="JQ23" s="767"/>
      <c r="JR23" s="767"/>
      <c r="JS23" s="767"/>
      <c r="LD23" s="144"/>
      <c r="LE23" s="144"/>
      <c r="LF23" s="144"/>
      <c r="LG23" s="144"/>
      <c r="LH23" s="144"/>
      <c r="LI23" s="144"/>
      <c r="LJ23" s="144"/>
      <c r="LK23" s="144"/>
      <c r="LL23" s="144"/>
      <c r="LM23" s="144"/>
      <c r="LN23" s="144"/>
      <c r="LO23" s="144"/>
      <c r="LZ23" s="826"/>
      <c r="MA23" s="673" t="s">
        <v>1332</v>
      </c>
      <c r="MB23" s="674"/>
      <c r="MC23" s="739">
        <f>CL126</f>
        <v>6.5640000000000001</v>
      </c>
      <c r="MD23" s="739"/>
      <c r="ME23" s="1247" t="s">
        <v>1338</v>
      </c>
      <c r="MF23" s="1445"/>
      <c r="MG23" s="1248"/>
      <c r="MH23" s="940" t="s">
        <v>84</v>
      </c>
      <c r="MI23" s="940"/>
      <c r="MJ23" s="940"/>
      <c r="MK23" s="940"/>
      <c r="ML23" s="940"/>
      <c r="MM23" s="1003"/>
      <c r="MN23" s="763">
        <f>(ME22*MF24)/(MC23*10^(-6)*MC24)</f>
        <v>0.18554623176557763</v>
      </c>
      <c r="MO23" s="764"/>
      <c r="MP23" s="895" t="s">
        <v>415</v>
      </c>
      <c r="MQ23" s="896"/>
      <c r="MR23" s="712"/>
      <c r="MS23" s="740" t="s">
        <v>903</v>
      </c>
      <c r="MT23" s="742"/>
      <c r="MU23" s="746"/>
      <c r="MV23" s="919"/>
      <c r="MW23" s="840"/>
      <c r="MX23" s="920"/>
      <c r="OD23" s="892"/>
      <c r="OE23" s="893"/>
      <c r="OF23" s="893"/>
      <c r="OG23" s="893"/>
      <c r="OH23" s="893"/>
      <c r="OI23" s="894"/>
      <c r="OK23" s="768"/>
      <c r="OL23" s="768"/>
      <c r="OM23" s="768"/>
      <c r="ON23" s="768"/>
      <c r="OO23" s="768"/>
      <c r="OQ23" s="892"/>
      <c r="OR23" s="893"/>
      <c r="OS23" s="893"/>
      <c r="OT23" s="894"/>
      <c r="PF23" s="403"/>
      <c r="PG23" s="399"/>
      <c r="PH23" s="55"/>
      <c r="PI23" s="55"/>
      <c r="PJ23" s="214" t="s">
        <v>899</v>
      </c>
      <c r="PK23" s="695" t="s">
        <v>442</v>
      </c>
      <c r="PL23" s="695"/>
      <c r="PM23" s="563"/>
      <c r="PN23" s="863" t="s">
        <v>1696</v>
      </c>
      <c r="PO23" s="863"/>
      <c r="PP23" s="739">
        <f>$QA$61</f>
        <v>2.5</v>
      </c>
      <c r="PQ23" s="739"/>
      <c r="PR23" s="563"/>
      <c r="PS23" s="525"/>
      <c r="PT23" s="563"/>
      <c r="PU23" s="85" t="s">
        <v>467</v>
      </c>
      <c r="PV23" s="1359" t="s">
        <v>461</v>
      </c>
      <c r="PW23" s="757"/>
      <c r="PX23" s="1455" t="s">
        <v>126</v>
      </c>
      <c r="PY23" s="1456"/>
      <c r="PZ23" s="1457" t="s">
        <v>731</v>
      </c>
      <c r="QA23" s="1458"/>
      <c r="QB23" s="1427" t="s">
        <v>473</v>
      </c>
      <c r="QC23" s="1427"/>
      <c r="QD23" s="1427"/>
      <c r="QE23" s="1427"/>
      <c r="QF23" s="1427"/>
      <c r="QG23" s="1427" t="s">
        <v>462</v>
      </c>
      <c r="QH23" s="769"/>
      <c r="QI23" s="769"/>
      <c r="QJ23" s="769"/>
      <c r="QK23" s="769"/>
      <c r="QL23" s="769"/>
      <c r="QM23" s="769"/>
      <c r="QN23" s="769"/>
      <c r="QO23" s="769"/>
      <c r="QP23" s="769"/>
      <c r="QQ23" s="769"/>
      <c r="QR23" s="769"/>
      <c r="QS23" s="769"/>
      <c r="QT23" s="769"/>
      <c r="QU23" s="769"/>
      <c r="QV23" s="399"/>
      <c r="QW23" s="399"/>
      <c r="QX23" s="399"/>
      <c r="QY23" s="399"/>
      <c r="QZ23" s="399"/>
      <c r="RA23" s="400"/>
      <c r="RC23" s="369">
        <v>5</v>
      </c>
      <c r="RD23" s="668">
        <v>5.0000000000000001E-3</v>
      </c>
      <c r="RE23" s="669"/>
      <c r="RF23" s="670">
        <f t="shared" si="11"/>
        <v>136.2063459301591</v>
      </c>
      <c r="RG23" s="670"/>
      <c r="RH23" s="670"/>
      <c r="RI23" s="670"/>
      <c r="RJ23" s="698">
        <f t="shared" si="12"/>
        <v>30</v>
      </c>
      <c r="RK23" s="699"/>
      <c r="RL23" s="726"/>
      <c r="RM23" s="670">
        <f t="shared" si="13"/>
        <v>136.39484710037556</v>
      </c>
      <c r="RN23" s="670"/>
      <c r="RO23" s="670"/>
      <c r="RP23" s="670"/>
      <c r="RQ23" s="670"/>
      <c r="RR23" s="670"/>
      <c r="RS23" s="671">
        <f t="shared" si="6"/>
        <v>1.560804663639157</v>
      </c>
      <c r="RT23" s="671"/>
      <c r="RU23" s="671"/>
      <c r="RV23" s="671"/>
      <c r="RW23" s="671"/>
      <c r="RX23" s="671"/>
      <c r="RY23" s="681">
        <f t="shared" si="14"/>
        <v>136.40377717179558</v>
      </c>
      <c r="RZ23" s="681"/>
      <c r="SA23" s="681"/>
      <c r="SB23" s="681"/>
      <c r="SC23" s="681">
        <f>'Вывод расчетов'!$AQ$6/RY23</f>
        <v>2.7858466083487108</v>
      </c>
      <c r="SD23" s="681"/>
      <c r="SE23" s="681"/>
      <c r="SF23" s="681"/>
      <c r="SG23" s="867">
        <f t="shared" si="15"/>
        <v>0.99993453208111105</v>
      </c>
      <c r="SH23" s="867"/>
      <c r="SI23" s="867"/>
      <c r="SJ23" s="867"/>
      <c r="SK23" s="874">
        <f t="shared" si="16"/>
        <v>1.1442532574984199E-2</v>
      </c>
      <c r="SL23" s="875"/>
      <c r="SM23" s="875"/>
      <c r="SN23" s="876"/>
      <c r="SO23" s="692">
        <f t="shared" si="17"/>
        <v>3.1359866659001678</v>
      </c>
      <c r="SP23" s="693"/>
      <c r="SQ23" s="693"/>
      <c r="SR23" s="693"/>
      <c r="SS23" s="694"/>
      <c r="ST23" s="668">
        <f t="shared" si="18"/>
        <v>11.013953902560933</v>
      </c>
      <c r="SU23" s="678"/>
      <c r="SV23" s="678"/>
      <c r="SW23" s="678"/>
      <c r="SX23" s="678"/>
      <c r="SY23" s="669"/>
      <c r="SZ23" s="682">
        <f t="shared" si="19"/>
        <v>11.451706987887913</v>
      </c>
      <c r="TA23" s="683"/>
      <c r="TB23" s="683"/>
      <c r="TC23" s="683"/>
      <c r="TD23" s="683"/>
      <c r="TE23" s="684"/>
      <c r="TF23" s="682">
        <f>'Вывод расчетов'!$XC$174*SC23</f>
        <v>2.8302129378769143</v>
      </c>
      <c r="TG23" s="683"/>
      <c r="TH23" s="684"/>
      <c r="TI23" s="670">
        <f t="shared" si="20"/>
        <v>3.5750247991261914</v>
      </c>
      <c r="TJ23" s="670"/>
      <c r="TK23" s="670"/>
      <c r="TL23" s="670"/>
      <c r="TM23" s="685">
        <f t="shared" si="21"/>
        <v>7.2998485191275692E-2</v>
      </c>
      <c r="TN23" s="686"/>
      <c r="TO23" s="686"/>
      <c r="TP23" s="687"/>
      <c r="TQ23" s="688">
        <f t="shared" si="22"/>
        <v>1.5856341883355975E-2</v>
      </c>
      <c r="TR23" s="688"/>
      <c r="TS23" s="688"/>
      <c r="TT23" s="688"/>
      <c r="TU23" s="874">
        <f t="shared" si="23"/>
        <v>2.0707441122894129E-2</v>
      </c>
      <c r="TV23" s="875"/>
      <c r="TW23" s="875"/>
      <c r="TX23" s="875"/>
      <c r="TY23" s="875"/>
      <c r="TZ23" s="876"/>
      <c r="UA23" s="679">
        <v>5.0000000000000001E-3</v>
      </c>
      <c r="UB23" s="680"/>
      <c r="UC23" s="650">
        <v>0.05</v>
      </c>
      <c r="UD23" s="866">
        <f t="shared" si="7"/>
        <v>0.98984908402493921</v>
      </c>
      <c r="UE23" s="866"/>
      <c r="UF23" s="866"/>
      <c r="UG23" s="866"/>
      <c r="UH23" s="866"/>
      <c r="UI23" s="866"/>
      <c r="UJ23" s="866"/>
      <c r="UK23" s="670">
        <f t="shared" si="8"/>
        <v>2.5851757151012524</v>
      </c>
      <c r="UL23" s="670"/>
      <c r="UM23" s="670"/>
      <c r="UN23" s="670"/>
      <c r="UO23" s="688">
        <f t="shared" si="9"/>
        <v>0.72312105799465276</v>
      </c>
      <c r="UP23" s="688"/>
      <c r="UQ23" s="688"/>
      <c r="UR23" s="688"/>
      <c r="US23" s="866">
        <f t="shared" si="10"/>
        <v>0.27384447307436316</v>
      </c>
      <c r="UT23" s="866"/>
      <c r="UU23" s="866"/>
      <c r="UV23" s="866"/>
      <c r="UW23" s="866"/>
      <c r="WC23" s="941"/>
      <c r="WD23" s="942"/>
      <c r="WE23" s="942"/>
      <c r="WF23" s="942"/>
      <c r="WG23" s="942"/>
      <c r="WH23" s="1238"/>
      <c r="WI23" s="181"/>
      <c r="WJ23" s="182"/>
      <c r="WK23" s="182"/>
      <c r="WL23" s="182"/>
      <c r="WM23" s="182"/>
      <c r="WN23" s="185"/>
      <c r="WO23" s="880">
        <v>2</v>
      </c>
      <c r="WP23" s="880"/>
      <c r="WQ23" s="1033" t="s">
        <v>415</v>
      </c>
      <c r="WR23" s="1033"/>
      <c r="WS23" s="1034">
        <f>$XC$194+'Вывод расчетов'!$WR$88*'Вывод расчетов'!$XC$170/WS19</f>
        <v>1.560804663639157</v>
      </c>
      <c r="WT23" s="1034"/>
      <c r="WU23" s="1034">
        <f>$XC$194+'Вывод расчетов'!$WR$88*'Вывод расчетов'!$XC$170/WU19</f>
        <v>1.560804663639157</v>
      </c>
      <c r="WV23" s="1034"/>
      <c r="WW23" s="1034">
        <f>$XC$194+'Вывод расчетов'!$WR$88*'Вывод расчетов'!$XC$170/WW19</f>
        <v>1.560804663639157</v>
      </c>
      <c r="WX23" s="1034"/>
      <c r="WY23" s="1034">
        <f>$XC$194+'Вывод расчетов'!$WR$88*'Вывод расчетов'!$XC$170/WY19</f>
        <v>1.560804663639157</v>
      </c>
      <c r="WZ23" s="1034"/>
      <c r="XA23" s="1034">
        <f>$XC$194+'Вывод расчетов'!$WR$88*'Вывод расчетов'!$XC$170/XA19</f>
        <v>1.560804663639157</v>
      </c>
      <c r="XB23" s="1034"/>
      <c r="XC23" s="1034">
        <f>$XC$194+'Вывод расчетов'!$WR$88*'Вывод расчетов'!$XC$170/XC19</f>
        <v>1.560804663639157</v>
      </c>
      <c r="XD23" s="1034"/>
      <c r="XE23" s="1049"/>
      <c r="XF23" s="1049"/>
      <c r="XG23" s="1049"/>
      <c r="XH23" s="172"/>
      <c r="XI23" s="177"/>
      <c r="XO23" s="827"/>
      <c r="XP23" s="949" t="s">
        <v>1191</v>
      </c>
      <c r="XQ23" s="950"/>
      <c r="XR23" s="672">
        <f>$GW$73</f>
        <v>0.5</v>
      </c>
      <c r="XS23" s="672"/>
      <c r="XT23" s="707"/>
      <c r="XU23" s="707"/>
      <c r="XV23" s="707"/>
      <c r="XW23" s="707"/>
      <c r="XX23" s="707"/>
      <c r="XY23" s="707"/>
      <c r="XZ23" s="707"/>
      <c r="YA23" s="707"/>
      <c r="YB23" s="708"/>
      <c r="YC23" s="765"/>
      <c r="YD23" s="766"/>
      <c r="YE23" s="1185"/>
      <c r="YF23" s="1409"/>
      <c r="YG23" s="1086"/>
      <c r="YH23" s="994"/>
      <c r="YI23" s="994"/>
      <c r="YJ23" s="994"/>
      <c r="YK23" s="1086"/>
      <c r="YL23" s="768"/>
      <c r="YM23" s="768"/>
      <c r="YN23" s="768"/>
      <c r="YO23" s="768"/>
      <c r="YP23" s="768"/>
      <c r="YQ23" s="768"/>
      <c r="YR23" s="768"/>
      <c r="YS23" s="768"/>
      <c r="YT23" s="768"/>
      <c r="YU23" s="768"/>
      <c r="ZE23" s="1158"/>
      <c r="ZF23" s="1159"/>
      <c r="AAD23" s="947"/>
      <c r="AAE23" s="947"/>
      <c r="AAF23" s="947"/>
      <c r="AAG23" s="947"/>
      <c r="AAH23" s="465">
        <v>13</v>
      </c>
      <c r="AAI23" s="956"/>
      <c r="AAJ23" s="957"/>
      <c r="AAK23" s="956"/>
      <c r="AAL23" s="957"/>
      <c r="AAM23" s="958">
        <f t="shared" si="5"/>
        <v>0.17333333333333334</v>
      </c>
      <c r="AAN23" s="959"/>
      <c r="AAP23" s="947"/>
      <c r="AAQ23" s="947"/>
      <c r="AAR23" s="947"/>
      <c r="AAS23" s="947"/>
      <c r="AAT23" s="465">
        <v>73</v>
      </c>
      <c r="AAU23" s="956"/>
      <c r="AAV23" s="957"/>
      <c r="AAW23" s="956"/>
      <c r="AAX23" s="957"/>
      <c r="AAY23" s="958">
        <f t="shared" si="1"/>
        <v>0.97333333333333338</v>
      </c>
      <c r="AAZ23" s="959"/>
      <c r="ABB23" s="947"/>
      <c r="ABC23" s="947"/>
      <c r="ABD23" s="947"/>
      <c r="ABE23" s="947"/>
      <c r="ABF23" s="465">
        <v>133</v>
      </c>
      <c r="ABG23" s="956"/>
      <c r="ABH23" s="957"/>
      <c r="ABI23" s="956"/>
      <c r="ABJ23" s="957"/>
      <c r="ABK23" s="958">
        <f t="shared" si="2"/>
        <v>1.7733333333333334</v>
      </c>
      <c r="ABL23" s="959"/>
      <c r="ABN23" s="947"/>
      <c r="ABO23" s="947"/>
      <c r="ABP23" s="947"/>
      <c r="ABQ23" s="947"/>
      <c r="ABR23" s="465">
        <v>193</v>
      </c>
      <c r="ABS23" s="956"/>
      <c r="ABT23" s="957"/>
      <c r="ABU23" s="956"/>
      <c r="ABV23" s="957"/>
      <c r="ABW23" s="958">
        <f t="shared" si="3"/>
        <v>2.5733333333333337</v>
      </c>
      <c r="ABX23" s="959"/>
      <c r="ABZ23" s="947"/>
      <c r="ACA23" s="947"/>
      <c r="ACB23" s="947"/>
      <c r="ACC23" s="947"/>
      <c r="ACD23" s="465">
        <v>253</v>
      </c>
      <c r="ACE23" s="956"/>
      <c r="ACF23" s="957"/>
      <c r="ACG23" s="956"/>
      <c r="ACH23" s="957"/>
      <c r="ACI23" s="958">
        <f t="shared" si="4"/>
        <v>3.3733333333333335</v>
      </c>
      <c r="ACJ23" s="959"/>
      <c r="ADB23" s="1033"/>
      <c r="ADC23" s="1033"/>
      <c r="ADD23" s="187"/>
      <c r="ADE23" s="187"/>
      <c r="ADF23" s="187"/>
      <c r="ADG23" s="187"/>
      <c r="ADH23" s="187"/>
      <c r="ADI23" s="188"/>
      <c r="ADJ23" s="1071"/>
      <c r="ADK23" s="1071"/>
      <c r="ADL23" s="1052"/>
      <c r="ADM23" s="1052"/>
      <c r="ADN23" s="1052"/>
      <c r="ADO23" s="1052"/>
      <c r="ADP23" s="1052"/>
      <c r="ADQ23" s="1052"/>
      <c r="ADR23" s="1052"/>
      <c r="ADS23" s="1052"/>
      <c r="ADT23" s="1052"/>
      <c r="ADU23" s="1052"/>
      <c r="ADV23" s="1052"/>
      <c r="ADW23" s="1052"/>
      <c r="ADX23" s="859"/>
      <c r="ADY23" s="1016"/>
      <c r="ADZ23" s="1016"/>
      <c r="AEA23" s="1016"/>
      <c r="AEB23" s="1016"/>
      <c r="AEC23" s="1016"/>
      <c r="AED23" s="1016"/>
      <c r="AEE23" s="1016"/>
      <c r="AEF23" s="1016"/>
      <c r="AEG23" s="1016"/>
      <c r="AEH23" s="1016"/>
      <c r="AEI23" s="1016"/>
      <c r="AEJ23" s="1016"/>
      <c r="AEK23" s="860"/>
      <c r="AEM23" s="1386"/>
      <c r="AEN23" s="1386"/>
      <c r="AEO23" s="1386"/>
      <c r="AEP23" s="1386"/>
      <c r="AEQ23" s="1386"/>
      <c r="AER23" s="1386"/>
      <c r="AES23" s="1386"/>
      <c r="AET23" s="1386"/>
      <c r="AEU23" s="1386"/>
      <c r="AEV23" s="1386"/>
      <c r="AEW23" s="1386"/>
      <c r="AEX23" s="1386"/>
      <c r="AEY23" s="1386"/>
      <c r="AEZ23" s="1386"/>
      <c r="AFA23" s="1386"/>
      <c r="AFC23" s="1386"/>
      <c r="AFD23" s="1386"/>
      <c r="AFE23" s="1386"/>
      <c r="AFF23" s="1386"/>
      <c r="AFG23" s="1386"/>
      <c r="AFH23" s="1386"/>
      <c r="AFI23" s="1386"/>
      <c r="AFJ23" s="1386"/>
      <c r="AFK23" s="1386"/>
      <c r="AFL23" s="1386"/>
      <c r="AFM23" s="1386"/>
      <c r="AFN23" s="144"/>
      <c r="AFO23" s="144"/>
      <c r="AHO23" s="144"/>
      <c r="AIM23" s="798"/>
      <c r="AIN23" s="799"/>
      <c r="AIO23" s="800"/>
      <c r="AIP23" s="827"/>
      <c r="AIQ23" s="818"/>
      <c r="AIR23" s="818"/>
      <c r="AIS23" s="818"/>
      <c r="AIT23" s="818"/>
      <c r="AIU23" s="818"/>
      <c r="AIV23" s="818"/>
      <c r="AIW23" s="818"/>
      <c r="AIX23" s="818"/>
      <c r="AIY23" s="818"/>
      <c r="AIZ23" s="818"/>
      <c r="AJA23" s="818"/>
      <c r="AJB23" s="818"/>
      <c r="AJC23" s="818"/>
      <c r="AJD23" s="1399"/>
      <c r="AJE23" s="736"/>
      <c r="AJF23" s="706"/>
      <c r="AJG23" s="708"/>
      <c r="AJH23" s="713"/>
      <c r="AJI23" s="718"/>
      <c r="AJJ23" s="719"/>
      <c r="AJK23" s="747"/>
    </row>
    <row r="24" spans="1:1022 1034:1055" ht="48" customHeight="1" thickBot="1">
      <c r="A24" s="144"/>
      <c r="B24" s="144"/>
      <c r="C24" s="144"/>
      <c r="D24" s="652">
        <v>5</v>
      </c>
      <c r="E24" s="1508" t="s">
        <v>1026</v>
      </c>
      <c r="F24" s="1509"/>
      <c r="G24" s="1509"/>
      <c r="H24" s="1509"/>
      <c r="I24" s="1509"/>
      <c r="J24" s="1509"/>
      <c r="K24" s="1509"/>
      <c r="L24" s="1509"/>
      <c r="M24" s="1509"/>
      <c r="N24" s="1509"/>
      <c r="O24" s="1509"/>
      <c r="P24" s="1509"/>
      <c r="Q24" s="1509"/>
      <c r="R24" s="1509"/>
      <c r="S24" s="1510"/>
      <c r="W24" s="513"/>
      <c r="X24" s="513"/>
      <c r="Y24" s="513"/>
      <c r="Z24" s="513"/>
      <c r="AA24" s="513"/>
      <c r="AB24" s="513"/>
      <c r="AC24" s="513"/>
      <c r="AD24" s="519"/>
      <c r="AI24" s="554"/>
      <c r="AJ24" s="513"/>
      <c r="AK24" s="602" t="s">
        <v>994</v>
      </c>
      <c r="AL24" s="728" t="s">
        <v>1806</v>
      </c>
      <c r="AM24" s="1053"/>
      <c r="AN24" s="1053"/>
      <c r="AO24" s="1053"/>
      <c r="AP24" s="1053"/>
      <c r="AQ24" s="1053"/>
      <c r="AR24" s="1053"/>
      <c r="AS24" s="1053"/>
      <c r="AT24" s="1053"/>
      <c r="AU24" s="1053"/>
      <c r="AV24" s="1053"/>
      <c r="AW24" s="1054"/>
      <c r="AX24" s="868">
        <f>'Программные таблицы'!P12</f>
        <v>180</v>
      </c>
      <c r="AY24" s="870"/>
      <c r="AZ24" s="513"/>
      <c r="BA24" s="513"/>
      <c r="BB24" s="513"/>
      <c r="BC24" s="513"/>
      <c r="BD24" s="513"/>
      <c r="BE24" s="513"/>
      <c r="BF24" s="513"/>
      <c r="BG24" s="513"/>
      <c r="BH24" s="513"/>
      <c r="BI24" s="513"/>
      <c r="BJ24" s="519"/>
      <c r="BK24" s="139"/>
      <c r="BL24" s="139"/>
      <c r="BM24" s="139"/>
      <c r="BO24" s="139"/>
      <c r="BP24" s="139"/>
      <c r="BQ24" s="139"/>
      <c r="BX24" s="826"/>
      <c r="BY24" s="1556" t="s">
        <v>1047</v>
      </c>
      <c r="BZ24" s="732"/>
      <c r="CA24" s="732"/>
      <c r="CB24" s="732"/>
      <c r="CC24" s="732"/>
      <c r="CD24" s="732"/>
      <c r="CE24" s="732"/>
      <c r="CF24" s="732"/>
      <c r="CG24" s="732"/>
      <c r="CH24" s="732"/>
      <c r="CI24" s="732"/>
      <c r="CJ24" s="732"/>
      <c r="CK24" s="732"/>
      <c r="CL24" s="1087">
        <f>(3.14*AW34)/CO16</f>
        <v>33.477306250000005</v>
      </c>
      <c r="CM24" s="1006"/>
      <c r="CN24" s="849" t="s">
        <v>762</v>
      </c>
      <c r="CO24" s="850"/>
      <c r="CP24" s="712"/>
      <c r="CQ24" s="716" t="s">
        <v>783</v>
      </c>
      <c r="CR24" s="717"/>
      <c r="CS24" s="746"/>
      <c r="CT24" s="767"/>
      <c r="CU24" s="767"/>
      <c r="CV24" s="767"/>
      <c r="CW24" s="767"/>
      <c r="DF24" s="144"/>
      <c r="DG24" s="144"/>
      <c r="DH24" s="144"/>
      <c r="DI24" s="144"/>
      <c r="DJ24" s="144"/>
      <c r="DK24" s="144"/>
      <c r="DL24" s="144"/>
      <c r="DM24" s="144"/>
      <c r="DN24" s="144"/>
      <c r="DO24" s="144"/>
      <c r="DP24" s="144"/>
      <c r="DQ24" s="144"/>
      <c r="DR24" s="144"/>
      <c r="DS24" s="144"/>
      <c r="DT24" s="144"/>
      <c r="DZ24" s="795"/>
      <c r="EA24" s="796"/>
      <c r="EB24" s="797"/>
      <c r="EC24" s="826"/>
      <c r="ED24" s="816" t="s">
        <v>827</v>
      </c>
      <c r="EE24" s="816"/>
      <c r="EF24" s="816"/>
      <c r="EG24" s="816"/>
      <c r="EH24" s="816"/>
      <c r="EI24" s="816"/>
      <c r="EJ24" s="816"/>
      <c r="EK24" s="816"/>
      <c r="EL24" s="816"/>
      <c r="EM24" s="816"/>
      <c r="EN24" s="816"/>
      <c r="EO24" s="816"/>
      <c r="EP24" s="685"/>
      <c r="EQ24" s="923">
        <v>1.45</v>
      </c>
      <c r="ER24" s="924"/>
      <c r="ES24" s="759" t="s">
        <v>18</v>
      </c>
      <c r="ET24" s="760"/>
      <c r="EU24" s="712"/>
      <c r="EV24" s="716" t="s">
        <v>922</v>
      </c>
      <c r="EW24" s="717"/>
      <c r="EX24" s="746"/>
      <c r="FB24" s="144"/>
      <c r="FC24" s="144"/>
      <c r="FD24" s="144"/>
      <c r="FE24" s="144"/>
      <c r="FF24" s="144"/>
      <c r="FG24" s="144"/>
      <c r="FH24" s="144"/>
      <c r="FK24" s="144"/>
      <c r="FL24" s="144"/>
      <c r="FM24" s="144"/>
      <c r="GF24" s="795"/>
      <c r="GG24" s="796"/>
      <c r="GH24" s="797"/>
      <c r="GI24" s="826"/>
      <c r="GJ24" s="700" t="s">
        <v>1050</v>
      </c>
      <c r="GK24" s="701"/>
      <c r="GL24" s="701"/>
      <c r="GM24" s="701"/>
      <c r="GN24" s="701"/>
      <c r="GO24" s="701"/>
      <c r="GP24" s="701"/>
      <c r="GQ24" s="701"/>
      <c r="GR24" s="701"/>
      <c r="GS24" s="701"/>
      <c r="GT24" s="701"/>
      <c r="GU24" s="701"/>
      <c r="GV24" s="701"/>
      <c r="GW24" s="1441">
        <v>58</v>
      </c>
      <c r="GX24" s="1442"/>
      <c r="GY24" s="849" t="s">
        <v>758</v>
      </c>
      <c r="GZ24" s="850"/>
      <c r="HA24" s="712"/>
      <c r="HB24" s="740" t="s">
        <v>1053</v>
      </c>
      <c r="HC24" s="742"/>
      <c r="HD24" s="746"/>
      <c r="IE24" s="144"/>
      <c r="IF24" s="144"/>
      <c r="IG24" s="144"/>
      <c r="IH24" s="144"/>
      <c r="II24" s="144"/>
      <c r="IJ24" s="144"/>
      <c r="IR24" s="768"/>
      <c r="IS24" s="247" t="s">
        <v>1128</v>
      </c>
      <c r="IT24" s="672">
        <f>$AZ$86</f>
        <v>0.13</v>
      </c>
      <c r="IU24" s="672"/>
      <c r="IV24" s="930"/>
      <c r="IW24" s="931"/>
      <c r="IX24" s="931"/>
      <c r="IY24" s="951"/>
      <c r="IZ24" s="706"/>
      <c r="JA24" s="707"/>
      <c r="JB24" s="707"/>
      <c r="JC24" s="707"/>
      <c r="JD24" s="707"/>
      <c r="JE24" s="708"/>
      <c r="JF24" s="1022"/>
      <c r="JG24" s="1023"/>
      <c r="JH24" s="1023"/>
      <c r="JI24" s="1023"/>
      <c r="JJ24" s="1023"/>
      <c r="JK24" s="1023"/>
      <c r="JL24" s="1023"/>
      <c r="JM24" s="1024"/>
      <c r="JN24" s="768"/>
      <c r="JO24" s="768"/>
      <c r="JP24" s="768"/>
      <c r="JQ24" s="768"/>
      <c r="JR24" s="768"/>
      <c r="JS24" s="768"/>
      <c r="LD24" s="144"/>
      <c r="LE24" s="144"/>
      <c r="LF24" s="144"/>
      <c r="LG24" s="144"/>
      <c r="LH24" s="144"/>
      <c r="LI24" s="144"/>
      <c r="LJ24" s="144"/>
      <c r="LK24" s="144"/>
      <c r="LL24" s="863" t="s">
        <v>1197</v>
      </c>
      <c r="LM24" s="863"/>
      <c r="LN24" s="677">
        <f>$EN$49</f>
        <v>26.688160557818726</v>
      </c>
      <c r="LO24" s="677"/>
      <c r="LZ24" s="827"/>
      <c r="MA24" s="949" t="s">
        <v>774</v>
      </c>
      <c r="MB24" s="962"/>
      <c r="MC24" s="848">
        <f>CO56</f>
        <v>1</v>
      </c>
      <c r="MD24" s="848"/>
      <c r="ME24" s="377" t="s">
        <v>1333</v>
      </c>
      <c r="MF24" s="828">
        <f>MN27</f>
        <v>57.242496869534833</v>
      </c>
      <c r="MG24" s="828"/>
      <c r="MH24" s="944"/>
      <c r="MI24" s="944"/>
      <c r="MJ24" s="944"/>
      <c r="MK24" s="944"/>
      <c r="ML24" s="944"/>
      <c r="MM24" s="1004"/>
      <c r="MN24" s="765"/>
      <c r="MO24" s="766"/>
      <c r="MP24" s="897"/>
      <c r="MQ24" s="898"/>
      <c r="MR24" s="713"/>
      <c r="MS24" s="743"/>
      <c r="MT24" s="745"/>
      <c r="MU24" s="747"/>
      <c r="MV24" s="892"/>
      <c r="MW24" s="893"/>
      <c r="MX24" s="894"/>
      <c r="PF24" s="403"/>
      <c r="PG24" s="399"/>
      <c r="PH24" s="55"/>
      <c r="PI24" s="399"/>
      <c r="PJ24" s="767"/>
      <c r="PK24" s="863" t="s">
        <v>1221</v>
      </c>
      <c r="PL24" s="863"/>
      <c r="PM24" s="677">
        <f>$JF$22</f>
        <v>1.8967534036424591</v>
      </c>
      <c r="PN24" s="677"/>
      <c r="PO24" s="568" t="s">
        <v>451</v>
      </c>
      <c r="PP24" s="843">
        <f>$QA$57</f>
        <v>1.5</v>
      </c>
      <c r="PQ24" s="843"/>
      <c r="PR24" s="939" t="s">
        <v>1699</v>
      </c>
      <c r="PS24" s="940"/>
      <c r="PT24" s="940"/>
      <c r="PU24" s="940"/>
      <c r="PV24" s="940"/>
      <c r="PW24" s="1003"/>
      <c r="PX24" s="752">
        <f>PP23*(PP25/50)*(PP26^2*PM26+PM24*PM25)</f>
        <v>175.04589782088985</v>
      </c>
      <c r="PY24" s="753"/>
      <c r="PZ24" s="1258" t="s">
        <v>3</v>
      </c>
      <c r="QA24" s="1259"/>
      <c r="QB24" s="978"/>
      <c r="QC24" s="1245" t="s">
        <v>1682</v>
      </c>
      <c r="QD24" s="1245"/>
      <c r="QE24" s="1245"/>
      <c r="QF24" s="1085"/>
      <c r="QG24" s="767"/>
      <c r="QH24" s="767"/>
      <c r="QI24" s="767"/>
      <c r="QJ24" s="767"/>
      <c r="QK24" s="767"/>
      <c r="QL24" s="767"/>
      <c r="QM24" s="767"/>
      <c r="QN24" s="767"/>
      <c r="QO24" s="767"/>
      <c r="QP24" s="767"/>
      <c r="QQ24" s="767"/>
      <c r="QR24" s="767"/>
      <c r="QS24" s="767"/>
      <c r="QT24" s="767"/>
      <c r="QU24" s="767"/>
      <c r="QV24" s="399"/>
      <c r="QW24" s="399"/>
      <c r="QX24" s="399"/>
      <c r="QY24" s="399"/>
      <c r="QZ24" s="399"/>
      <c r="RA24" s="400"/>
      <c r="RC24" s="369">
        <v>6</v>
      </c>
      <c r="RD24" s="668">
        <v>6.0000000000000001E-3</v>
      </c>
      <c r="RE24" s="669"/>
      <c r="RF24" s="670">
        <f t="shared" si="11"/>
        <v>113.50528827513259</v>
      </c>
      <c r="RG24" s="670"/>
      <c r="RH24" s="670"/>
      <c r="RI24" s="670"/>
      <c r="RJ24" s="698">
        <f t="shared" si="12"/>
        <v>30</v>
      </c>
      <c r="RK24" s="699"/>
      <c r="RL24" s="726"/>
      <c r="RM24" s="670">
        <f t="shared" si="13"/>
        <v>113.69378944534903</v>
      </c>
      <c r="RN24" s="670"/>
      <c r="RO24" s="670"/>
      <c r="RP24" s="670"/>
      <c r="RQ24" s="670"/>
      <c r="RR24" s="670"/>
      <c r="RS24" s="671">
        <f t="shared" si="6"/>
        <v>1.560804663639157</v>
      </c>
      <c r="RT24" s="671"/>
      <c r="RU24" s="671"/>
      <c r="RV24" s="671"/>
      <c r="RW24" s="671"/>
      <c r="RX24" s="671"/>
      <c r="RY24" s="681">
        <f t="shared" si="14"/>
        <v>113.70450241587355</v>
      </c>
      <c r="RZ24" s="681"/>
      <c r="SA24" s="681"/>
      <c r="SB24" s="681"/>
      <c r="SC24" s="681">
        <f>'Вывод расчетов'!$AQ$6/RY24</f>
        <v>3.3419960681077714</v>
      </c>
      <c r="SD24" s="681"/>
      <c r="SE24" s="681"/>
      <c r="SF24" s="681"/>
      <c r="SG24" s="867">
        <f t="shared" si="15"/>
        <v>0.99990578235428762</v>
      </c>
      <c r="SH24" s="867"/>
      <c r="SI24" s="867"/>
      <c r="SJ24" s="867"/>
      <c r="SK24" s="874">
        <f t="shared" si="16"/>
        <v>1.3726850128858778E-2</v>
      </c>
      <c r="SL24" s="875"/>
      <c r="SM24" s="875"/>
      <c r="SN24" s="876"/>
      <c r="SO24" s="692">
        <f t="shared" si="17"/>
        <v>3.692003634237504</v>
      </c>
      <c r="SP24" s="693"/>
      <c r="SQ24" s="693"/>
      <c r="SR24" s="693"/>
      <c r="SS24" s="694"/>
      <c r="ST24" s="668">
        <f t="shared" si="18"/>
        <v>11.027951841154145</v>
      </c>
      <c r="SU24" s="678"/>
      <c r="SV24" s="678"/>
      <c r="SW24" s="678"/>
      <c r="SX24" s="678"/>
      <c r="SY24" s="669"/>
      <c r="SZ24" s="682">
        <f t="shared" si="19"/>
        <v>11.62955771497945</v>
      </c>
      <c r="TA24" s="683"/>
      <c r="TB24" s="683"/>
      <c r="TC24" s="683"/>
      <c r="TD24" s="683"/>
      <c r="TE24" s="684"/>
      <c r="TF24" s="682">
        <f>'Вывод расчетов'!$XC$174*SC24</f>
        <v>3.3952194216101801</v>
      </c>
      <c r="TG24" s="683"/>
      <c r="TH24" s="684"/>
      <c r="TI24" s="670">
        <f t="shared" si="20"/>
        <v>4.2088841430307546</v>
      </c>
      <c r="TJ24" s="670"/>
      <c r="TK24" s="670"/>
      <c r="TL24" s="670"/>
      <c r="TM24" s="685">
        <f t="shared" si="21"/>
        <v>7.528349800659323E-2</v>
      </c>
      <c r="TN24" s="686"/>
      <c r="TO24" s="686"/>
      <c r="TP24" s="687"/>
      <c r="TQ24" s="688">
        <f t="shared" si="22"/>
        <v>2.2819202919904025E-2</v>
      </c>
      <c r="TR24" s="688"/>
      <c r="TS24" s="688"/>
      <c r="TT24" s="688"/>
      <c r="TU24" s="874">
        <f t="shared" si="23"/>
        <v>2.1355629482067116E-2</v>
      </c>
      <c r="TV24" s="875"/>
      <c r="TW24" s="875"/>
      <c r="TX24" s="875"/>
      <c r="TY24" s="875"/>
      <c r="TZ24" s="876"/>
      <c r="UA24" s="756">
        <v>6.0000000000000001E-3</v>
      </c>
      <c r="UB24" s="756"/>
      <c r="UC24" s="650">
        <v>0.06</v>
      </c>
      <c r="UD24" s="866">
        <f t="shared" si="7"/>
        <v>0.9997451462359781</v>
      </c>
      <c r="UE24" s="866"/>
      <c r="UF24" s="866"/>
      <c r="UG24" s="866"/>
      <c r="UH24" s="866"/>
      <c r="UI24" s="866"/>
      <c r="UJ24" s="866"/>
      <c r="UK24" s="670">
        <f t="shared" si="8"/>
        <v>3.2091389967947768</v>
      </c>
      <c r="UL24" s="670"/>
      <c r="UM24" s="670"/>
      <c r="UN24" s="670"/>
      <c r="UO24" s="688">
        <f t="shared" si="9"/>
        <v>0.76246788643697938</v>
      </c>
      <c r="UP24" s="688"/>
      <c r="UQ24" s="688"/>
      <c r="UR24" s="688"/>
      <c r="US24" s="866">
        <f t="shared" si="10"/>
        <v>0.31746724378709773</v>
      </c>
      <c r="UT24" s="866"/>
      <c r="UU24" s="866"/>
      <c r="UV24" s="866"/>
      <c r="UW24" s="866"/>
      <c r="WC24" s="941"/>
      <c r="WD24" s="942"/>
      <c r="WE24" s="942"/>
      <c r="WF24" s="942"/>
      <c r="WG24" s="942"/>
      <c r="WH24" s="1238"/>
      <c r="WI24" s="183"/>
      <c r="WJ24" s="184"/>
      <c r="WK24" s="184"/>
      <c r="WL24" s="184"/>
      <c r="WM24" s="184"/>
      <c r="WN24" s="186"/>
      <c r="WO24" s="880"/>
      <c r="WP24" s="880"/>
      <c r="WQ24" s="1033"/>
      <c r="WR24" s="1033"/>
      <c r="WS24" s="1034"/>
      <c r="WT24" s="1034"/>
      <c r="WU24" s="1034"/>
      <c r="WV24" s="1034"/>
      <c r="WW24" s="1034"/>
      <c r="WX24" s="1034"/>
      <c r="WY24" s="1034"/>
      <c r="WZ24" s="1034"/>
      <c r="XA24" s="1034"/>
      <c r="XB24" s="1034"/>
      <c r="XC24" s="1034"/>
      <c r="XD24" s="1034"/>
      <c r="XE24" s="1049"/>
      <c r="XF24" s="1049"/>
      <c r="XG24" s="1049"/>
      <c r="XH24" s="172"/>
      <c r="XI24" s="177"/>
      <c r="ZI24" s="144"/>
      <c r="ZJ24" s="144"/>
      <c r="ZK24" s="144"/>
      <c r="ZZ24" s="144"/>
      <c r="AAA24" s="144"/>
      <c r="AAB24" s="144"/>
      <c r="AAC24" s="144"/>
      <c r="AAD24" s="947"/>
      <c r="AAE24" s="947"/>
      <c r="AAF24" s="947"/>
      <c r="AAG24" s="947"/>
      <c r="AAH24" s="465">
        <v>14</v>
      </c>
      <c r="AAI24" s="956"/>
      <c r="AAJ24" s="957"/>
      <c r="AAK24" s="956"/>
      <c r="AAL24" s="957"/>
      <c r="AAM24" s="958">
        <f t="shared" si="5"/>
        <v>0.18666666666666668</v>
      </c>
      <c r="AAN24" s="959"/>
      <c r="AAP24" s="947"/>
      <c r="AAQ24" s="947"/>
      <c r="AAR24" s="947"/>
      <c r="AAS24" s="947"/>
      <c r="AAT24" s="465">
        <v>74</v>
      </c>
      <c r="AAU24" s="956"/>
      <c r="AAV24" s="957"/>
      <c r="AAW24" s="956"/>
      <c r="AAX24" s="957"/>
      <c r="AAY24" s="958">
        <f t="shared" si="1"/>
        <v>0.98666666666666669</v>
      </c>
      <c r="AAZ24" s="959"/>
      <c r="ABB24" s="947"/>
      <c r="ABC24" s="947"/>
      <c r="ABD24" s="947"/>
      <c r="ABE24" s="947"/>
      <c r="ABF24" s="465">
        <v>134</v>
      </c>
      <c r="ABG24" s="956"/>
      <c r="ABH24" s="957"/>
      <c r="ABI24" s="956"/>
      <c r="ABJ24" s="957"/>
      <c r="ABK24" s="958">
        <f t="shared" si="2"/>
        <v>1.7866666666666668</v>
      </c>
      <c r="ABL24" s="959"/>
      <c r="ABN24" s="947"/>
      <c r="ABO24" s="947"/>
      <c r="ABP24" s="947"/>
      <c r="ABQ24" s="947"/>
      <c r="ABR24" s="465">
        <v>194</v>
      </c>
      <c r="ABS24" s="956"/>
      <c r="ABT24" s="957"/>
      <c r="ABU24" s="956"/>
      <c r="ABV24" s="957"/>
      <c r="ABW24" s="958">
        <f t="shared" si="3"/>
        <v>2.5866666666666669</v>
      </c>
      <c r="ABX24" s="959"/>
      <c r="ABZ24" s="947"/>
      <c r="ACA24" s="947"/>
      <c r="ACB24" s="947"/>
      <c r="ACC24" s="947"/>
      <c r="ACD24" s="465">
        <v>254</v>
      </c>
      <c r="ACE24" s="956"/>
      <c r="ACF24" s="957"/>
      <c r="ACG24" s="956"/>
      <c r="ACH24" s="957"/>
      <c r="ACI24" s="958">
        <f t="shared" si="4"/>
        <v>3.3866666666666667</v>
      </c>
      <c r="ACJ24" s="959"/>
      <c r="ADB24" s="1033"/>
      <c r="ADC24" s="1033"/>
      <c r="ADD24" s="187"/>
      <c r="ADE24" s="187"/>
      <c r="ADF24" s="187"/>
      <c r="ADG24" s="187"/>
      <c r="ADH24" s="187"/>
      <c r="ADI24" s="188"/>
      <c r="ADJ24" s="1071"/>
      <c r="ADK24" s="1071"/>
      <c r="ADL24" s="1052"/>
      <c r="ADM24" s="1052"/>
      <c r="ADN24" s="1052"/>
      <c r="ADO24" s="1052"/>
      <c r="ADP24" s="1052"/>
      <c r="ADQ24" s="1052"/>
      <c r="ADR24" s="1052"/>
      <c r="ADS24" s="1052"/>
      <c r="ADT24" s="1052"/>
      <c r="ADU24" s="1052"/>
      <c r="ADV24" s="1052"/>
      <c r="ADW24" s="1052"/>
      <c r="ADX24" s="859"/>
      <c r="ADY24" s="1016"/>
      <c r="ADZ24" s="1016"/>
      <c r="AEA24" s="1016"/>
      <c r="AEB24" s="1016"/>
      <c r="AEC24" s="1016"/>
      <c r="AED24" s="1016"/>
      <c r="AEE24" s="1016"/>
      <c r="AEF24" s="1016"/>
      <c r="AEG24" s="1016"/>
      <c r="AEH24" s="1016"/>
      <c r="AEI24" s="1016"/>
      <c r="AEJ24" s="1016"/>
      <c r="AEK24" s="860"/>
      <c r="AEM24" s="1386"/>
      <c r="AEN24" s="1386"/>
      <c r="AEO24" s="1386"/>
      <c r="AEP24" s="1386"/>
      <c r="AEQ24" s="1386"/>
      <c r="AER24" s="1386"/>
      <c r="AES24" s="1386"/>
      <c r="AET24" s="1386"/>
      <c r="AEU24" s="1386"/>
      <c r="AEV24" s="1386"/>
      <c r="AEW24" s="1386"/>
      <c r="AEX24" s="1386"/>
      <c r="AEY24" s="1386"/>
      <c r="AEZ24" s="1386"/>
      <c r="AFA24" s="1386"/>
      <c r="AFC24" s="1386"/>
      <c r="AFD24" s="1386"/>
      <c r="AFE24" s="1386"/>
      <c r="AFF24" s="1386"/>
      <c r="AFG24" s="1386"/>
      <c r="AFH24" s="1386"/>
      <c r="AFI24" s="1386"/>
      <c r="AFJ24" s="1386"/>
      <c r="AFK24" s="1386"/>
      <c r="AFL24" s="1386"/>
      <c r="AFM24" s="1386"/>
      <c r="AFN24" s="144"/>
      <c r="AFO24" s="144"/>
      <c r="AHO24" s="144"/>
      <c r="AMT24" s="825"/>
      <c r="AMU24" s="147" t="s">
        <v>442</v>
      </c>
      <c r="AMV24" s="148"/>
      <c r="AMW24" s="152"/>
      <c r="AMX24" s="87"/>
      <c r="AMY24" s="87"/>
      <c r="AMZ24" s="87"/>
      <c r="ANA24" s="87"/>
      <c r="ANB24" s="87"/>
      <c r="ANC24" s="87"/>
      <c r="AND24" s="152"/>
      <c r="ANE24" s="85" t="s">
        <v>467</v>
      </c>
      <c r="ANF24" s="757" t="s">
        <v>461</v>
      </c>
      <c r="ANG24" s="758"/>
      <c r="ANH24" s="819" t="s">
        <v>126</v>
      </c>
      <c r="ANI24" s="820"/>
      <c r="ANJ24" s="675" t="s">
        <v>731</v>
      </c>
      <c r="ANK24" s="676"/>
      <c r="ANL24" s="821" t="s">
        <v>473</v>
      </c>
      <c r="ANM24" s="822"/>
      <c r="ANN24" s="822"/>
      <c r="ANO24" s="823"/>
    </row>
    <row r="25" spans="1:1022 1034:1055" ht="48" customHeight="1" thickBot="1">
      <c r="A25" s="144"/>
      <c r="B25" s="144"/>
      <c r="C25" s="144"/>
      <c r="D25" s="652">
        <v>6</v>
      </c>
      <c r="E25" s="868" t="s">
        <v>1027</v>
      </c>
      <c r="F25" s="869"/>
      <c r="G25" s="869"/>
      <c r="H25" s="869"/>
      <c r="I25" s="869"/>
      <c r="J25" s="869"/>
      <c r="K25" s="869"/>
      <c r="L25" s="869"/>
      <c r="M25" s="869"/>
      <c r="N25" s="869"/>
      <c r="O25" s="869"/>
      <c r="P25" s="869"/>
      <c r="Q25" s="869"/>
      <c r="R25" s="869"/>
      <c r="S25" s="870"/>
      <c r="AI25" s="792" t="s">
        <v>1078</v>
      </c>
      <c r="AJ25" s="793"/>
      <c r="AK25" s="794"/>
      <c r="AL25" s="792" t="s">
        <v>1079</v>
      </c>
      <c r="AM25" s="793"/>
      <c r="AN25" s="794"/>
      <c r="AO25" s="825"/>
      <c r="AP25" s="681">
        <v>1.4</v>
      </c>
      <c r="AQ25" s="681"/>
      <c r="AR25" s="101"/>
      <c r="AS25" s="87"/>
      <c r="AT25" s="87"/>
      <c r="AU25" s="87"/>
      <c r="AV25" s="87"/>
      <c r="AW25" s="87"/>
      <c r="AX25" s="85" t="s">
        <v>477</v>
      </c>
      <c r="AY25" s="598"/>
      <c r="AZ25" s="85" t="s">
        <v>467</v>
      </c>
      <c r="BA25" s="1504" t="s">
        <v>461</v>
      </c>
      <c r="BB25" s="1505"/>
      <c r="BC25" s="1130" t="s">
        <v>126</v>
      </c>
      <c r="BD25" s="1131"/>
      <c r="BE25" s="675" t="s">
        <v>731</v>
      </c>
      <c r="BF25" s="676"/>
      <c r="BG25" s="821" t="s">
        <v>473</v>
      </c>
      <c r="BH25" s="822"/>
      <c r="BI25" s="822"/>
      <c r="BJ25" s="823"/>
      <c r="BK25" s="139"/>
      <c r="BL25" s="139"/>
      <c r="BM25" s="139"/>
      <c r="BO25" s="139"/>
      <c r="BP25" s="139"/>
      <c r="BQ25" s="139"/>
      <c r="BR25" s="139"/>
      <c r="BX25" s="827"/>
      <c r="BY25" s="734"/>
      <c r="BZ25" s="735"/>
      <c r="CA25" s="735"/>
      <c r="CB25" s="735"/>
      <c r="CC25" s="735"/>
      <c r="CD25" s="735"/>
      <c r="CE25" s="735"/>
      <c r="CF25" s="735"/>
      <c r="CG25" s="735"/>
      <c r="CH25" s="735"/>
      <c r="CI25" s="735"/>
      <c r="CJ25" s="735"/>
      <c r="CK25" s="735"/>
      <c r="CL25" s="1089"/>
      <c r="CM25" s="708"/>
      <c r="CN25" s="851"/>
      <c r="CO25" s="852"/>
      <c r="CP25" s="713"/>
      <c r="CQ25" s="718"/>
      <c r="CR25" s="719"/>
      <c r="CS25" s="747"/>
      <c r="CT25" s="768"/>
      <c r="CU25" s="768"/>
      <c r="CV25" s="768"/>
      <c r="CW25" s="768"/>
      <c r="DF25" s="144"/>
      <c r="DG25" s="144"/>
      <c r="DH25" s="144"/>
      <c r="DI25" s="144"/>
      <c r="DJ25" s="144"/>
      <c r="DK25" s="144"/>
      <c r="DL25" s="144"/>
      <c r="DM25" s="144"/>
      <c r="DN25" s="144"/>
      <c r="DO25" s="144"/>
      <c r="DP25" s="144"/>
      <c r="DQ25" s="144"/>
      <c r="DR25" s="144"/>
      <c r="DS25" s="144"/>
      <c r="DT25" s="144"/>
      <c r="DZ25" s="798"/>
      <c r="EA25" s="799"/>
      <c r="EB25" s="800"/>
      <c r="EC25" s="827"/>
      <c r="ED25" s="818"/>
      <c r="EE25" s="818"/>
      <c r="EF25" s="818"/>
      <c r="EG25" s="818"/>
      <c r="EH25" s="818"/>
      <c r="EI25" s="818"/>
      <c r="EJ25" s="818"/>
      <c r="EK25" s="818"/>
      <c r="EL25" s="818"/>
      <c r="EM25" s="818"/>
      <c r="EN25" s="818"/>
      <c r="EO25" s="818"/>
      <c r="EP25" s="1106"/>
      <c r="EQ25" s="925"/>
      <c r="ER25" s="926"/>
      <c r="ES25" s="761"/>
      <c r="ET25" s="762"/>
      <c r="EU25" s="713"/>
      <c r="EV25" s="718"/>
      <c r="EW25" s="719"/>
      <c r="EX25" s="747"/>
      <c r="FB25" s="144"/>
      <c r="FC25" s="144"/>
      <c r="FD25" s="144"/>
      <c r="FE25" s="144"/>
      <c r="FF25" s="144"/>
      <c r="FG25" s="144"/>
      <c r="FH25" s="144"/>
      <c r="FI25" s="144"/>
      <c r="FJ25" s="144"/>
      <c r="FK25" s="144"/>
      <c r="FL25" s="144"/>
      <c r="FM25" s="144"/>
      <c r="GF25" s="798"/>
      <c r="GG25" s="799"/>
      <c r="GH25" s="800"/>
      <c r="GI25" s="827"/>
      <c r="GJ25" s="706"/>
      <c r="GK25" s="707"/>
      <c r="GL25" s="707"/>
      <c r="GM25" s="707"/>
      <c r="GN25" s="707"/>
      <c r="GO25" s="707"/>
      <c r="GP25" s="707"/>
      <c r="GQ25" s="707"/>
      <c r="GR25" s="707"/>
      <c r="GS25" s="707"/>
      <c r="GT25" s="707"/>
      <c r="GU25" s="707"/>
      <c r="GV25" s="707"/>
      <c r="GW25" s="1443"/>
      <c r="GX25" s="1444"/>
      <c r="GY25" s="851"/>
      <c r="GZ25" s="852"/>
      <c r="HA25" s="713"/>
      <c r="HB25" s="743"/>
      <c r="HC25" s="745"/>
      <c r="HD25" s="747"/>
      <c r="HM25" s="591" t="s">
        <v>231</v>
      </c>
      <c r="HN25" s="698">
        <f>$BC$26</f>
        <v>180</v>
      </c>
      <c r="HO25" s="726"/>
      <c r="LD25" s="144"/>
      <c r="LE25" s="144"/>
      <c r="LF25" s="144"/>
      <c r="LG25" s="144"/>
      <c r="LH25" s="144"/>
      <c r="LI25" s="144"/>
      <c r="LJ25" s="144"/>
      <c r="LK25" s="144"/>
      <c r="LL25" s="144"/>
      <c r="LM25" s="144"/>
      <c r="LN25" s="144"/>
      <c r="LO25" s="144"/>
      <c r="OF25" s="792" t="s">
        <v>1014</v>
      </c>
      <c r="OG25" s="793"/>
      <c r="OH25" s="794"/>
      <c r="OI25" s="144"/>
      <c r="OJ25" s="792" t="s">
        <v>1013</v>
      </c>
      <c r="OK25" s="793"/>
      <c r="OL25" s="794"/>
      <c r="ON25" s="792" t="s">
        <v>1078</v>
      </c>
      <c r="OO25" s="793"/>
      <c r="OP25" s="794"/>
      <c r="OR25" s="792" t="s">
        <v>1079</v>
      </c>
      <c r="OS25" s="793"/>
      <c r="OT25" s="794"/>
      <c r="PF25" s="403"/>
      <c r="PG25" s="399"/>
      <c r="PH25" s="55"/>
      <c r="PI25" s="399"/>
      <c r="PJ25" s="767"/>
      <c r="PK25" s="885" t="s">
        <v>1701</v>
      </c>
      <c r="PL25" s="885"/>
      <c r="PM25" s="843">
        <f>$PX$53</f>
        <v>36.914845648303633</v>
      </c>
      <c r="PN25" s="843"/>
      <c r="PO25" s="561" t="s">
        <v>1370</v>
      </c>
      <c r="PP25" s="724">
        <f>$AQ$7</f>
        <v>50</v>
      </c>
      <c r="PQ25" s="724"/>
      <c r="PR25" s="941"/>
      <c r="PS25" s="942"/>
      <c r="PT25" s="942"/>
      <c r="PU25" s="942"/>
      <c r="PV25" s="942"/>
      <c r="PW25" s="1011"/>
      <c r="PX25" s="998"/>
      <c r="PY25" s="999"/>
      <c r="PZ25" s="1260"/>
      <c r="QA25" s="1261"/>
      <c r="QB25" s="712"/>
      <c r="QC25" s="1418"/>
      <c r="QD25" s="1418"/>
      <c r="QE25" s="1418"/>
      <c r="QF25" s="746"/>
      <c r="QG25" s="767"/>
      <c r="QH25" s="767"/>
      <c r="QI25" s="767"/>
      <c r="QJ25" s="767"/>
      <c r="QK25" s="767"/>
      <c r="QL25" s="767"/>
      <c r="QM25" s="767"/>
      <c r="QN25" s="767"/>
      <c r="QO25" s="767"/>
      <c r="QP25" s="767"/>
      <c r="QQ25" s="767"/>
      <c r="QR25" s="767"/>
      <c r="QS25" s="767"/>
      <c r="QT25" s="767"/>
      <c r="QU25" s="767"/>
      <c r="QV25" s="399"/>
      <c r="QW25" s="399"/>
      <c r="QX25" s="399"/>
      <c r="QY25" s="399"/>
      <c r="QZ25" s="399"/>
      <c r="RA25" s="400"/>
      <c r="RC25" s="369">
        <v>7</v>
      </c>
      <c r="RD25" s="668">
        <v>7.0000000000000001E-3</v>
      </c>
      <c r="RE25" s="669"/>
      <c r="RF25" s="670">
        <f t="shared" si="11"/>
        <v>97.290247092970787</v>
      </c>
      <c r="RG25" s="670"/>
      <c r="RH25" s="670"/>
      <c r="RI25" s="670"/>
      <c r="RJ25" s="698">
        <f t="shared" si="12"/>
        <v>30</v>
      </c>
      <c r="RK25" s="699"/>
      <c r="RL25" s="726"/>
      <c r="RM25" s="670">
        <f t="shared" si="13"/>
        <v>97.478748263187228</v>
      </c>
      <c r="RN25" s="670"/>
      <c r="RO25" s="670"/>
      <c r="RP25" s="670"/>
      <c r="RQ25" s="670"/>
      <c r="RR25" s="670"/>
      <c r="RS25" s="671">
        <f t="shared" si="6"/>
        <v>1.560804663639157</v>
      </c>
      <c r="RT25" s="671"/>
      <c r="RU25" s="671"/>
      <c r="RV25" s="671"/>
      <c r="RW25" s="671"/>
      <c r="RX25" s="671"/>
      <c r="RY25" s="681">
        <f t="shared" si="14"/>
        <v>97.491243063958649</v>
      </c>
      <c r="RZ25" s="681"/>
      <c r="SA25" s="681"/>
      <c r="SB25" s="681"/>
      <c r="SC25" s="681">
        <f>'Вывод расчетов'!$AQ$6/RY25</f>
        <v>3.8977859760255891</v>
      </c>
      <c r="SD25" s="681"/>
      <c r="SE25" s="681"/>
      <c r="SF25" s="681"/>
      <c r="SG25" s="867">
        <f t="shared" si="15"/>
        <v>0.999871836686263</v>
      </c>
      <c r="SH25" s="867"/>
      <c r="SI25" s="867"/>
      <c r="SJ25" s="867"/>
      <c r="SK25" s="874">
        <f t="shared" si="16"/>
        <v>1.6009690866442217E-2</v>
      </c>
      <c r="SL25" s="875"/>
      <c r="SM25" s="875"/>
      <c r="SN25" s="876"/>
      <c r="SO25" s="692">
        <f t="shared" si="17"/>
        <v>4.2476088639899139</v>
      </c>
      <c r="SP25" s="693"/>
      <c r="SQ25" s="693"/>
      <c r="SR25" s="693"/>
      <c r="SS25" s="694"/>
      <c r="ST25" s="668">
        <f t="shared" ref="ST25:ST88" si="24">$SX$14+SC25*SK25</f>
        <v>11.044479110535718</v>
      </c>
      <c r="SU25" s="678"/>
      <c r="SV25" s="678"/>
      <c r="SW25" s="678"/>
      <c r="SX25" s="678"/>
      <c r="SY25" s="669"/>
      <c r="SZ25" s="682">
        <f t="shared" si="19"/>
        <v>11.833118772517476</v>
      </c>
      <c r="TA25" s="683"/>
      <c r="TB25" s="683"/>
      <c r="TC25" s="683"/>
      <c r="TD25" s="683"/>
      <c r="TE25" s="684"/>
      <c r="TF25" s="682">
        <f>'Вывод расчетов'!$XC$174*SC25</f>
        <v>3.959860627416846</v>
      </c>
      <c r="TG25" s="683"/>
      <c r="TH25" s="684"/>
      <c r="TI25" s="682">
        <f t="shared" ref="TI25:TI56" si="25">(3*$AQ$6*SO25)/1000</f>
        <v>4.8422741049485021</v>
      </c>
      <c r="TJ25" s="683"/>
      <c r="TK25" s="683"/>
      <c r="TL25" s="684"/>
      <c r="TM25" s="685">
        <f t="shared" si="21"/>
        <v>7.7942052975637124E-2</v>
      </c>
      <c r="TN25" s="686"/>
      <c r="TO25" s="686"/>
      <c r="TP25" s="687"/>
      <c r="TQ25" s="688">
        <f t="shared" si="22"/>
        <v>3.1040204837521825E-2</v>
      </c>
      <c r="TR25" s="688"/>
      <c r="TS25" s="688"/>
      <c r="TT25" s="688"/>
      <c r="TU25" s="874">
        <f t="shared" si="23"/>
        <v>2.2109780343543259E-2</v>
      </c>
      <c r="TV25" s="875"/>
      <c r="TW25" s="875"/>
      <c r="TX25" s="875"/>
      <c r="TY25" s="875"/>
      <c r="TZ25" s="876"/>
      <c r="UA25" s="679">
        <v>7.0000000000000001E-3</v>
      </c>
      <c r="UB25" s="680"/>
      <c r="UC25" s="650">
        <v>7.0000000000000007E-2</v>
      </c>
      <c r="UD25" s="866">
        <f t="shared" si="7"/>
        <v>1.0113788539841158</v>
      </c>
      <c r="UE25" s="866"/>
      <c r="UF25" s="866"/>
      <c r="UG25" s="866"/>
      <c r="UH25" s="866"/>
      <c r="UI25" s="866"/>
      <c r="UJ25" s="866"/>
      <c r="UK25" s="670">
        <f t="shared" si="8"/>
        <v>3.8308952509643861</v>
      </c>
      <c r="UL25" s="670"/>
      <c r="UM25" s="670"/>
      <c r="UN25" s="670"/>
      <c r="UO25" s="688">
        <f t="shared" si="9"/>
        <v>0.79113556315398381</v>
      </c>
      <c r="UP25" s="688"/>
      <c r="UQ25" s="688"/>
      <c r="UR25" s="688"/>
      <c r="US25" s="866">
        <f t="shared" si="10"/>
        <v>0.35895937036100939</v>
      </c>
      <c r="UT25" s="866"/>
      <c r="UU25" s="866"/>
      <c r="UV25" s="866"/>
      <c r="UW25" s="866"/>
      <c r="WC25" s="941"/>
      <c r="WD25" s="942"/>
      <c r="WE25" s="942"/>
      <c r="WF25" s="942"/>
      <c r="WG25" s="942"/>
      <c r="WH25" s="1238"/>
      <c r="WI25" s="844" t="s">
        <v>774</v>
      </c>
      <c r="WJ25" s="845"/>
      <c r="WK25" s="739">
        <f>$WR$84</f>
        <v>0.188501170216445</v>
      </c>
      <c r="WL25" s="739"/>
      <c r="WM25" s="182"/>
      <c r="WN25" s="185"/>
      <c r="WO25" s="880">
        <v>3</v>
      </c>
      <c r="WP25" s="880"/>
      <c r="WQ25" s="1033" t="s">
        <v>415</v>
      </c>
      <c r="WR25" s="1033"/>
      <c r="WS25" s="1034">
        <f>'Вывод расчетов'!$WK$25+('Вывод расчетов'!$XC$182*'Вывод расчетов'!$XC$170)/WS19</f>
        <v>34.867224525799678</v>
      </c>
      <c r="WT25" s="1034"/>
      <c r="WU25" s="1034">
        <f>'Вывод расчетов'!$WR$84+('Вывод расчетов'!$XC$182*'Вывод расчетов'!$XC$170)/WU19</f>
        <v>173.58211794813261</v>
      </c>
      <c r="WV25" s="1034"/>
      <c r="WW25" s="1034">
        <f>'Вывод расчетов'!$WR$84+('Вывод расчетов'!$XC$182*'Вывод расчетов'!$XC$170)/WW19</f>
        <v>115.7842456888272</v>
      </c>
      <c r="WX25" s="1034"/>
      <c r="WY25" s="1034">
        <f>'Вывод расчетов'!$WR$84+('Вывод расчетов'!$XC$182*'Вывод расчетов'!$XC$170)/WY19</f>
        <v>8.8581820091122534</v>
      </c>
      <c r="WZ25" s="1034"/>
      <c r="XA25" s="1034">
        <f>'Вывод расчетов'!$WR$84+('Вывод расчетов'!$XC$182*'Вывод расчетов'!$XC$170)/XA19</f>
        <v>7.1242458413330905</v>
      </c>
      <c r="XB25" s="1034"/>
      <c r="XC25" s="1034">
        <f>'Вывод расчетов'!$WR$84+('Вывод расчетов'!$XC$182*'Вывод расчетов'!$XC$170)/XC19</f>
        <v>5.968288396146983</v>
      </c>
      <c r="XD25" s="1034"/>
      <c r="XE25" s="181"/>
      <c r="XF25" s="182"/>
      <c r="XG25" s="182"/>
      <c r="XH25" s="185"/>
      <c r="XI25" s="177"/>
      <c r="XO25" s="214" t="s">
        <v>899</v>
      </c>
      <c r="XP25" s="665" t="s">
        <v>442</v>
      </c>
      <c r="XQ25" s="666"/>
      <c r="XR25" s="152"/>
      <c r="XS25" s="87"/>
      <c r="XT25" s="87"/>
      <c r="XU25" s="87"/>
      <c r="XV25" s="87"/>
      <c r="XW25" s="87"/>
      <c r="XX25" s="87"/>
      <c r="XY25" s="152"/>
      <c r="XZ25" s="85" t="s">
        <v>467</v>
      </c>
      <c r="YA25" s="757" t="s">
        <v>461</v>
      </c>
      <c r="YB25" s="758"/>
      <c r="YC25" s="819" t="s">
        <v>126</v>
      </c>
      <c r="YD25" s="820"/>
      <c r="YE25" s="675" t="s">
        <v>731</v>
      </c>
      <c r="YF25" s="1094"/>
      <c r="YG25" s="769" t="s">
        <v>473</v>
      </c>
      <c r="YH25" s="769"/>
      <c r="YI25" s="769"/>
      <c r="YJ25" s="769"/>
      <c r="YK25" s="769"/>
      <c r="YL25" s="769"/>
      <c r="YM25" s="769" t="s">
        <v>462</v>
      </c>
      <c r="YN25" s="769"/>
      <c r="YO25" s="769"/>
      <c r="YP25" s="769"/>
      <c r="YQ25" s="769"/>
      <c r="YR25" s="769"/>
      <c r="YS25" s="769"/>
      <c r="YT25" s="769"/>
      <c r="YU25" s="769"/>
      <c r="ZI25" s="144"/>
      <c r="ZJ25" s="144"/>
      <c r="ZK25" s="144"/>
      <c r="ZZ25" s="144"/>
      <c r="AAA25" s="144"/>
      <c r="AAB25" s="144"/>
      <c r="AAC25" s="144"/>
      <c r="AAD25" s="947"/>
      <c r="AAE25" s="947"/>
      <c r="AAF25" s="947"/>
      <c r="AAG25" s="947"/>
      <c r="AAH25" s="465">
        <v>15</v>
      </c>
      <c r="AAI25" s="956"/>
      <c r="AAJ25" s="957"/>
      <c r="AAK25" s="956"/>
      <c r="AAL25" s="957"/>
      <c r="AAM25" s="958">
        <f t="shared" si="5"/>
        <v>0.2</v>
      </c>
      <c r="AAN25" s="959"/>
      <c r="AAP25" s="947"/>
      <c r="AAQ25" s="947"/>
      <c r="AAR25" s="947"/>
      <c r="AAS25" s="947"/>
      <c r="AAT25" s="465">
        <v>75</v>
      </c>
      <c r="AAU25" s="956"/>
      <c r="AAV25" s="957"/>
      <c r="AAW25" s="956"/>
      <c r="AAX25" s="957"/>
      <c r="AAY25" s="958">
        <f t="shared" si="1"/>
        <v>1</v>
      </c>
      <c r="AAZ25" s="959"/>
      <c r="ABB25" s="947"/>
      <c r="ABC25" s="947"/>
      <c r="ABD25" s="947"/>
      <c r="ABE25" s="947"/>
      <c r="ABF25" s="465">
        <v>135</v>
      </c>
      <c r="ABG25" s="956"/>
      <c r="ABH25" s="957"/>
      <c r="ABI25" s="956"/>
      <c r="ABJ25" s="957"/>
      <c r="ABK25" s="958">
        <f t="shared" si="2"/>
        <v>1.8</v>
      </c>
      <c r="ABL25" s="959"/>
      <c r="ABN25" s="947"/>
      <c r="ABO25" s="947"/>
      <c r="ABP25" s="947"/>
      <c r="ABQ25" s="947"/>
      <c r="ABR25" s="465">
        <v>195</v>
      </c>
      <c r="ABS25" s="956"/>
      <c r="ABT25" s="957"/>
      <c r="ABU25" s="956"/>
      <c r="ABV25" s="957"/>
      <c r="ABW25" s="958">
        <f t="shared" si="3"/>
        <v>2.6</v>
      </c>
      <c r="ABX25" s="959"/>
      <c r="ABZ25" s="947"/>
      <c r="ACA25" s="947"/>
      <c r="ACB25" s="947"/>
      <c r="ACC25" s="947"/>
      <c r="ACD25" s="465">
        <v>255</v>
      </c>
      <c r="ACE25" s="956"/>
      <c r="ACF25" s="957"/>
      <c r="ACG25" s="956"/>
      <c r="ACH25" s="957"/>
      <c r="ACI25" s="958">
        <f t="shared" si="4"/>
        <v>3.4000000000000004</v>
      </c>
      <c r="ACJ25" s="959"/>
      <c r="ADB25" s="1033"/>
      <c r="ADC25" s="1033"/>
      <c r="ADD25" s="184"/>
      <c r="ADE25" s="184"/>
      <c r="ADF25" s="184"/>
      <c r="ADG25" s="184"/>
      <c r="ADH25" s="184"/>
      <c r="ADI25" s="186"/>
      <c r="ADJ25" s="1071"/>
      <c r="ADK25" s="1071"/>
      <c r="ADL25" s="1052"/>
      <c r="ADM25" s="1052"/>
      <c r="ADN25" s="1052"/>
      <c r="ADO25" s="1052"/>
      <c r="ADP25" s="1052"/>
      <c r="ADQ25" s="1052"/>
      <c r="ADR25" s="1052"/>
      <c r="ADS25" s="1052"/>
      <c r="ADT25" s="1052"/>
      <c r="ADU25" s="1052"/>
      <c r="ADV25" s="1052"/>
      <c r="ADW25" s="1052"/>
      <c r="ADX25" s="861"/>
      <c r="ADY25" s="1017"/>
      <c r="ADZ25" s="1017"/>
      <c r="AEA25" s="1017"/>
      <c r="AEB25" s="1017"/>
      <c r="AEC25" s="1017"/>
      <c r="AED25" s="1017"/>
      <c r="AEE25" s="1017"/>
      <c r="AEF25" s="1017"/>
      <c r="AEG25" s="1017"/>
      <c r="AEH25" s="1017"/>
      <c r="AEI25" s="1017"/>
      <c r="AEJ25" s="1017"/>
      <c r="AEK25" s="862"/>
      <c r="AEM25" s="1386"/>
      <c r="AEN25" s="1386"/>
      <c r="AEO25" s="1386"/>
      <c r="AEP25" s="1386"/>
      <c r="AEQ25" s="1386"/>
      <c r="AER25" s="1386"/>
      <c r="AES25" s="1386"/>
      <c r="AET25" s="1386"/>
      <c r="AEU25" s="1386"/>
      <c r="AEV25" s="1386"/>
      <c r="AEW25" s="1386"/>
      <c r="AEX25" s="1386"/>
      <c r="AEY25" s="1386"/>
      <c r="AEZ25" s="1386"/>
      <c r="AFA25" s="1386"/>
      <c r="AFC25" s="1386"/>
      <c r="AFD25" s="1386"/>
      <c r="AFE25" s="1386"/>
      <c r="AFF25" s="1386"/>
      <c r="AFG25" s="1386"/>
      <c r="AFH25" s="1386"/>
      <c r="AFI25" s="1386"/>
      <c r="AFJ25" s="1386"/>
      <c r="AFK25" s="1386"/>
      <c r="AFL25" s="1386"/>
      <c r="AFM25" s="1386"/>
      <c r="AFN25" s="144"/>
      <c r="AFO25" s="144"/>
      <c r="AHO25" s="144"/>
      <c r="AIM25" s="214" t="s">
        <v>899</v>
      </c>
      <c r="AIN25" s="147" t="s">
        <v>442</v>
      </c>
      <c r="AIO25" s="148"/>
      <c r="AIP25" s="152"/>
      <c r="AIQ25" s="87"/>
      <c r="AIR25" s="87"/>
      <c r="AIS25" s="87"/>
      <c r="AIT25" s="87"/>
      <c r="AIU25" s="87"/>
      <c r="AIV25" s="87"/>
      <c r="AIW25" s="152"/>
      <c r="AIX25" s="85" t="s">
        <v>467</v>
      </c>
      <c r="AIY25" s="757" t="s">
        <v>461</v>
      </c>
      <c r="AIZ25" s="758"/>
      <c r="AJA25" s="819" t="s">
        <v>126</v>
      </c>
      <c r="AJB25" s="820"/>
      <c r="AJC25" s="675" t="s">
        <v>731</v>
      </c>
      <c r="AJD25" s="676"/>
      <c r="AJE25" s="821" t="s">
        <v>473</v>
      </c>
      <c r="AJF25" s="822"/>
      <c r="AJG25" s="822"/>
      <c r="AJH25" s="823"/>
      <c r="AMT25" s="826"/>
      <c r="AMU25" s="816"/>
      <c r="AMV25" s="816"/>
      <c r="AMW25" s="816"/>
      <c r="AMX25" s="816"/>
      <c r="AMY25" s="816"/>
      <c r="AMZ25" s="816"/>
      <c r="ANA25" s="816"/>
      <c r="ANB25" s="816"/>
      <c r="ANC25" s="816"/>
      <c r="AND25" s="816"/>
      <c r="ANE25" s="816"/>
      <c r="ANF25" s="816"/>
      <c r="ANG25" s="816"/>
      <c r="ANH25" s="763"/>
      <c r="ANI25" s="764"/>
      <c r="ANJ25" s="1005"/>
      <c r="ANK25" s="1006"/>
      <c r="ANL25" s="712"/>
      <c r="ANM25" s="716" t="s">
        <v>442</v>
      </c>
      <c r="ANN25" s="717"/>
      <c r="ANO25" s="746"/>
    </row>
    <row r="26" spans="1:1022 1034:1055" ht="48" customHeight="1" thickBot="1">
      <c r="A26" s="144"/>
      <c r="B26" s="144"/>
      <c r="C26" s="144"/>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I26" s="795"/>
      <c r="AJ26" s="796"/>
      <c r="AK26" s="797"/>
      <c r="AL26" s="795"/>
      <c r="AM26" s="796"/>
      <c r="AN26" s="797"/>
      <c r="AO26" s="826"/>
      <c r="AP26" s="1488" t="s">
        <v>399</v>
      </c>
      <c r="AQ26" s="1489"/>
      <c r="AR26" s="1489"/>
      <c r="AS26" s="1489"/>
      <c r="AT26" s="1489"/>
      <c r="AU26" s="1489"/>
      <c r="AV26" s="1489"/>
      <c r="AW26" s="1489"/>
      <c r="AX26" s="1489"/>
      <c r="AY26" s="1489"/>
      <c r="AZ26" s="1489"/>
      <c r="BA26" s="1489"/>
      <c r="BB26" s="1490"/>
      <c r="BC26" s="1441">
        <f>AX24</f>
        <v>180</v>
      </c>
      <c r="BD26" s="1442"/>
      <c r="BE26" s="1400" t="s">
        <v>50</v>
      </c>
      <c r="BF26" s="1401"/>
      <c r="BG26" s="746"/>
      <c r="BH26" s="740" t="s">
        <v>231</v>
      </c>
      <c r="BI26" s="742"/>
      <c r="BJ26" s="746"/>
      <c r="BK26" s="139"/>
      <c r="BL26" s="139"/>
      <c r="BM26" s="139"/>
      <c r="BO26" s="139"/>
      <c r="BP26" s="139"/>
      <c r="BQ26" s="139"/>
      <c r="BR26" s="139"/>
      <c r="DF26" s="144"/>
      <c r="DG26" s="144"/>
      <c r="DH26" s="144"/>
      <c r="DI26" s="144"/>
      <c r="DJ26" s="144"/>
      <c r="DK26" s="144"/>
      <c r="DL26" s="144"/>
      <c r="DM26" s="144"/>
      <c r="DN26" s="144"/>
      <c r="DO26" s="144"/>
      <c r="DP26" s="144"/>
      <c r="DQ26" s="144"/>
      <c r="DU26" s="144"/>
      <c r="DV26" s="144"/>
      <c r="DW26" s="144"/>
      <c r="DX26" s="144"/>
      <c r="FB26" s="144"/>
      <c r="FC26" s="144"/>
      <c r="FD26" s="144"/>
      <c r="FE26" s="144"/>
      <c r="FF26" s="144"/>
      <c r="FG26" s="144"/>
      <c r="FH26" s="144"/>
      <c r="FI26" s="144"/>
      <c r="FJ26" s="144"/>
      <c r="FK26" s="144"/>
      <c r="FL26" s="144"/>
      <c r="FM26" s="144"/>
      <c r="HL26" s="144"/>
      <c r="HM26" s="144"/>
      <c r="HN26" s="144"/>
      <c r="HO26" s="144"/>
      <c r="HP26" s="144"/>
      <c r="HQ26" s="144"/>
      <c r="HR26" s="144"/>
      <c r="IR26" s="767"/>
      <c r="IS26" s="665" t="s">
        <v>442</v>
      </c>
      <c r="IT26" s="667"/>
      <c r="IU26" s="245"/>
      <c r="IV26" s="251" t="s">
        <v>1126</v>
      </c>
      <c r="IW26" s="698">
        <f>$FW$29</f>
        <v>6.7</v>
      </c>
      <c r="IX26" s="726"/>
      <c r="IY26" s="150"/>
      <c r="IZ26" s="87"/>
      <c r="JA26" s="87"/>
      <c r="JB26" s="150"/>
      <c r="JC26" s="85" t="s">
        <v>467</v>
      </c>
      <c r="JD26" s="757" t="s">
        <v>461</v>
      </c>
      <c r="JE26" s="899"/>
      <c r="JF26" s="819" t="s">
        <v>126</v>
      </c>
      <c r="JG26" s="820"/>
      <c r="JH26" s="675" t="s">
        <v>731</v>
      </c>
      <c r="JI26" s="676"/>
      <c r="JJ26" s="821" t="s">
        <v>473</v>
      </c>
      <c r="JK26" s="822"/>
      <c r="JL26" s="822"/>
      <c r="JM26" s="823"/>
      <c r="JN26" s="769" t="s">
        <v>462</v>
      </c>
      <c r="JO26" s="769"/>
      <c r="JP26" s="769"/>
      <c r="JQ26" s="769"/>
      <c r="JR26" s="769"/>
      <c r="LD26" s="144"/>
      <c r="LE26" s="144"/>
      <c r="LF26" s="144"/>
      <c r="LG26" s="144"/>
      <c r="LH26" s="144"/>
      <c r="LI26" s="144"/>
      <c r="LJ26" s="144"/>
      <c r="LK26" s="144"/>
      <c r="LL26" s="144"/>
      <c r="LM26" s="144"/>
      <c r="LN26" s="144"/>
      <c r="LO26" s="144"/>
      <c r="LZ26" s="85" t="s">
        <v>839</v>
      </c>
      <c r="MA26" s="665" t="s">
        <v>442</v>
      </c>
      <c r="MB26" s="666"/>
      <c r="MC26" s="370"/>
      <c r="MD26" s="87"/>
      <c r="ME26" s="87"/>
      <c r="MF26" s="87"/>
      <c r="MG26" s="87"/>
      <c r="MH26" s="87"/>
      <c r="MI26" s="87"/>
      <c r="MJ26" s="370"/>
      <c r="MK26" s="85" t="s">
        <v>467</v>
      </c>
      <c r="ML26" s="757" t="s">
        <v>461</v>
      </c>
      <c r="MM26" s="899"/>
      <c r="MN26" s="774" t="s">
        <v>126</v>
      </c>
      <c r="MO26" s="776"/>
      <c r="MP26" s="675" t="s">
        <v>731</v>
      </c>
      <c r="MQ26" s="676"/>
      <c r="MR26" s="821" t="s">
        <v>473</v>
      </c>
      <c r="MS26" s="822"/>
      <c r="MT26" s="822"/>
      <c r="MU26" s="823"/>
      <c r="MV26" s="769" t="s">
        <v>462</v>
      </c>
      <c r="MW26" s="769"/>
      <c r="MX26" s="769"/>
      <c r="MY26" s="769"/>
      <c r="OF26" s="795"/>
      <c r="OG26" s="796"/>
      <c r="OH26" s="797"/>
      <c r="OI26" s="144"/>
      <c r="OJ26" s="795"/>
      <c r="OK26" s="796"/>
      <c r="OL26" s="797"/>
      <c r="ON26" s="795"/>
      <c r="OO26" s="796"/>
      <c r="OP26" s="797"/>
      <c r="OR26" s="795"/>
      <c r="OS26" s="796"/>
      <c r="OT26" s="797"/>
      <c r="OU26" s="144"/>
      <c r="OV26" s="144"/>
      <c r="PF26" s="403"/>
      <c r="PG26" s="399"/>
      <c r="PH26" s="55"/>
      <c r="PI26" s="399"/>
      <c r="PJ26" s="768"/>
      <c r="PK26" s="709" t="s">
        <v>1700</v>
      </c>
      <c r="PL26" s="709"/>
      <c r="PM26" s="828">
        <f>$PX$49</f>
        <v>0</v>
      </c>
      <c r="PN26" s="828"/>
      <c r="PO26" s="567" t="s">
        <v>1222</v>
      </c>
      <c r="PP26" s="672">
        <f>$JF$37</f>
        <v>1.5000000000000002</v>
      </c>
      <c r="PQ26" s="672"/>
      <c r="PR26" s="943"/>
      <c r="PS26" s="944"/>
      <c r="PT26" s="944"/>
      <c r="PU26" s="944"/>
      <c r="PV26" s="944"/>
      <c r="PW26" s="1004"/>
      <c r="PX26" s="1452"/>
      <c r="PY26" s="1453"/>
      <c r="PZ26" s="1453"/>
      <c r="QA26" s="1453"/>
      <c r="QB26" s="1453"/>
      <c r="QC26" s="1453"/>
      <c r="QD26" s="1453"/>
      <c r="QE26" s="1453"/>
      <c r="QF26" s="1454"/>
      <c r="QG26" s="768"/>
      <c r="QH26" s="768"/>
      <c r="QI26" s="768"/>
      <c r="QJ26" s="768"/>
      <c r="QK26" s="768"/>
      <c r="QL26" s="768"/>
      <c r="QM26" s="768"/>
      <c r="QN26" s="768"/>
      <c r="QO26" s="768"/>
      <c r="QP26" s="768"/>
      <c r="QQ26" s="768"/>
      <c r="QR26" s="768"/>
      <c r="QS26" s="768"/>
      <c r="QT26" s="768"/>
      <c r="QU26" s="768"/>
      <c r="QV26" s="399"/>
      <c r="QW26" s="399"/>
      <c r="QX26" s="399"/>
      <c r="QY26" s="399"/>
      <c r="QZ26" s="399"/>
      <c r="RA26" s="400"/>
      <c r="RC26" s="369">
        <v>8</v>
      </c>
      <c r="RD26" s="668">
        <v>8.0000000000000002E-3</v>
      </c>
      <c r="RE26" s="669"/>
      <c r="RF26" s="670">
        <f t="shared" si="11"/>
        <v>85.128966206349432</v>
      </c>
      <c r="RG26" s="670"/>
      <c r="RH26" s="670"/>
      <c r="RI26" s="670"/>
      <c r="RJ26" s="698">
        <f t="shared" si="12"/>
        <v>30</v>
      </c>
      <c r="RK26" s="699"/>
      <c r="RL26" s="726"/>
      <c r="RM26" s="670">
        <f t="shared" si="13"/>
        <v>85.317467376565872</v>
      </c>
      <c r="RN26" s="670"/>
      <c r="RO26" s="670"/>
      <c r="RP26" s="670"/>
      <c r="RQ26" s="670"/>
      <c r="RR26" s="670"/>
      <c r="RS26" s="671">
        <f t="shared" si="6"/>
        <v>1.560804663639157</v>
      </c>
      <c r="RT26" s="671"/>
      <c r="RU26" s="671"/>
      <c r="RV26" s="671"/>
      <c r="RW26" s="671"/>
      <c r="RX26" s="671"/>
      <c r="RY26" s="681">
        <f t="shared" si="14"/>
        <v>85.331742925768367</v>
      </c>
      <c r="RZ26" s="681"/>
      <c r="SA26" s="681"/>
      <c r="SB26" s="681"/>
      <c r="SC26" s="681">
        <f>'Вывод расчетов'!$AQ$6/RY26</f>
        <v>4.453207997058831</v>
      </c>
      <c r="SD26" s="681"/>
      <c r="SE26" s="681"/>
      <c r="SF26" s="681"/>
      <c r="SG26" s="867">
        <f t="shared" si="15"/>
        <v>0.99983270528981327</v>
      </c>
      <c r="SH26" s="867"/>
      <c r="SI26" s="867"/>
      <c r="SJ26" s="867"/>
      <c r="SK26" s="874">
        <f t="shared" si="16"/>
        <v>1.8291020552538454E-2</v>
      </c>
      <c r="SL26" s="875"/>
      <c r="SM26" s="875"/>
      <c r="SN26" s="876"/>
      <c r="SO26" s="692">
        <f t="shared" si="17"/>
        <v>4.8027854400488117</v>
      </c>
      <c r="SP26" s="693"/>
      <c r="SQ26" s="693"/>
      <c r="SR26" s="693"/>
      <c r="SS26" s="694"/>
      <c r="ST26" s="668">
        <f t="shared" si="24"/>
        <v>11.063530480994926</v>
      </c>
      <c r="SU26" s="678"/>
      <c r="SV26" s="678"/>
      <c r="SW26" s="678"/>
      <c r="SX26" s="678"/>
      <c r="SY26" s="669"/>
      <c r="SZ26" s="682">
        <f t="shared" si="19"/>
        <v>12.0610304156423</v>
      </c>
      <c r="TA26" s="683"/>
      <c r="TB26" s="683"/>
      <c r="TC26" s="683"/>
      <c r="TD26" s="683"/>
      <c r="TE26" s="684"/>
      <c r="TF26" s="682">
        <f>'Вывод расчетов'!$XC$174*SC26</f>
        <v>4.5241280875128611</v>
      </c>
      <c r="TG26" s="683"/>
      <c r="TH26" s="684"/>
      <c r="TI26" s="682">
        <f t="shared" si="25"/>
        <v>5.4751754016556449</v>
      </c>
      <c r="TJ26" s="683"/>
      <c r="TK26" s="683"/>
      <c r="TL26" s="684"/>
      <c r="TM26" s="685">
        <f t="shared" si="21"/>
        <v>8.0973370823830687E-2</v>
      </c>
      <c r="TN26" s="686"/>
      <c r="TO26" s="686"/>
      <c r="TP26" s="687"/>
      <c r="TQ26" s="688">
        <f t="shared" si="22"/>
        <v>4.0516746271100967E-2</v>
      </c>
      <c r="TR26" s="688"/>
      <c r="TS26" s="688"/>
      <c r="TT26" s="688"/>
      <c r="TU26" s="874">
        <f t="shared" si="23"/>
        <v>2.2969672650921556E-2</v>
      </c>
      <c r="TV26" s="875"/>
      <c r="TW26" s="875"/>
      <c r="TX26" s="875"/>
      <c r="TY26" s="875"/>
      <c r="TZ26" s="876"/>
      <c r="UA26" s="679">
        <v>8.0000000000000002E-3</v>
      </c>
      <c r="UB26" s="680"/>
      <c r="UC26" s="650">
        <v>0.08</v>
      </c>
      <c r="UD26" s="866">
        <f t="shared" si="7"/>
        <v>1.0247466055732668</v>
      </c>
      <c r="UE26" s="866"/>
      <c r="UF26" s="866"/>
      <c r="UG26" s="866"/>
      <c r="UH26" s="866"/>
      <c r="UI26" s="866"/>
      <c r="UJ26" s="866"/>
      <c r="UK26" s="670">
        <f t="shared" si="8"/>
        <v>4.4504287960823783</v>
      </c>
      <c r="UL26" s="670"/>
      <c r="UM26" s="670"/>
      <c r="UN26" s="670"/>
      <c r="UO26" s="688">
        <f t="shared" si="9"/>
        <v>0.81283766630318499</v>
      </c>
      <c r="UP26" s="688"/>
      <c r="UQ26" s="688"/>
      <c r="UR26" s="688"/>
      <c r="US26" s="866">
        <f t="shared" si="10"/>
        <v>0.39820689232488299</v>
      </c>
      <c r="UT26" s="866"/>
      <c r="UU26" s="866"/>
      <c r="UV26" s="866"/>
      <c r="UW26" s="866"/>
      <c r="WC26" s="941"/>
      <c r="WD26" s="942"/>
      <c r="WE26" s="942"/>
      <c r="WF26" s="942"/>
      <c r="WG26" s="942"/>
      <c r="WH26" s="1238"/>
      <c r="WI26" s="846" t="s">
        <v>1769</v>
      </c>
      <c r="WJ26" s="847"/>
      <c r="WK26" s="843">
        <f>$WR$80</f>
        <v>1.0321048617733104</v>
      </c>
      <c r="WL26" s="843"/>
      <c r="WM26" s="184"/>
      <c r="WN26" s="186"/>
      <c r="WO26" s="880"/>
      <c r="WP26" s="880"/>
      <c r="WQ26" s="1033"/>
      <c r="WR26" s="1033"/>
      <c r="WS26" s="1034"/>
      <c r="WT26" s="1034"/>
      <c r="WU26" s="1034"/>
      <c r="WV26" s="1034"/>
      <c r="WW26" s="1034"/>
      <c r="WX26" s="1034"/>
      <c r="WY26" s="1034"/>
      <c r="WZ26" s="1034"/>
      <c r="XA26" s="1034"/>
      <c r="XB26" s="1034"/>
      <c r="XC26" s="1034"/>
      <c r="XD26" s="1034"/>
      <c r="XE26" s="183"/>
      <c r="XF26" s="184"/>
      <c r="XG26" s="184"/>
      <c r="XH26" s="186"/>
      <c r="XI26" s="177"/>
      <c r="XO26" s="825"/>
      <c r="XP26" s="1100" t="s">
        <v>1323</v>
      </c>
      <c r="XQ26" s="1101"/>
      <c r="XR26" s="698">
        <f>$ZJ$16</f>
        <v>1</v>
      </c>
      <c r="XS26" s="726"/>
      <c r="XT26" s="940" t="s">
        <v>1566</v>
      </c>
      <c r="XU26" s="940"/>
      <c r="XV26" s="940"/>
      <c r="XW26" s="940"/>
      <c r="XX26" s="940"/>
      <c r="XY26" s="940"/>
      <c r="XZ26" s="940"/>
      <c r="YA26" s="940"/>
      <c r="YB26" s="1003"/>
      <c r="YC26" s="763">
        <f>65.15*YC22*ZJ16</f>
        <v>0.59612250000000011</v>
      </c>
      <c r="YD26" s="764"/>
      <c r="YE26" s="1183" t="s">
        <v>50</v>
      </c>
      <c r="YF26" s="1184"/>
      <c r="YG26" s="1085"/>
      <c r="YH26" s="1092" t="s">
        <v>1568</v>
      </c>
      <c r="YI26" s="1092"/>
      <c r="YJ26" s="1092"/>
      <c r="YK26" s="1092"/>
      <c r="YL26" s="1085"/>
      <c r="YM26" s="767"/>
      <c r="YN26" s="767"/>
      <c r="YO26" s="767"/>
      <c r="YP26" s="767"/>
      <c r="YQ26" s="767"/>
      <c r="YR26" s="767"/>
      <c r="YS26" s="767"/>
      <c r="YT26" s="767"/>
      <c r="YU26" s="767"/>
      <c r="ZI26" s="144"/>
      <c r="ZJ26" s="144"/>
      <c r="ZK26" s="144"/>
      <c r="AAD26" s="947"/>
      <c r="AAE26" s="947"/>
      <c r="AAF26" s="947"/>
      <c r="AAG26" s="947"/>
      <c r="AAH26" s="465">
        <v>16</v>
      </c>
      <c r="AAI26" s="956"/>
      <c r="AAJ26" s="957"/>
      <c r="AAK26" s="956"/>
      <c r="AAL26" s="957"/>
      <c r="AAM26" s="958">
        <f t="shared" si="5"/>
        <v>0.21333333333333335</v>
      </c>
      <c r="AAN26" s="959"/>
      <c r="AAP26" s="947"/>
      <c r="AAQ26" s="947"/>
      <c r="AAR26" s="947"/>
      <c r="AAS26" s="947"/>
      <c r="AAT26" s="465">
        <v>76</v>
      </c>
      <c r="AAU26" s="956"/>
      <c r="AAV26" s="957"/>
      <c r="AAW26" s="956"/>
      <c r="AAX26" s="957"/>
      <c r="AAY26" s="958">
        <f t="shared" si="1"/>
        <v>1.0133333333333334</v>
      </c>
      <c r="AAZ26" s="959"/>
      <c r="ABB26" s="947"/>
      <c r="ABC26" s="947"/>
      <c r="ABD26" s="947"/>
      <c r="ABE26" s="947"/>
      <c r="ABF26" s="465">
        <v>136</v>
      </c>
      <c r="ABG26" s="956"/>
      <c r="ABH26" s="957"/>
      <c r="ABI26" s="956"/>
      <c r="ABJ26" s="957"/>
      <c r="ABK26" s="958">
        <f t="shared" si="2"/>
        <v>1.8133333333333335</v>
      </c>
      <c r="ABL26" s="959"/>
      <c r="ABN26" s="947"/>
      <c r="ABO26" s="947"/>
      <c r="ABP26" s="947"/>
      <c r="ABQ26" s="947"/>
      <c r="ABR26" s="465">
        <v>196</v>
      </c>
      <c r="ABS26" s="956"/>
      <c r="ABT26" s="957"/>
      <c r="ABU26" s="956"/>
      <c r="ABV26" s="957"/>
      <c r="ABW26" s="958">
        <f t="shared" si="3"/>
        <v>2.6133333333333333</v>
      </c>
      <c r="ABX26" s="959"/>
      <c r="ABZ26" s="947"/>
      <c r="ACA26" s="947"/>
      <c r="ACB26" s="947"/>
      <c r="ACC26" s="947"/>
      <c r="ACD26" s="465">
        <v>256</v>
      </c>
      <c r="ACE26" s="956"/>
      <c r="ACF26" s="957"/>
      <c r="ACG26" s="956"/>
      <c r="ACH26" s="957"/>
      <c r="ACI26" s="958">
        <f t="shared" si="4"/>
        <v>3.4133333333333336</v>
      </c>
      <c r="ACJ26" s="959"/>
      <c r="ADB26" s="1033"/>
      <c r="ADC26" s="1033"/>
      <c r="ADD26" s="182"/>
      <c r="ADE26" s="182"/>
      <c r="ADF26" s="182"/>
      <c r="ADG26" s="182"/>
      <c r="ADH26" s="1066" t="s">
        <v>1816</v>
      </c>
      <c r="ADI26" s="1067"/>
      <c r="ADJ26" s="1070" t="s">
        <v>762</v>
      </c>
      <c r="ADK26" s="1070"/>
      <c r="ADL26" s="1050">
        <v>0.5</v>
      </c>
      <c r="ADM26" s="1051"/>
      <c r="ADN26" s="1051">
        <v>0.45</v>
      </c>
      <c r="ADO26" s="1051"/>
      <c r="ADP26" s="1051">
        <v>0.4</v>
      </c>
      <c r="ADQ26" s="1051"/>
      <c r="ADR26" s="1051">
        <v>0.3</v>
      </c>
      <c r="ADS26" s="1051"/>
      <c r="ADT26" s="1051">
        <v>0.2</v>
      </c>
      <c r="ADU26" s="1051"/>
      <c r="ADV26" s="1051">
        <v>0.45</v>
      </c>
      <c r="ADW26" s="1051"/>
      <c r="ADX26" s="859"/>
      <c r="ADY26" s="1016"/>
      <c r="ADZ26" s="1016"/>
      <c r="AEA26" s="1016"/>
      <c r="AEB26" s="860"/>
      <c r="AEC26" s="172"/>
      <c r="AED26" s="172"/>
      <c r="AEE26" s="172"/>
      <c r="AEF26" s="172"/>
      <c r="AEG26" s="172"/>
      <c r="AEH26" s="172"/>
      <c r="AEI26" s="172"/>
      <c r="AEJ26" s="172"/>
      <c r="AEK26" s="177"/>
      <c r="AEM26" s="1386"/>
      <c r="AEN26" s="1386"/>
      <c r="AEO26" s="1386"/>
      <c r="AEP26" s="1386"/>
      <c r="AEQ26" s="1386"/>
      <c r="AER26" s="1386"/>
      <c r="AES26" s="1386"/>
      <c r="AET26" s="1386"/>
      <c r="AEU26" s="1386"/>
      <c r="AEV26" s="1386"/>
      <c r="AEW26" s="1386"/>
      <c r="AEX26" s="1386"/>
      <c r="AEY26" s="1386"/>
      <c r="AEZ26" s="1386"/>
      <c r="AFA26" s="1386"/>
      <c r="AFC26" s="1386"/>
      <c r="AFD26" s="1386"/>
      <c r="AFE26" s="1386"/>
      <c r="AFF26" s="1386"/>
      <c r="AFG26" s="1386"/>
      <c r="AFH26" s="1386"/>
      <c r="AFI26" s="1386"/>
      <c r="AFJ26" s="1386"/>
      <c r="AFK26" s="1386"/>
      <c r="AFL26" s="1386"/>
      <c r="AFM26" s="1386"/>
      <c r="AFN26" s="144"/>
      <c r="AFO26" s="144"/>
      <c r="AHO26" s="144"/>
      <c r="AIM26" s="825"/>
      <c r="AIN26" s="816" t="s">
        <v>402</v>
      </c>
      <c r="AIO26" s="816"/>
      <c r="AIP26" s="816"/>
      <c r="AIQ26" s="816"/>
      <c r="AIR26" s="816"/>
      <c r="AIS26" s="816"/>
      <c r="AIT26" s="816"/>
      <c r="AIU26" s="816"/>
      <c r="AIV26" s="816"/>
      <c r="AIW26" s="816"/>
      <c r="AIX26" s="816"/>
      <c r="AIY26" s="816"/>
      <c r="AIZ26" s="816"/>
      <c r="AJA26" s="752">
        <v>1.1499999999999999</v>
      </c>
      <c r="AJB26" s="753"/>
      <c r="AJC26" s="849" t="s">
        <v>762</v>
      </c>
      <c r="AJD26" s="850"/>
      <c r="AJE26" s="712"/>
      <c r="AJF26" s="740" t="s">
        <v>974</v>
      </c>
      <c r="AJG26" s="742"/>
      <c r="AJH26" s="746"/>
      <c r="AMT26" s="827"/>
      <c r="AMU26" s="818"/>
      <c r="AMV26" s="818"/>
      <c r="AMW26" s="818"/>
      <c r="AMX26" s="818"/>
      <c r="AMY26" s="818"/>
      <c r="AMZ26" s="818"/>
      <c r="ANA26" s="818"/>
      <c r="ANB26" s="818"/>
      <c r="ANC26" s="818"/>
      <c r="AND26" s="818"/>
      <c r="ANE26" s="818"/>
      <c r="ANF26" s="818"/>
      <c r="ANG26" s="818"/>
      <c r="ANH26" s="765"/>
      <c r="ANI26" s="766"/>
      <c r="ANJ26" s="706"/>
      <c r="ANK26" s="708"/>
      <c r="ANL26" s="713"/>
      <c r="ANM26" s="718"/>
      <c r="ANN26" s="719"/>
      <c r="ANO26" s="747"/>
    </row>
    <row r="27" spans="1:1022 1034:1055" ht="48" customHeight="1" thickBot="1">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I27" s="798"/>
      <c r="AJ27" s="799"/>
      <c r="AK27" s="800"/>
      <c r="AL27" s="798"/>
      <c r="AM27" s="799"/>
      <c r="AN27" s="800"/>
      <c r="AO27" s="827"/>
      <c r="AP27" s="1491"/>
      <c r="AQ27" s="805"/>
      <c r="AR27" s="805"/>
      <c r="AS27" s="805"/>
      <c r="AT27" s="805"/>
      <c r="AU27" s="805"/>
      <c r="AV27" s="805"/>
      <c r="AW27" s="805"/>
      <c r="AX27" s="805"/>
      <c r="AY27" s="805"/>
      <c r="AZ27" s="805"/>
      <c r="BA27" s="805"/>
      <c r="BB27" s="1492"/>
      <c r="BC27" s="1443"/>
      <c r="BD27" s="1444"/>
      <c r="BE27" s="1402"/>
      <c r="BF27" s="1403"/>
      <c r="BG27" s="747"/>
      <c r="BH27" s="743"/>
      <c r="BI27" s="745"/>
      <c r="BJ27" s="747"/>
      <c r="BK27" s="139"/>
      <c r="BL27" s="139"/>
      <c r="BM27" s="139"/>
      <c r="BN27" s="139"/>
      <c r="BO27" s="139"/>
      <c r="BP27" s="139"/>
      <c r="BQ27" s="139"/>
      <c r="BR27" s="139"/>
      <c r="BX27" s="792" t="s">
        <v>1014</v>
      </c>
      <c r="BY27" s="793"/>
      <c r="BZ27" s="794"/>
      <c r="CA27" s="825"/>
      <c r="CB27" s="695" t="s">
        <v>21</v>
      </c>
      <c r="CC27" s="695"/>
      <c r="CD27" s="137"/>
      <c r="CE27" s="87"/>
      <c r="CF27" s="87"/>
      <c r="CG27" s="87"/>
      <c r="CH27" s="87"/>
      <c r="CI27" s="87"/>
      <c r="CJ27" s="87"/>
      <c r="CK27" s="137"/>
      <c r="CL27" s="85" t="s">
        <v>467</v>
      </c>
      <c r="CM27" s="757" t="s">
        <v>461</v>
      </c>
      <c r="CN27" s="758"/>
      <c r="CO27" s="819" t="s">
        <v>126</v>
      </c>
      <c r="CP27" s="820"/>
      <c r="CQ27" s="675" t="s">
        <v>731</v>
      </c>
      <c r="CR27" s="676"/>
      <c r="CS27" s="821" t="s">
        <v>473</v>
      </c>
      <c r="CT27" s="822"/>
      <c r="CU27" s="822"/>
      <c r="CV27" s="823"/>
      <c r="DF27" s="144"/>
      <c r="DG27" s="144"/>
      <c r="DH27" s="144"/>
      <c r="DI27" s="144"/>
      <c r="DJ27" s="144"/>
      <c r="DK27" s="144"/>
      <c r="DL27" s="144"/>
      <c r="DM27" s="144"/>
      <c r="DN27" s="144"/>
      <c r="DO27" s="144"/>
      <c r="DP27" s="144"/>
      <c r="DQ27" s="144"/>
      <c r="DU27" s="144"/>
      <c r="DV27" s="144"/>
      <c r="DW27" s="144"/>
      <c r="DX27" s="144"/>
      <c r="DY27" s="144"/>
      <c r="DZ27" s="767"/>
      <c r="EA27" s="665" t="s">
        <v>1138</v>
      </c>
      <c r="EB27" s="667"/>
      <c r="EC27" s="264"/>
      <c r="ED27" s="267" t="s">
        <v>1134</v>
      </c>
      <c r="EE27" s="677">
        <f>$AZ$86</f>
        <v>0.13</v>
      </c>
      <c r="EF27" s="677"/>
      <c r="EG27" s="87"/>
      <c r="EH27" s="87"/>
      <c r="EI27" s="87"/>
      <c r="EJ27" s="150"/>
      <c r="EK27" s="85" t="s">
        <v>467</v>
      </c>
      <c r="EL27" s="757" t="s">
        <v>461</v>
      </c>
      <c r="EM27" s="758"/>
      <c r="EN27" s="819" t="s">
        <v>126</v>
      </c>
      <c r="EO27" s="820"/>
      <c r="EP27" s="675" t="s">
        <v>731</v>
      </c>
      <c r="EQ27" s="676"/>
      <c r="ER27" s="821" t="s">
        <v>473</v>
      </c>
      <c r="ES27" s="822"/>
      <c r="ET27" s="822"/>
      <c r="EU27" s="822"/>
      <c r="EV27" s="821" t="s">
        <v>462</v>
      </c>
      <c r="EW27" s="822"/>
      <c r="EX27" s="822"/>
      <c r="EY27" s="822"/>
      <c r="EZ27" s="822"/>
      <c r="FA27" s="823"/>
      <c r="FH27" s="144"/>
      <c r="FI27" s="144"/>
      <c r="FJ27" s="144"/>
      <c r="FK27" s="144"/>
      <c r="FL27" s="144"/>
      <c r="FM27" s="144"/>
      <c r="GF27" s="85" t="s">
        <v>839</v>
      </c>
      <c r="GG27" s="665" t="s">
        <v>442</v>
      </c>
      <c r="GH27" s="667"/>
      <c r="GI27" s="254"/>
      <c r="GJ27" s="87"/>
      <c r="GK27" s="87"/>
      <c r="GL27" s="87"/>
      <c r="GM27" s="87"/>
      <c r="GN27" s="87"/>
      <c r="GO27" s="87"/>
      <c r="GP27" s="150"/>
      <c r="GQ27" s="85" t="s">
        <v>467</v>
      </c>
      <c r="GR27" s="757" t="s">
        <v>461</v>
      </c>
      <c r="GS27" s="758"/>
      <c r="GT27" s="819" t="s">
        <v>126</v>
      </c>
      <c r="GU27" s="820"/>
      <c r="GV27" s="675" t="s">
        <v>731</v>
      </c>
      <c r="GW27" s="676"/>
      <c r="GX27" s="821" t="s">
        <v>473</v>
      </c>
      <c r="GY27" s="822"/>
      <c r="GZ27" s="822"/>
      <c r="HA27" s="823"/>
      <c r="HB27" s="821" t="s">
        <v>462</v>
      </c>
      <c r="HC27" s="822"/>
      <c r="HD27" s="822"/>
      <c r="HE27" s="823"/>
      <c r="HL27" s="144"/>
      <c r="HM27" s="144"/>
      <c r="HN27" s="144"/>
      <c r="HO27" s="144"/>
      <c r="HP27" s="144"/>
      <c r="HQ27" s="144"/>
      <c r="HR27" s="144"/>
      <c r="IR27" s="767"/>
      <c r="IS27" s="246" t="s">
        <v>1163</v>
      </c>
      <c r="IT27" s="677">
        <f>$JF$31</f>
        <v>12.45</v>
      </c>
      <c r="IU27" s="677"/>
      <c r="IV27" s="249" t="s">
        <v>1134</v>
      </c>
      <c r="IW27" s="677">
        <f>$AZ$86</f>
        <v>0.13</v>
      </c>
      <c r="IX27" s="677"/>
      <c r="IY27" s="939" t="s">
        <v>1157</v>
      </c>
      <c r="IZ27" s="940"/>
      <c r="JA27" s="940"/>
      <c r="JB27" s="940"/>
      <c r="JC27" s="940"/>
      <c r="JD27" s="940"/>
      <c r="JE27" s="1003"/>
      <c r="JF27" s="763">
        <f>(IT27*IT28)/(IW26*IW27*IW28)</f>
        <v>1.9156793352823509</v>
      </c>
      <c r="JG27" s="764"/>
      <c r="JH27" s="849" t="s">
        <v>762</v>
      </c>
      <c r="JI27" s="850"/>
      <c r="JJ27" s="712"/>
      <c r="JK27" s="952" t="s">
        <v>1121</v>
      </c>
      <c r="JL27" s="953"/>
      <c r="JM27" s="746"/>
      <c r="JN27" s="767"/>
      <c r="JO27" s="767"/>
      <c r="JP27" s="767"/>
      <c r="JQ27" s="767"/>
      <c r="JR27" s="767"/>
      <c r="LD27" s="144"/>
      <c r="LE27" s="144"/>
      <c r="LF27" s="144"/>
      <c r="LG27" s="144"/>
      <c r="LH27" s="144"/>
      <c r="LI27" s="144"/>
      <c r="LJ27" s="144"/>
      <c r="LK27" s="144"/>
      <c r="LL27" s="144"/>
      <c r="LM27" s="144"/>
      <c r="LN27" s="144"/>
      <c r="LO27" s="144"/>
      <c r="LZ27" s="825"/>
      <c r="MA27" s="673" t="s">
        <v>1328</v>
      </c>
      <c r="MB27" s="674"/>
      <c r="MC27" s="677">
        <f>$MN$31</f>
        <v>0.54777508966062038</v>
      </c>
      <c r="MD27" s="677"/>
      <c r="ME27" s="939" t="s">
        <v>85</v>
      </c>
      <c r="MF27" s="940"/>
      <c r="MG27" s="940"/>
      <c r="MH27" s="940"/>
      <c r="MI27" s="940"/>
      <c r="MJ27" s="940"/>
      <c r="MK27" s="940"/>
      <c r="ML27" s="940"/>
      <c r="MM27" s="1003"/>
      <c r="MN27" s="1361">
        <f>(MN31)*CL68</f>
        <v>57.242496869534833</v>
      </c>
      <c r="MO27" s="1362"/>
      <c r="MP27" s="1400" t="s">
        <v>737</v>
      </c>
      <c r="MQ27" s="1401"/>
      <c r="MR27" s="712"/>
      <c r="MS27" s="740" t="s">
        <v>1023</v>
      </c>
      <c r="MT27" s="742"/>
      <c r="MU27" s="746"/>
      <c r="MV27" s="890"/>
      <c r="MW27" s="841"/>
      <c r="MX27" s="841"/>
      <c r="MY27" s="891"/>
      <c r="OF27" s="798"/>
      <c r="OG27" s="799"/>
      <c r="OH27" s="800"/>
      <c r="OJ27" s="798"/>
      <c r="OK27" s="799"/>
      <c r="OL27" s="800"/>
      <c r="ON27" s="798"/>
      <c r="OO27" s="799"/>
      <c r="OP27" s="800"/>
      <c r="OR27" s="798"/>
      <c r="OS27" s="799"/>
      <c r="OT27" s="800"/>
      <c r="OU27" s="144"/>
      <c r="OV27" s="144"/>
      <c r="OW27" s="144"/>
      <c r="OX27" s="144"/>
      <c r="OY27" s="144"/>
      <c r="OZ27" s="144"/>
      <c r="PA27" s="144"/>
      <c r="PB27" s="144"/>
      <c r="PC27" s="144"/>
      <c r="PD27" s="144"/>
      <c r="PE27" s="144"/>
      <c r="PF27" s="403"/>
      <c r="PG27" s="399"/>
      <c r="PH27" s="55"/>
      <c r="PI27" s="399"/>
      <c r="PJ27" s="399"/>
      <c r="PK27" s="399"/>
      <c r="PL27" s="399"/>
      <c r="PM27" s="399"/>
      <c r="PN27" s="399"/>
      <c r="PO27" s="399"/>
      <c r="PP27" s="399"/>
      <c r="PQ27" s="399"/>
      <c r="PR27" s="399"/>
      <c r="PS27" s="399"/>
      <c r="PT27" s="399"/>
      <c r="PU27" s="399"/>
      <c r="PV27" s="399"/>
      <c r="PW27" s="399"/>
      <c r="PX27" s="399"/>
      <c r="PY27" s="399"/>
      <c r="PZ27" s="399"/>
      <c r="QA27" s="399"/>
      <c r="QB27" s="399"/>
      <c r="QC27" s="399"/>
      <c r="QD27" s="399"/>
      <c r="QE27" s="399"/>
      <c r="QF27" s="399"/>
      <c r="QG27" s="399"/>
      <c r="QH27" s="399"/>
      <c r="QI27" s="399"/>
      <c r="QJ27" s="399"/>
      <c r="QK27" s="399"/>
      <c r="QL27" s="399"/>
      <c r="QM27" s="399"/>
      <c r="QN27" s="399"/>
      <c r="QO27" s="399"/>
      <c r="QP27" s="399"/>
      <c r="QQ27" s="399"/>
      <c r="QR27" s="399"/>
      <c r="QS27" s="399"/>
      <c r="QT27" s="399"/>
      <c r="QU27" s="399"/>
      <c r="QV27" s="399"/>
      <c r="QW27" s="399"/>
      <c r="QX27" s="399"/>
      <c r="QY27" s="399"/>
      <c r="QZ27" s="399"/>
      <c r="RA27" s="400"/>
      <c r="RC27" s="369">
        <v>9</v>
      </c>
      <c r="RD27" s="668">
        <v>8.9999999999999993E-3</v>
      </c>
      <c r="RE27" s="669"/>
      <c r="RF27" s="670">
        <f t="shared" si="11"/>
        <v>75.670192183421733</v>
      </c>
      <c r="RG27" s="670"/>
      <c r="RH27" s="670"/>
      <c r="RI27" s="670"/>
      <c r="RJ27" s="698">
        <f t="shared" si="12"/>
        <v>30</v>
      </c>
      <c r="RK27" s="699"/>
      <c r="RL27" s="726"/>
      <c r="RM27" s="670">
        <f t="shared" si="13"/>
        <v>75.858693353638174</v>
      </c>
      <c r="RN27" s="670"/>
      <c r="RO27" s="670"/>
      <c r="RP27" s="670"/>
      <c r="RQ27" s="670"/>
      <c r="RR27" s="670"/>
      <c r="RS27" s="671">
        <f t="shared" si="6"/>
        <v>1.560804663639157</v>
      </c>
      <c r="RT27" s="671"/>
      <c r="RU27" s="671"/>
      <c r="RV27" s="671"/>
      <c r="RW27" s="671"/>
      <c r="RX27" s="671"/>
      <c r="RY27" s="681">
        <f t="shared" si="14"/>
        <v>75.874748556547758</v>
      </c>
      <c r="RZ27" s="681"/>
      <c r="SA27" s="681"/>
      <c r="SB27" s="681"/>
      <c r="SC27" s="681">
        <f>'Вывод расчетов'!$AQ$6/RY27</f>
        <v>5.0082538292274466</v>
      </c>
      <c r="SD27" s="681"/>
      <c r="SE27" s="681"/>
      <c r="SF27" s="681"/>
      <c r="SG27" s="867">
        <f t="shared" si="15"/>
        <v>0.99978839860144486</v>
      </c>
      <c r="SH27" s="867"/>
      <c r="SI27" s="867"/>
      <c r="SJ27" s="867"/>
      <c r="SK27" s="874">
        <f t="shared" si="16"/>
        <v>2.0570805087754909E-2</v>
      </c>
      <c r="SL27" s="875"/>
      <c r="SM27" s="875"/>
      <c r="SN27" s="876"/>
      <c r="SO27" s="692">
        <f t="shared" si="17"/>
        <v>5.3575165168441128</v>
      </c>
      <c r="SP27" s="693"/>
      <c r="SQ27" s="693"/>
      <c r="SR27" s="693"/>
      <c r="SS27" s="694"/>
      <c r="ST27" s="668">
        <f t="shared" si="24"/>
        <v>11.085100575347035</v>
      </c>
      <c r="SU27" s="678"/>
      <c r="SV27" s="678"/>
      <c r="SW27" s="678"/>
      <c r="SX27" s="678"/>
      <c r="SY27" s="669"/>
      <c r="SZ27" s="682">
        <f t="shared" si="19"/>
        <v>12.311881984238504</v>
      </c>
      <c r="TA27" s="683"/>
      <c r="TB27" s="683"/>
      <c r="TC27" s="683"/>
      <c r="TD27" s="683"/>
      <c r="TE27" s="684"/>
      <c r="TF27" s="682">
        <f>'Вывод расчетов'!$XC$174*SC27</f>
        <v>5.0880133677040096</v>
      </c>
      <c r="TG27" s="683"/>
      <c r="TH27" s="684"/>
      <c r="TI27" s="682">
        <f t="shared" si="25"/>
        <v>6.1075688292022887</v>
      </c>
      <c r="TJ27" s="683"/>
      <c r="TK27" s="683"/>
      <c r="TL27" s="684"/>
      <c r="TM27" s="685">
        <f t="shared" si="21"/>
        <v>8.4376650514775997E-2</v>
      </c>
      <c r="TN27" s="686"/>
      <c r="TO27" s="686"/>
      <c r="TP27" s="687"/>
      <c r="TQ27" s="688">
        <f t="shared" si="22"/>
        <v>5.124615249894357E-2</v>
      </c>
      <c r="TR27" s="688"/>
      <c r="TS27" s="688"/>
      <c r="TT27" s="688"/>
      <c r="TU27" s="874">
        <f t="shared" si="23"/>
        <v>2.3935079174636845E-2</v>
      </c>
      <c r="TV27" s="875"/>
      <c r="TW27" s="875"/>
      <c r="TX27" s="875"/>
      <c r="TY27" s="875"/>
      <c r="TZ27" s="876"/>
      <c r="UA27" s="756">
        <v>8.9999999999999993E-3</v>
      </c>
      <c r="UB27" s="756"/>
      <c r="UC27" s="650">
        <v>0.09</v>
      </c>
      <c r="UD27" s="866">
        <f t="shared" si="7"/>
        <v>1.0398446980157701</v>
      </c>
      <c r="UE27" s="866"/>
      <c r="UF27" s="866"/>
      <c r="UG27" s="866"/>
      <c r="UH27" s="866"/>
      <c r="UI27" s="866"/>
      <c r="UJ27" s="866"/>
      <c r="UK27" s="670">
        <f t="shared" si="8"/>
        <v>5.0677241311865187</v>
      </c>
      <c r="UL27" s="670"/>
      <c r="UM27" s="670"/>
      <c r="UN27" s="670"/>
      <c r="UO27" s="688">
        <f t="shared" si="9"/>
        <v>0.82974490716438076</v>
      </c>
      <c r="UP27" s="688"/>
      <c r="UQ27" s="688"/>
      <c r="UR27" s="688"/>
      <c r="US27" s="866">
        <f t="shared" si="10"/>
        <v>0.43515008702184843</v>
      </c>
      <c r="UT27" s="866"/>
      <c r="UU27" s="866"/>
      <c r="UV27" s="866"/>
      <c r="UW27" s="866"/>
      <c r="WC27" s="941"/>
      <c r="WD27" s="942"/>
      <c r="WE27" s="942"/>
      <c r="WF27" s="942"/>
      <c r="WG27" s="942"/>
      <c r="WH27" s="1238"/>
      <c r="WI27" s="696" t="s">
        <v>1369</v>
      </c>
      <c r="WJ27" s="697"/>
      <c r="WK27" s="756">
        <f>$MN$86</f>
        <v>0.65984741945763259</v>
      </c>
      <c r="WL27" s="756"/>
      <c r="WM27" s="182"/>
      <c r="WN27" s="185"/>
      <c r="WO27" s="880">
        <v>4</v>
      </c>
      <c r="WP27" s="880"/>
      <c r="WQ27" s="1033" t="s">
        <v>415</v>
      </c>
      <c r="WR27" s="1033"/>
      <c r="WS27" s="1034">
        <f>'Вывод расчетов'!$XC$194+(('Вывод расчетов'!$WR$88*'Вывод расчетов'!$XC$170)/WS19)</f>
        <v>1.560804663639157</v>
      </c>
      <c r="WT27" s="1034"/>
      <c r="WU27" s="1034">
        <f>'Вывод расчетов'!$XC$194+(('Вывод расчетов'!$WR$88*'Вывод расчетов'!$XC$170)/WU19)</f>
        <v>1.560804663639157</v>
      </c>
      <c r="WV27" s="1034"/>
      <c r="WW27" s="1034">
        <f>'Вывод расчетов'!$XC$194+(('Вывод расчетов'!$WR$88*'Вывод расчетов'!$XC$170)/WW19)</f>
        <v>1.560804663639157</v>
      </c>
      <c r="WX27" s="1034"/>
      <c r="WY27" s="1034">
        <f>'Вывод расчетов'!$XC$194+(('Вывод расчетов'!$WR$88*'Вывод расчетов'!$XC$170)/WY19)</f>
        <v>1.560804663639157</v>
      </c>
      <c r="WZ27" s="1034"/>
      <c r="XA27" s="1034">
        <f>'Вывод расчетов'!$XC$194+(('Вывод расчетов'!$WR$88*'Вывод расчетов'!$XC$170)/XA19)</f>
        <v>1.560804663639157</v>
      </c>
      <c r="XB27" s="1034"/>
      <c r="XC27" s="1034">
        <f>'Вывод расчетов'!$XC$194+(('Вывод расчетов'!$WR$88*'Вывод расчетов'!$XC$170)/XC19)</f>
        <v>1.560804663639157</v>
      </c>
      <c r="XD27" s="1034"/>
      <c r="XE27" s="181"/>
      <c r="XF27" s="182"/>
      <c r="XG27" s="182"/>
      <c r="XH27" s="185"/>
      <c r="XI27" s="177"/>
      <c r="XO27" s="827"/>
      <c r="XP27" s="949" t="s">
        <v>1602</v>
      </c>
      <c r="XQ27" s="950"/>
      <c r="XR27" s="963">
        <f>$YC$22</f>
        <v>9.1500000000000001E-3</v>
      </c>
      <c r="XS27" s="964"/>
      <c r="XT27" s="944"/>
      <c r="XU27" s="944"/>
      <c r="XV27" s="944"/>
      <c r="XW27" s="944"/>
      <c r="XX27" s="944"/>
      <c r="XY27" s="944"/>
      <c r="XZ27" s="944"/>
      <c r="YA27" s="944"/>
      <c r="YB27" s="1004"/>
      <c r="YC27" s="765"/>
      <c r="YD27" s="766"/>
      <c r="YE27" s="1185"/>
      <c r="YF27" s="1186"/>
      <c r="YG27" s="1086"/>
      <c r="YH27" s="1093"/>
      <c r="YI27" s="1093"/>
      <c r="YJ27" s="1093"/>
      <c r="YK27" s="1093"/>
      <c r="YL27" s="1086"/>
      <c r="YM27" s="768"/>
      <c r="YN27" s="768"/>
      <c r="YO27" s="768"/>
      <c r="YP27" s="768"/>
      <c r="YQ27" s="768"/>
      <c r="YR27" s="768"/>
      <c r="YS27" s="768"/>
      <c r="YT27" s="768"/>
      <c r="YU27" s="768"/>
      <c r="YW27" s="144"/>
      <c r="YX27" s="144"/>
      <c r="ZD27" s="144"/>
      <c r="ZE27" s="144"/>
      <c r="ZF27" s="144"/>
      <c r="ZG27" s="144"/>
      <c r="ZH27" s="144"/>
      <c r="ZI27" s="144"/>
      <c r="ZJ27" s="144"/>
      <c r="ZK27" s="144"/>
      <c r="ZL27" s="144"/>
      <c r="ZM27" s="144"/>
      <c r="ZN27" s="144"/>
      <c r="ZO27" s="144"/>
      <c r="ZP27" s="144"/>
      <c r="ZQ27" s="144"/>
      <c r="ZR27" s="144"/>
      <c r="ZS27" s="144"/>
      <c r="ZT27" s="144"/>
      <c r="ZU27" s="144"/>
      <c r="ZV27" s="144"/>
      <c r="ZW27" s="144"/>
      <c r="ZX27" s="144"/>
      <c r="ZY27" s="144"/>
      <c r="AAD27" s="947"/>
      <c r="AAE27" s="947"/>
      <c r="AAF27" s="947"/>
      <c r="AAG27" s="947"/>
      <c r="AAH27" s="465">
        <v>17</v>
      </c>
      <c r="AAI27" s="956"/>
      <c r="AAJ27" s="957"/>
      <c r="AAK27" s="956"/>
      <c r="AAL27" s="957"/>
      <c r="AAM27" s="958">
        <f t="shared" si="5"/>
        <v>0.22666666666666668</v>
      </c>
      <c r="AAN27" s="959"/>
      <c r="AAP27" s="947"/>
      <c r="AAQ27" s="947"/>
      <c r="AAR27" s="947"/>
      <c r="AAS27" s="947"/>
      <c r="AAT27" s="465">
        <v>77</v>
      </c>
      <c r="AAU27" s="956"/>
      <c r="AAV27" s="957"/>
      <c r="AAW27" s="956"/>
      <c r="AAX27" s="957"/>
      <c r="AAY27" s="958">
        <f t="shared" si="1"/>
        <v>1.0266666666666668</v>
      </c>
      <c r="AAZ27" s="959"/>
      <c r="ABB27" s="947"/>
      <c r="ABC27" s="947"/>
      <c r="ABD27" s="947"/>
      <c r="ABE27" s="947"/>
      <c r="ABF27" s="465">
        <v>137</v>
      </c>
      <c r="ABG27" s="956"/>
      <c r="ABH27" s="957"/>
      <c r="ABI27" s="956"/>
      <c r="ABJ27" s="957"/>
      <c r="ABK27" s="958">
        <f t="shared" si="2"/>
        <v>1.8266666666666669</v>
      </c>
      <c r="ABL27" s="959"/>
      <c r="ABN27" s="947"/>
      <c r="ABO27" s="947"/>
      <c r="ABP27" s="947"/>
      <c r="ABQ27" s="947"/>
      <c r="ABR27" s="465">
        <v>197</v>
      </c>
      <c r="ABS27" s="956"/>
      <c r="ABT27" s="957"/>
      <c r="ABU27" s="956"/>
      <c r="ABV27" s="957"/>
      <c r="ABW27" s="958">
        <f t="shared" si="3"/>
        <v>2.6266666666666669</v>
      </c>
      <c r="ABX27" s="959"/>
      <c r="ABZ27" s="947"/>
      <c r="ACA27" s="947"/>
      <c r="ACB27" s="947"/>
      <c r="ACC27" s="947"/>
      <c r="ACD27" s="465">
        <v>257</v>
      </c>
      <c r="ACE27" s="956"/>
      <c r="ACF27" s="957"/>
      <c r="ACG27" s="956"/>
      <c r="ACH27" s="957"/>
      <c r="ACI27" s="958">
        <f t="shared" si="4"/>
        <v>3.4266666666666667</v>
      </c>
      <c r="ACJ27" s="959"/>
      <c r="ADB27" s="1033"/>
      <c r="ADC27" s="1033"/>
      <c r="ADD27" s="184"/>
      <c r="ADE27" s="184"/>
      <c r="ADF27" s="184"/>
      <c r="ADG27" s="184"/>
      <c r="ADH27" s="1068"/>
      <c r="ADI27" s="1069"/>
      <c r="ADJ27" s="1070"/>
      <c r="ADK27" s="1070"/>
      <c r="ADL27" s="1050"/>
      <c r="ADM27" s="1051"/>
      <c r="ADN27" s="1051"/>
      <c r="ADO27" s="1051"/>
      <c r="ADP27" s="1051"/>
      <c r="ADQ27" s="1051"/>
      <c r="ADR27" s="1051"/>
      <c r="ADS27" s="1051"/>
      <c r="ADT27" s="1051"/>
      <c r="ADU27" s="1051"/>
      <c r="ADV27" s="1051"/>
      <c r="ADW27" s="1051"/>
      <c r="ADX27" s="861"/>
      <c r="ADY27" s="1017"/>
      <c r="ADZ27" s="1017"/>
      <c r="AEA27" s="1017"/>
      <c r="AEB27" s="862"/>
      <c r="AEC27" s="172"/>
      <c r="AED27" s="172"/>
      <c r="AEE27" s="172"/>
      <c r="AEF27" s="172"/>
      <c r="AEG27" s="172"/>
      <c r="AEH27" s="172"/>
      <c r="AEI27" s="172"/>
      <c r="AEJ27" s="172"/>
      <c r="AEK27" s="177"/>
      <c r="AEM27" s="1386"/>
      <c r="AEN27" s="1386"/>
      <c r="AEO27" s="1386"/>
      <c r="AEP27" s="1386"/>
      <c r="AEQ27" s="1386"/>
      <c r="AER27" s="1386"/>
      <c r="AES27" s="1386"/>
      <c r="AET27" s="1386"/>
      <c r="AEU27" s="1386"/>
      <c r="AEV27" s="1386"/>
      <c r="AEW27" s="1386"/>
      <c r="AEX27" s="1386"/>
      <c r="AEY27" s="1386"/>
      <c r="AEZ27" s="1386"/>
      <c r="AFA27" s="1386"/>
      <c r="AFC27" s="1386"/>
      <c r="AFD27" s="1386"/>
      <c r="AFE27" s="1386"/>
      <c r="AFF27" s="1386"/>
      <c r="AFG27" s="1386"/>
      <c r="AFH27" s="1386"/>
      <c r="AFI27" s="1386"/>
      <c r="AFJ27" s="1386"/>
      <c r="AFK27" s="1386"/>
      <c r="AFL27" s="1386"/>
      <c r="AFM27" s="1386"/>
      <c r="AFN27" s="144"/>
      <c r="AFO27" s="144"/>
      <c r="AHO27" s="144"/>
      <c r="AIM27" s="827"/>
      <c r="AIN27" s="818"/>
      <c r="AIO27" s="818"/>
      <c r="AIP27" s="818"/>
      <c r="AIQ27" s="818"/>
      <c r="AIR27" s="818"/>
      <c r="AIS27" s="818"/>
      <c r="AIT27" s="818"/>
      <c r="AIU27" s="818"/>
      <c r="AIV27" s="818"/>
      <c r="AIW27" s="818"/>
      <c r="AIX27" s="818"/>
      <c r="AIY27" s="818"/>
      <c r="AIZ27" s="818"/>
      <c r="AJA27" s="754"/>
      <c r="AJB27" s="755"/>
      <c r="AJC27" s="851"/>
      <c r="AJD27" s="852"/>
      <c r="AJE27" s="713"/>
      <c r="AJF27" s="743"/>
      <c r="AJG27" s="745"/>
      <c r="AJH27" s="747"/>
    </row>
    <row r="28" spans="1:1022 1034:1055" ht="48" customHeight="1" thickBot="1">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BK28" s="139"/>
      <c r="BL28" s="139"/>
      <c r="BM28" s="139"/>
      <c r="BN28" s="139"/>
      <c r="BO28" s="139"/>
      <c r="BP28" s="139"/>
      <c r="BQ28" s="139"/>
      <c r="BR28" s="139"/>
      <c r="BX28" s="795"/>
      <c r="BY28" s="796"/>
      <c r="BZ28" s="797"/>
      <c r="CA28" s="826"/>
      <c r="CB28" s="1488" t="s">
        <v>769</v>
      </c>
      <c r="CC28" s="732"/>
      <c r="CD28" s="732"/>
      <c r="CE28" s="732"/>
      <c r="CF28" s="732"/>
      <c r="CG28" s="732"/>
      <c r="CH28" s="732"/>
      <c r="CI28" s="732"/>
      <c r="CJ28" s="732"/>
      <c r="CK28" s="732"/>
      <c r="CL28" s="732"/>
      <c r="CM28" s="732"/>
      <c r="CN28" s="732"/>
      <c r="CO28" s="1441">
        <v>33</v>
      </c>
      <c r="CP28" s="1442"/>
      <c r="CQ28" s="849" t="s">
        <v>758</v>
      </c>
      <c r="CR28" s="850"/>
      <c r="CS28" s="712"/>
      <c r="CT28" s="716" t="s">
        <v>1706</v>
      </c>
      <c r="CU28" s="717"/>
      <c r="CV28" s="746"/>
      <c r="DF28" s="144"/>
      <c r="DG28" s="144"/>
      <c r="DH28" s="144"/>
      <c r="DI28" s="144"/>
      <c r="DJ28" s="144"/>
      <c r="DK28" s="144"/>
      <c r="DL28" s="144"/>
      <c r="DM28" s="144"/>
      <c r="DN28" s="144"/>
      <c r="DP28" s="144"/>
      <c r="DQ28" s="144"/>
      <c r="DU28" s="144"/>
      <c r="DV28" s="144"/>
      <c r="DW28" s="144"/>
      <c r="DX28" s="144"/>
      <c r="DY28" s="144"/>
      <c r="DZ28" s="767"/>
      <c r="EA28" s="265" t="s">
        <v>1124</v>
      </c>
      <c r="EB28" s="677">
        <f>$EQ$37</f>
        <v>0.97</v>
      </c>
      <c r="EC28" s="677"/>
      <c r="ED28" s="267" t="s">
        <v>1169</v>
      </c>
      <c r="EE28" s="833">
        <f>$CL$92</f>
        <v>0.75945292831578104</v>
      </c>
      <c r="EF28" s="913"/>
      <c r="EG28" s="727" t="s">
        <v>1220</v>
      </c>
      <c r="EH28" s="727"/>
      <c r="EI28" s="727"/>
      <c r="EJ28" s="727"/>
      <c r="EK28" s="727"/>
      <c r="EL28" s="727"/>
      <c r="EM28" s="728"/>
      <c r="EN28" s="763">
        <f>((EE28*EB30*EB29)/(EE29*EE27*EB28))*1000</f>
        <v>6.6885514760023552</v>
      </c>
      <c r="EO28" s="764"/>
      <c r="EP28" s="759" t="s">
        <v>50</v>
      </c>
      <c r="EQ28" s="760"/>
      <c r="ER28" s="714"/>
      <c r="ES28" s="1297" t="s">
        <v>1200</v>
      </c>
      <c r="ET28" s="1298"/>
      <c r="EU28" s="746"/>
      <c r="EV28" s="919"/>
      <c r="EW28" s="840"/>
      <c r="EX28" s="840"/>
      <c r="EY28" s="840"/>
      <c r="EZ28" s="840"/>
      <c r="FA28" s="920"/>
      <c r="FF28" s="777" t="s">
        <v>752</v>
      </c>
      <c r="FG28" s="778"/>
      <c r="FH28" s="779"/>
      <c r="FI28" s="85" t="s">
        <v>839</v>
      </c>
      <c r="FJ28" s="147" t="s">
        <v>442</v>
      </c>
      <c r="FK28" s="148"/>
      <c r="FL28" s="152"/>
      <c r="FM28" s="87"/>
      <c r="FN28" s="87"/>
      <c r="FO28" s="87"/>
      <c r="FP28" s="87"/>
      <c r="FQ28" s="87"/>
      <c r="FR28" s="87"/>
      <c r="FS28" s="152"/>
      <c r="FT28" s="85" t="s">
        <v>467</v>
      </c>
      <c r="FU28" s="757" t="s">
        <v>461</v>
      </c>
      <c r="FV28" s="758"/>
      <c r="FW28" s="819" t="s">
        <v>126</v>
      </c>
      <c r="FX28" s="820"/>
      <c r="FY28" s="675" t="s">
        <v>731</v>
      </c>
      <c r="FZ28" s="676"/>
      <c r="GA28" s="821" t="s">
        <v>473</v>
      </c>
      <c r="GB28" s="822"/>
      <c r="GC28" s="822"/>
      <c r="GD28" s="823"/>
      <c r="GF28" s="825"/>
      <c r="GG28" s="257" t="s">
        <v>470</v>
      </c>
      <c r="GH28" s="756">
        <f>$AW$34</f>
        <v>0.17058500000000001</v>
      </c>
      <c r="GI28" s="756"/>
      <c r="GJ28" s="700" t="s">
        <v>61</v>
      </c>
      <c r="GK28" s="701"/>
      <c r="GL28" s="701"/>
      <c r="GM28" s="701"/>
      <c r="GN28" s="701"/>
      <c r="GO28" s="701"/>
      <c r="GP28" s="701"/>
      <c r="GQ28" s="701"/>
      <c r="GR28" s="701"/>
      <c r="GS28" s="701"/>
      <c r="GT28" s="1087">
        <f>(GT16*1000-2*GW12)/1000</f>
        <v>0.16658500000000001</v>
      </c>
      <c r="GU28" s="1006"/>
      <c r="GV28" s="1211" t="s">
        <v>737</v>
      </c>
      <c r="GW28" s="1212"/>
      <c r="GX28" s="712"/>
      <c r="GY28" s="740" t="s">
        <v>1052</v>
      </c>
      <c r="GZ28" s="742"/>
      <c r="HA28" s="746"/>
      <c r="HB28" s="74"/>
      <c r="HC28" s="70"/>
      <c r="HD28" s="70"/>
      <c r="HE28" s="71"/>
      <c r="HL28" s="144"/>
      <c r="HM28" s="144"/>
      <c r="HN28" s="144"/>
      <c r="HO28" s="144"/>
      <c r="HP28" s="144"/>
      <c r="HQ28" s="144"/>
      <c r="HR28" s="144"/>
      <c r="HS28" s="144"/>
      <c r="HT28" s="144"/>
      <c r="HU28" s="144"/>
      <c r="HV28" s="144"/>
      <c r="HW28" s="144"/>
      <c r="HX28" s="144"/>
      <c r="HY28" s="144"/>
      <c r="HZ28" s="144"/>
      <c r="IA28" s="144"/>
      <c r="IB28" s="144"/>
      <c r="IC28" s="144"/>
      <c r="ID28" s="144"/>
      <c r="IE28" s="144"/>
      <c r="IF28" s="144"/>
      <c r="IG28" s="144"/>
      <c r="IR28" s="768"/>
      <c r="IS28" s="253" t="s">
        <v>1128</v>
      </c>
      <c r="IT28" s="1268">
        <f>$AZ$86</f>
        <v>0.13</v>
      </c>
      <c r="IU28" s="1268"/>
      <c r="IV28" s="247" t="s">
        <v>1124</v>
      </c>
      <c r="IW28" s="672">
        <f>$EQ$37</f>
        <v>0.97</v>
      </c>
      <c r="IX28" s="672"/>
      <c r="IY28" s="943"/>
      <c r="IZ28" s="944"/>
      <c r="JA28" s="944"/>
      <c r="JB28" s="944"/>
      <c r="JC28" s="944"/>
      <c r="JD28" s="944"/>
      <c r="JE28" s="1004"/>
      <c r="JF28" s="765"/>
      <c r="JG28" s="766"/>
      <c r="JH28" s="851"/>
      <c r="JI28" s="852"/>
      <c r="JJ28" s="713"/>
      <c r="JK28" s="954"/>
      <c r="JL28" s="955"/>
      <c r="JM28" s="747"/>
      <c r="JN28" s="768"/>
      <c r="JO28" s="768"/>
      <c r="JP28" s="768"/>
      <c r="JQ28" s="768"/>
      <c r="JR28" s="768"/>
      <c r="LD28" s="144"/>
      <c r="LE28" s="144"/>
      <c r="LF28" s="144"/>
      <c r="LG28" s="144"/>
      <c r="LH28" s="144"/>
      <c r="LI28" s="144"/>
      <c r="LJ28" s="144"/>
      <c r="LK28" s="144"/>
      <c r="LL28" s="144"/>
      <c r="LM28" s="144"/>
      <c r="LN28" s="144"/>
      <c r="LO28" s="144"/>
      <c r="LZ28" s="827"/>
      <c r="MA28" s="1198" t="s">
        <v>1178</v>
      </c>
      <c r="MB28" s="1199"/>
      <c r="MC28" s="1464">
        <f>$CL$68</f>
        <v>104.5</v>
      </c>
      <c r="MD28" s="1464"/>
      <c r="ME28" s="943"/>
      <c r="MF28" s="944"/>
      <c r="MG28" s="944"/>
      <c r="MH28" s="944"/>
      <c r="MI28" s="944"/>
      <c r="MJ28" s="944"/>
      <c r="MK28" s="944"/>
      <c r="ML28" s="944"/>
      <c r="MM28" s="1004"/>
      <c r="MN28" s="1363"/>
      <c r="MO28" s="1364"/>
      <c r="MP28" s="1402"/>
      <c r="MQ28" s="1403"/>
      <c r="MR28" s="713"/>
      <c r="MS28" s="743"/>
      <c r="MT28" s="745"/>
      <c r="MU28" s="747"/>
      <c r="MV28" s="892"/>
      <c r="MW28" s="893"/>
      <c r="MX28" s="893"/>
      <c r="MY28" s="894"/>
      <c r="ON28" s="144"/>
      <c r="OO28" s="144"/>
      <c r="OP28" s="144"/>
      <c r="OQ28" s="144"/>
      <c r="OR28" s="144"/>
      <c r="OS28" s="144"/>
      <c r="OT28" s="144"/>
      <c r="OU28" s="144"/>
      <c r="OV28" s="144"/>
      <c r="OW28" s="144"/>
      <c r="OX28" s="144"/>
      <c r="OY28" s="144"/>
      <c r="OZ28" s="144"/>
      <c r="PA28" s="144"/>
      <c r="PB28" s="144"/>
      <c r="PC28" s="144"/>
      <c r="PD28" s="144"/>
      <c r="PE28" s="144"/>
      <c r="PF28" s="403"/>
      <c r="PG28" s="399"/>
      <c r="PH28" s="55"/>
      <c r="PI28" s="399"/>
      <c r="PJ28" s="399"/>
      <c r="PK28" s="399"/>
      <c r="PL28" s="932" t="s">
        <v>1712</v>
      </c>
      <c r="PM28" s="932"/>
      <c r="PN28" s="932"/>
      <c r="PO28" s="932" t="s">
        <v>1713</v>
      </c>
      <c r="PP28" s="932"/>
      <c r="PQ28" s="932"/>
      <c r="PR28" s="1422" t="s">
        <v>1715</v>
      </c>
      <c r="PS28" s="1423"/>
      <c r="PT28" s="1424"/>
      <c r="PU28" s="1428" t="str">
        <f>PL28</f>
        <v>формула 1</v>
      </c>
      <c r="PV28" s="1461"/>
      <c r="PW28" s="143"/>
      <c r="PX28" s="399"/>
      <c r="PY28" s="399"/>
      <c r="PZ28" s="399"/>
      <c r="QA28" s="399"/>
      <c r="QB28" s="399"/>
      <c r="QC28" s="399"/>
      <c r="QD28" s="399"/>
      <c r="QE28" s="399"/>
      <c r="QF28" s="399"/>
      <c r="QG28" s="399"/>
      <c r="QH28" s="399"/>
      <c r="QI28" s="399"/>
      <c r="QJ28" s="399"/>
      <c r="QK28" s="399"/>
      <c r="QL28" s="399"/>
      <c r="QM28" s="399"/>
      <c r="QN28" s="399"/>
      <c r="QO28" s="399"/>
      <c r="QP28" s="399"/>
      <c r="QQ28" s="399"/>
      <c r="QR28" s="399"/>
      <c r="QS28" s="399"/>
      <c r="QT28" s="399"/>
      <c r="QU28" s="399"/>
      <c r="QV28" s="399"/>
      <c r="QW28" s="399"/>
      <c r="QX28" s="399"/>
      <c r="QY28" s="399"/>
      <c r="QZ28" s="399"/>
      <c r="RA28" s="400"/>
      <c r="RC28" s="369">
        <v>10</v>
      </c>
      <c r="RD28" s="668">
        <v>0.01</v>
      </c>
      <c r="RE28" s="669"/>
      <c r="RF28" s="670">
        <f t="shared" si="11"/>
        <v>68.103172965079551</v>
      </c>
      <c r="RG28" s="670"/>
      <c r="RH28" s="670"/>
      <c r="RI28" s="670"/>
      <c r="RJ28" s="698">
        <f t="shared" si="12"/>
        <v>30</v>
      </c>
      <c r="RK28" s="699"/>
      <c r="RL28" s="726"/>
      <c r="RM28" s="670">
        <f t="shared" si="13"/>
        <v>68.291674135295992</v>
      </c>
      <c r="RN28" s="670"/>
      <c r="RO28" s="670"/>
      <c r="RP28" s="670"/>
      <c r="RQ28" s="670"/>
      <c r="RR28" s="670"/>
      <c r="RS28" s="671">
        <f t="shared" si="6"/>
        <v>1.560804663639157</v>
      </c>
      <c r="RT28" s="671"/>
      <c r="RU28" s="671"/>
      <c r="RV28" s="671"/>
      <c r="RW28" s="671"/>
      <c r="RX28" s="671"/>
      <c r="RY28" s="681">
        <f t="shared" si="14"/>
        <v>68.309507884331111</v>
      </c>
      <c r="RZ28" s="681"/>
      <c r="SA28" s="681"/>
      <c r="SB28" s="681"/>
      <c r="SC28" s="681">
        <f>'Вывод расчетов'!$AQ$6/RY28</f>
        <v>5.5629152041829411</v>
      </c>
      <c r="SD28" s="681"/>
      <c r="SE28" s="681"/>
      <c r="SF28" s="681"/>
      <c r="SG28" s="867">
        <f t="shared" si="15"/>
        <v>0.99973892727985514</v>
      </c>
      <c r="SH28" s="867"/>
      <c r="SI28" s="867"/>
      <c r="SJ28" s="867"/>
      <c r="SK28" s="874">
        <f t="shared" si="16"/>
        <v>2.2849010510836598E-2</v>
      </c>
      <c r="SL28" s="875"/>
      <c r="SM28" s="875"/>
      <c r="SN28" s="876"/>
      <c r="SO28" s="692">
        <f t="shared" ref="SO28:SO91" si="26">$SR$14+SC28*SG28+$SR$15</f>
        <v>5.9117853199098995</v>
      </c>
      <c r="SP28" s="693"/>
      <c r="SQ28" s="693"/>
      <c r="SR28" s="693"/>
      <c r="SS28" s="694"/>
      <c r="ST28" s="668">
        <f t="shared" si="24"/>
        <v>11.109183869967262</v>
      </c>
      <c r="SU28" s="678"/>
      <c r="SV28" s="678"/>
      <c r="SW28" s="678"/>
      <c r="SX28" s="678"/>
      <c r="SY28" s="669"/>
      <c r="SZ28" s="682">
        <f t="shared" si="19"/>
        <v>12.584243001684408</v>
      </c>
      <c r="TA28" s="683"/>
      <c r="TB28" s="683"/>
      <c r="TC28" s="683"/>
      <c r="TD28" s="683"/>
      <c r="TE28" s="684"/>
      <c r="TF28" s="682">
        <f>'Вывод расчетов'!$XC$174*SC28</f>
        <v>5.6515080679632357</v>
      </c>
      <c r="TG28" s="683"/>
      <c r="TH28" s="684"/>
      <c r="TI28" s="682">
        <f t="shared" si="25"/>
        <v>6.7394352646972857</v>
      </c>
      <c r="TJ28" s="683"/>
      <c r="TK28" s="683"/>
      <c r="TL28" s="684"/>
      <c r="TM28" s="685">
        <f t="shared" si="21"/>
        <v>8.815106940363078E-2</v>
      </c>
      <c r="TN28" s="686"/>
      <c r="TO28" s="686"/>
      <c r="TP28" s="687"/>
      <c r="TQ28" s="688">
        <f t="shared" si="22"/>
        <v>6.3225675957077856E-2</v>
      </c>
      <c r="TR28" s="688"/>
      <c r="TS28" s="688"/>
      <c r="TT28" s="688"/>
      <c r="TU28" s="689">
        <f t="shared" ref="TU28:TU83" si="27">$TW$14*(SZ28/$TW$15)^2/1000</f>
        <v>2.5005766555468149E-2</v>
      </c>
      <c r="TV28" s="690"/>
      <c r="TW28" s="690"/>
      <c r="TX28" s="690"/>
      <c r="TY28" s="690"/>
      <c r="TZ28" s="691"/>
      <c r="UA28" s="679">
        <v>0.01</v>
      </c>
      <c r="UB28" s="680"/>
      <c r="UC28" s="650">
        <v>0.1</v>
      </c>
      <c r="UD28" s="866">
        <f t="shared" si="7"/>
        <v>1.0566693277435903</v>
      </c>
      <c r="UE28" s="866"/>
      <c r="UF28" s="866"/>
      <c r="UG28" s="866"/>
      <c r="UH28" s="866"/>
      <c r="UI28" s="866"/>
      <c r="UJ28" s="866"/>
      <c r="UK28" s="670">
        <f t="shared" si="8"/>
        <v>5.6827659369536949</v>
      </c>
      <c r="UL28" s="670"/>
      <c r="UM28" s="670"/>
      <c r="UN28" s="670"/>
      <c r="UO28" s="688">
        <f t="shared" si="9"/>
        <v>0.84321099821543388</v>
      </c>
      <c r="UP28" s="688"/>
      <c r="UQ28" s="688"/>
      <c r="UR28" s="688"/>
      <c r="US28" s="866">
        <f t="shared" si="10"/>
        <v>0.46977679301954067</v>
      </c>
      <c r="UT28" s="866"/>
      <c r="UU28" s="866"/>
      <c r="UV28" s="866"/>
      <c r="UW28" s="866"/>
      <c r="WC28" s="941"/>
      <c r="WD28" s="942"/>
      <c r="WE28" s="942"/>
      <c r="WF28" s="942"/>
      <c r="WG28" s="942"/>
      <c r="WH28" s="1238"/>
      <c r="WI28" s="183"/>
      <c r="WJ28" s="184"/>
      <c r="WK28" s="184"/>
      <c r="WL28" s="184"/>
      <c r="WM28" s="184"/>
      <c r="WN28" s="186"/>
      <c r="WO28" s="880"/>
      <c r="WP28" s="880"/>
      <c r="WQ28" s="1033"/>
      <c r="WR28" s="1033"/>
      <c r="WS28" s="1034"/>
      <c r="WT28" s="1034"/>
      <c r="WU28" s="1034"/>
      <c r="WV28" s="1034"/>
      <c r="WW28" s="1034"/>
      <c r="WX28" s="1034"/>
      <c r="WY28" s="1034"/>
      <c r="WZ28" s="1034"/>
      <c r="XA28" s="1034"/>
      <c r="XB28" s="1034"/>
      <c r="XC28" s="1034"/>
      <c r="XD28" s="1034"/>
      <c r="XE28" s="183"/>
      <c r="XF28" s="184"/>
      <c r="XG28" s="184"/>
      <c r="XH28" s="186"/>
      <c r="XI28" s="177"/>
      <c r="YW28" s="144"/>
      <c r="YX28" s="144"/>
      <c r="ZD28" s="144"/>
      <c r="ZE28" s="144"/>
      <c r="ZF28" s="144"/>
      <c r="ZG28" s="144"/>
      <c r="ZH28" s="144"/>
      <c r="ZI28" s="144"/>
      <c r="ZJ28" s="144"/>
      <c r="ZK28" s="144"/>
      <c r="ZT28" s="144"/>
      <c r="ZU28" s="144"/>
      <c r="ZV28" s="144"/>
      <c r="ZW28" s="144"/>
      <c r="ZX28" s="144"/>
      <c r="ZY28" s="144"/>
      <c r="AAD28" s="947"/>
      <c r="AAE28" s="947"/>
      <c r="AAF28" s="947"/>
      <c r="AAG28" s="947"/>
      <c r="AAH28" s="465">
        <v>18</v>
      </c>
      <c r="AAI28" s="956"/>
      <c r="AAJ28" s="957"/>
      <c r="AAK28" s="956"/>
      <c r="AAL28" s="957"/>
      <c r="AAM28" s="958">
        <f t="shared" si="5"/>
        <v>0.24000000000000002</v>
      </c>
      <c r="AAN28" s="959"/>
      <c r="AAP28" s="947"/>
      <c r="AAQ28" s="947"/>
      <c r="AAR28" s="947"/>
      <c r="AAS28" s="947"/>
      <c r="AAT28" s="465">
        <v>78</v>
      </c>
      <c r="AAU28" s="956"/>
      <c r="AAV28" s="957"/>
      <c r="AAW28" s="956"/>
      <c r="AAX28" s="957"/>
      <c r="AAY28" s="958">
        <f t="shared" si="1"/>
        <v>1.04</v>
      </c>
      <c r="AAZ28" s="959"/>
      <c r="ABB28" s="947"/>
      <c r="ABC28" s="947"/>
      <c r="ABD28" s="947"/>
      <c r="ABE28" s="947"/>
      <c r="ABF28" s="465">
        <v>138</v>
      </c>
      <c r="ABG28" s="956"/>
      <c r="ABH28" s="957"/>
      <c r="ABI28" s="956"/>
      <c r="ABJ28" s="957"/>
      <c r="ABK28" s="958">
        <f t="shared" si="2"/>
        <v>1.84</v>
      </c>
      <c r="ABL28" s="959"/>
      <c r="ABN28" s="947"/>
      <c r="ABO28" s="947"/>
      <c r="ABP28" s="947"/>
      <c r="ABQ28" s="947"/>
      <c r="ABR28" s="465">
        <v>198</v>
      </c>
      <c r="ABS28" s="956"/>
      <c r="ABT28" s="957"/>
      <c r="ABU28" s="956"/>
      <c r="ABV28" s="957"/>
      <c r="ABW28" s="958">
        <f t="shared" si="3"/>
        <v>2.64</v>
      </c>
      <c r="ABX28" s="959"/>
      <c r="ABZ28" s="947"/>
      <c r="ACA28" s="947"/>
      <c r="ACB28" s="947"/>
      <c r="ACC28" s="947"/>
      <c r="ACD28" s="465">
        <v>258</v>
      </c>
      <c r="ACE28" s="956"/>
      <c r="ACF28" s="957"/>
      <c r="ACG28" s="956"/>
      <c r="ACH28" s="957"/>
      <c r="ACI28" s="958">
        <f t="shared" si="4"/>
        <v>3.4400000000000004</v>
      </c>
      <c r="ACJ28" s="959"/>
      <c r="ADB28" s="1033">
        <v>4</v>
      </c>
      <c r="ADC28" s="1033"/>
      <c r="ADD28" s="863" t="s">
        <v>1602</v>
      </c>
      <c r="ADE28" s="863"/>
      <c r="ADF28" s="863"/>
      <c r="ADG28" s="863"/>
      <c r="ADH28" s="948">
        <f>$YC$22</f>
        <v>9.1500000000000001E-3</v>
      </c>
      <c r="ADI28" s="965"/>
      <c r="ADJ28" s="1032" t="s">
        <v>50</v>
      </c>
      <c r="ADK28" s="1032"/>
      <c r="ADL28" s="1032">
        <f>ADH28/(1+ADL19)</f>
        <v>4.8157894736842108E-3</v>
      </c>
      <c r="ADM28" s="1032"/>
      <c r="ADN28" s="1032">
        <f>'Вывод расчетов'!$YC$22/(1+'Вывод расчетов'!ADN19)</f>
        <v>5.9032258064516127E-3</v>
      </c>
      <c r="ADO28" s="1032"/>
      <c r="ADP28" s="1032">
        <f>'Вывод расчетов'!$YC$22/(1+'Вывод расчетов'!ADP19)</f>
        <v>6.1000000000000004E-3</v>
      </c>
      <c r="ADQ28" s="1032"/>
      <c r="ADR28" s="1032">
        <f>'Вывод расчетов'!$YC$22/(1+'Вывод расчетов'!ADR19)</f>
        <v>6.5357142857142862E-3</v>
      </c>
      <c r="ADS28" s="1032"/>
      <c r="ADT28" s="1032">
        <f>'Вывод расчетов'!$YC$22/(1+'Вывод расчетов'!ADT19)</f>
        <v>7.0384615384615386E-3</v>
      </c>
      <c r="ADU28" s="1032"/>
      <c r="ADV28" s="1032">
        <f>'Вывод расчетов'!$YC$22/(1+'Вывод расчетов'!ADV19)</f>
        <v>5.9032258064516127E-3</v>
      </c>
      <c r="ADW28" s="1032"/>
      <c r="ADX28" s="857"/>
      <c r="ADY28" s="1015"/>
      <c r="ADZ28" s="1015"/>
      <c r="AEA28" s="1015"/>
      <c r="AEB28" s="858"/>
      <c r="AEC28" s="172"/>
      <c r="AED28" s="172"/>
      <c r="AEE28" s="172"/>
      <c r="AEF28" s="172"/>
      <c r="AEG28" s="172"/>
      <c r="AEH28" s="172"/>
      <c r="AEI28" s="172"/>
      <c r="AEJ28" s="172"/>
      <c r="AEK28" s="177"/>
      <c r="AEM28" s="1386"/>
      <c r="AEN28" s="1386"/>
      <c r="AEO28" s="1386"/>
      <c r="AEP28" s="1386"/>
      <c r="AEQ28" s="1386"/>
      <c r="AER28" s="1386"/>
      <c r="AES28" s="1386"/>
      <c r="AET28" s="1386"/>
      <c r="AEU28" s="1386"/>
      <c r="AEV28" s="1386"/>
      <c r="AEW28" s="1386"/>
      <c r="AEX28" s="1386"/>
      <c r="AEY28" s="1386"/>
      <c r="AEZ28" s="1386"/>
      <c r="AFA28" s="1386"/>
      <c r="AFC28" s="1386"/>
      <c r="AFD28" s="1386"/>
      <c r="AFE28" s="1386"/>
      <c r="AFF28" s="1386"/>
      <c r="AFG28" s="1386"/>
      <c r="AFH28" s="1386"/>
      <c r="AFI28" s="1386"/>
      <c r="AFJ28" s="1386"/>
      <c r="AFK28" s="1386"/>
      <c r="AFL28" s="1386"/>
      <c r="AFM28" s="1386"/>
      <c r="AFN28" s="144"/>
      <c r="AFO28" s="144"/>
      <c r="AHO28" s="144"/>
      <c r="AMT28" s="825"/>
      <c r="AMU28" s="147" t="s">
        <v>442</v>
      </c>
      <c r="AMV28" s="148"/>
      <c r="AMW28" s="152"/>
      <c r="AMX28" s="87"/>
      <c r="AMY28" s="87"/>
      <c r="AMZ28" s="87"/>
      <c r="ANA28" s="87"/>
      <c r="ANB28" s="87"/>
      <c r="ANC28" s="87"/>
      <c r="AND28" s="152"/>
      <c r="ANE28" s="85" t="s">
        <v>467</v>
      </c>
      <c r="ANF28" s="757" t="s">
        <v>461</v>
      </c>
      <c r="ANG28" s="758"/>
      <c r="ANH28" s="819" t="s">
        <v>126</v>
      </c>
      <c r="ANI28" s="820"/>
      <c r="ANJ28" s="675" t="s">
        <v>731</v>
      </c>
      <c r="ANK28" s="676"/>
      <c r="ANL28" s="821" t="s">
        <v>473</v>
      </c>
      <c r="ANM28" s="822"/>
      <c r="ANN28" s="822"/>
      <c r="ANO28" s="823"/>
    </row>
    <row r="29" spans="1:1022 1034:1055" ht="48" customHeight="1" thickBot="1">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I29" s="792" t="s">
        <v>1078</v>
      </c>
      <c r="AJ29" s="793"/>
      <c r="AK29" s="794"/>
      <c r="AL29" s="825"/>
      <c r="AM29" s="681">
        <v>1.5</v>
      </c>
      <c r="AN29" s="681"/>
      <c r="AO29" s="129"/>
      <c r="AP29" s="87"/>
      <c r="AQ29" s="87"/>
      <c r="AR29" s="87"/>
      <c r="AS29" s="87"/>
      <c r="AT29" s="87"/>
      <c r="AU29" s="84" t="s">
        <v>477</v>
      </c>
      <c r="AV29" s="129"/>
      <c r="AW29" s="85" t="s">
        <v>467</v>
      </c>
      <c r="AX29" s="1504" t="s">
        <v>461</v>
      </c>
      <c r="AY29" s="1505"/>
      <c r="AZ29" s="1130" t="s">
        <v>126</v>
      </c>
      <c r="BA29" s="1131"/>
      <c r="BB29" s="675" t="s">
        <v>731</v>
      </c>
      <c r="BC29" s="676"/>
      <c r="BD29" s="821" t="s">
        <v>473</v>
      </c>
      <c r="BE29" s="822"/>
      <c r="BF29" s="822"/>
      <c r="BG29" s="823"/>
      <c r="BK29" s="139"/>
      <c r="BL29" s="139"/>
      <c r="BM29" s="139"/>
      <c r="BN29" s="139"/>
      <c r="BO29" s="139"/>
      <c r="BP29" s="139"/>
      <c r="BQ29" s="139"/>
      <c r="BR29" s="139"/>
      <c r="BX29" s="798"/>
      <c r="BY29" s="799"/>
      <c r="BZ29" s="800"/>
      <c r="CA29" s="827"/>
      <c r="CB29" s="734"/>
      <c r="CC29" s="735"/>
      <c r="CD29" s="735"/>
      <c r="CE29" s="735"/>
      <c r="CF29" s="735"/>
      <c r="CG29" s="735"/>
      <c r="CH29" s="735"/>
      <c r="CI29" s="735"/>
      <c r="CJ29" s="735"/>
      <c r="CK29" s="735"/>
      <c r="CL29" s="735"/>
      <c r="CM29" s="735"/>
      <c r="CN29" s="735"/>
      <c r="CO29" s="1443"/>
      <c r="CP29" s="1444"/>
      <c r="CQ29" s="851"/>
      <c r="CR29" s="852"/>
      <c r="CS29" s="713"/>
      <c r="CT29" s="718"/>
      <c r="CU29" s="719"/>
      <c r="CV29" s="747"/>
      <c r="DV29" s="144"/>
      <c r="DW29" s="144"/>
      <c r="DX29" s="144"/>
      <c r="DY29" s="144"/>
      <c r="DZ29" s="767"/>
      <c r="EA29" s="265" t="s">
        <v>1125</v>
      </c>
      <c r="EB29" s="739">
        <f>$CL$40</f>
        <v>1.6231421212121216E-2</v>
      </c>
      <c r="EC29" s="739"/>
      <c r="ED29" s="267" t="s">
        <v>1221</v>
      </c>
      <c r="EE29" s="677">
        <f>$EQ$20</f>
        <v>1.9</v>
      </c>
      <c r="EF29" s="698"/>
      <c r="EG29" s="727"/>
      <c r="EH29" s="727"/>
      <c r="EI29" s="727"/>
      <c r="EJ29" s="727"/>
      <c r="EK29" s="727"/>
      <c r="EL29" s="727"/>
      <c r="EM29" s="728"/>
      <c r="EN29" s="765"/>
      <c r="EO29" s="766"/>
      <c r="EP29" s="761"/>
      <c r="EQ29" s="762"/>
      <c r="ER29" s="1284"/>
      <c r="ES29" s="1471"/>
      <c r="ET29" s="1472"/>
      <c r="EU29" s="1321"/>
      <c r="EV29" s="890"/>
      <c r="EW29" s="841"/>
      <c r="EX29" s="841"/>
      <c r="EY29" s="841"/>
      <c r="EZ29" s="841"/>
      <c r="FA29" s="891"/>
      <c r="FE29" s="144"/>
      <c r="FF29" s="780"/>
      <c r="FG29" s="781"/>
      <c r="FH29" s="782"/>
      <c r="FI29" s="214" t="s">
        <v>899</v>
      </c>
      <c r="FJ29" s="816" t="s">
        <v>1204</v>
      </c>
      <c r="FK29" s="816"/>
      <c r="FL29" s="816"/>
      <c r="FM29" s="816"/>
      <c r="FN29" s="816"/>
      <c r="FO29" s="816"/>
      <c r="FP29" s="816"/>
      <c r="FQ29" s="816"/>
      <c r="FR29" s="816"/>
      <c r="FS29" s="816"/>
      <c r="FT29" s="816"/>
      <c r="FU29" s="816"/>
      <c r="FV29" s="685"/>
      <c r="FW29" s="748">
        <f>ROUND(EN28,1)</f>
        <v>6.7</v>
      </c>
      <c r="FX29" s="749"/>
      <c r="FY29" s="759" t="s">
        <v>50</v>
      </c>
      <c r="FZ29" s="760"/>
      <c r="GA29" s="712"/>
      <c r="GB29" s="716" t="s">
        <v>1200</v>
      </c>
      <c r="GC29" s="717"/>
      <c r="GD29" s="746"/>
      <c r="GF29" s="827"/>
      <c r="GG29" s="247" t="s">
        <v>757</v>
      </c>
      <c r="GH29" s="672">
        <f>$GW$12</f>
        <v>2</v>
      </c>
      <c r="GI29" s="672"/>
      <c r="GJ29" s="706"/>
      <c r="GK29" s="707"/>
      <c r="GL29" s="707"/>
      <c r="GM29" s="707"/>
      <c r="GN29" s="707"/>
      <c r="GO29" s="707"/>
      <c r="GP29" s="707"/>
      <c r="GQ29" s="707"/>
      <c r="GR29" s="707"/>
      <c r="GS29" s="707"/>
      <c r="GT29" s="1089"/>
      <c r="GU29" s="708"/>
      <c r="GV29" s="1215"/>
      <c r="GW29" s="1216"/>
      <c r="GX29" s="713"/>
      <c r="GY29" s="743"/>
      <c r="GZ29" s="745"/>
      <c r="HA29" s="747"/>
      <c r="HB29" s="90"/>
      <c r="HC29" s="88"/>
      <c r="HD29" s="88"/>
      <c r="HE29" s="89"/>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KD29" s="229"/>
      <c r="KE29" s="229"/>
      <c r="KF29" s="229"/>
      <c r="KG29" s="229"/>
      <c r="KH29" s="229"/>
      <c r="KI29" s="229"/>
      <c r="KJ29" s="229"/>
      <c r="KK29" s="229"/>
      <c r="KL29" s="229"/>
      <c r="KM29" s="229"/>
      <c r="KN29" s="229"/>
      <c r="KO29" s="229"/>
      <c r="KP29" s="229"/>
      <c r="KQ29" s="229"/>
      <c r="KR29" s="229"/>
      <c r="KS29" s="229"/>
      <c r="LD29" s="144"/>
      <c r="LE29" s="144"/>
      <c r="LF29" s="144"/>
      <c r="LG29" s="144"/>
      <c r="LH29" s="144"/>
      <c r="LI29" s="144"/>
      <c r="LJ29" s="144"/>
      <c r="LK29" s="144"/>
      <c r="LL29" s="144"/>
      <c r="LM29" s="144"/>
      <c r="LN29" s="144"/>
      <c r="LO29" s="144"/>
      <c r="NA29" s="144"/>
      <c r="NB29" s="144"/>
      <c r="OF29" s="214" t="s">
        <v>899</v>
      </c>
      <c r="OG29" s="821" t="s">
        <v>921</v>
      </c>
      <c r="OH29" s="822"/>
      <c r="OI29" s="823"/>
      <c r="ON29" s="144"/>
      <c r="OO29" s="144"/>
      <c r="OP29" s="144"/>
      <c r="OQ29" s="144"/>
      <c r="OR29" s="144"/>
      <c r="OS29" s="144"/>
      <c r="OT29" s="144"/>
      <c r="OU29" s="144"/>
      <c r="OV29" s="144"/>
      <c r="OW29" s="144"/>
      <c r="OX29" s="144"/>
      <c r="OY29" s="144"/>
      <c r="OZ29" s="144"/>
      <c r="PA29" s="144"/>
      <c r="PB29" s="144"/>
      <c r="PC29" s="144"/>
      <c r="PD29" s="144"/>
      <c r="PE29" s="144"/>
      <c r="PF29" s="403"/>
      <c r="PG29" s="399"/>
      <c r="PH29" s="55"/>
      <c r="PI29" s="399"/>
      <c r="PJ29" s="399"/>
      <c r="PK29" s="399"/>
      <c r="PL29" s="1420" t="s">
        <v>1714</v>
      </c>
      <c r="PM29" s="1421"/>
      <c r="PN29" s="927" t="s">
        <v>1716</v>
      </c>
      <c r="PO29" s="929"/>
      <c r="PP29" s="927" t="s">
        <v>1717</v>
      </c>
      <c r="PQ29" s="929"/>
      <c r="PR29" s="1425" t="s">
        <v>1715</v>
      </c>
      <c r="PS29" s="1426"/>
      <c r="PT29" s="1426"/>
      <c r="PU29" s="1462" t="str">
        <f>PN29</f>
        <v>АВТО</v>
      </c>
      <c r="PV29" s="1463"/>
      <c r="PW29" s="410"/>
      <c r="PX29" s="1000" t="s">
        <v>1</v>
      </c>
      <c r="PY29" s="1001"/>
      <c r="PZ29" s="1001"/>
      <c r="QA29" s="1001"/>
      <c r="QB29" s="1002"/>
      <c r="QC29" s="561" t="s">
        <v>1711</v>
      </c>
      <c r="QD29" s="698">
        <f>$AQ$4</f>
        <v>30000</v>
      </c>
      <c r="QE29" s="699"/>
      <c r="QF29" s="726"/>
      <c r="QG29" s="1419" t="s">
        <v>416</v>
      </c>
      <c r="QH29" s="1419"/>
      <c r="QI29" s="399"/>
      <c r="QJ29" s="399"/>
      <c r="QK29" s="399"/>
      <c r="QL29" s="399"/>
      <c r="QM29" s="399"/>
      <c r="QN29" s="399"/>
      <c r="QO29" s="399"/>
      <c r="QP29" s="399"/>
      <c r="QQ29" s="399"/>
      <c r="QR29" s="399"/>
      <c r="QS29" s="399"/>
      <c r="QT29" s="399"/>
      <c r="QU29" s="399"/>
      <c r="QV29" s="399"/>
      <c r="QW29" s="399"/>
      <c r="QX29" s="399"/>
      <c r="QY29" s="399"/>
      <c r="QZ29" s="399"/>
      <c r="RA29" s="400"/>
      <c r="RC29" s="369">
        <v>11</v>
      </c>
      <c r="RD29" s="668">
        <v>1.0999999999999999E-2</v>
      </c>
      <c r="RE29" s="669"/>
      <c r="RF29" s="670">
        <f t="shared" si="11"/>
        <v>61.911975422799593</v>
      </c>
      <c r="RG29" s="670"/>
      <c r="RH29" s="670"/>
      <c r="RI29" s="670"/>
      <c r="RJ29" s="698">
        <f t="shared" si="12"/>
        <v>30</v>
      </c>
      <c r="RK29" s="699"/>
      <c r="RL29" s="726"/>
      <c r="RM29" s="670">
        <f t="shared" si="13"/>
        <v>62.10047659301604</v>
      </c>
      <c r="RN29" s="670"/>
      <c r="RO29" s="670"/>
      <c r="RP29" s="670"/>
      <c r="RQ29" s="670"/>
      <c r="RR29" s="670"/>
      <c r="RS29" s="671">
        <f t="shared" si="6"/>
        <v>1.560804663639157</v>
      </c>
      <c r="RT29" s="671"/>
      <c r="RU29" s="671"/>
      <c r="RV29" s="671"/>
      <c r="RW29" s="671"/>
      <c r="RX29" s="671"/>
      <c r="RY29" s="681">
        <f t="shared" si="14"/>
        <v>62.120087767788696</v>
      </c>
      <c r="RZ29" s="681"/>
      <c r="SA29" s="681"/>
      <c r="SB29" s="681"/>
      <c r="SC29" s="681">
        <f>'Вывод расчетов'!$AQ$6/RY29</f>
        <v>6.1171838877703983</v>
      </c>
      <c r="SD29" s="681"/>
      <c r="SE29" s="681"/>
      <c r="SF29" s="681"/>
      <c r="SG29" s="867">
        <f t="shared" si="15"/>
        <v>0.99968430220436966</v>
      </c>
      <c r="SH29" s="867"/>
      <c r="SI29" s="867"/>
      <c r="SJ29" s="867"/>
      <c r="SK29" s="874">
        <f t="shared" si="16"/>
        <v>2.5125603000974599E-2</v>
      </c>
      <c r="SL29" s="875"/>
      <c r="SM29" s="875"/>
      <c r="SN29" s="876"/>
      <c r="SO29" s="692">
        <f t="shared" si="26"/>
        <v>6.4655751474328138</v>
      </c>
      <c r="SP29" s="693"/>
      <c r="SQ29" s="693"/>
      <c r="SR29" s="693"/>
      <c r="SS29" s="694"/>
      <c r="ST29" s="668">
        <f t="shared" si="24"/>
        <v>11.135774695844072</v>
      </c>
      <c r="SU29" s="678"/>
      <c r="SV29" s="678"/>
      <c r="SW29" s="678"/>
      <c r="SX29" s="678"/>
      <c r="SY29" s="669"/>
      <c r="SZ29" s="682">
        <f t="shared" si="19"/>
        <v>12.876689794496953</v>
      </c>
      <c r="TA29" s="683"/>
      <c r="TB29" s="683"/>
      <c r="TC29" s="683"/>
      <c r="TD29" s="683"/>
      <c r="TE29" s="684"/>
      <c r="TF29" s="682">
        <f>'Вывод расчетов'!$XC$174*SC29</f>
        <v>6.2146038230016156</v>
      </c>
      <c r="TG29" s="683"/>
      <c r="TH29" s="684"/>
      <c r="TI29" s="681">
        <f t="shared" si="25"/>
        <v>7.3707556680734081</v>
      </c>
      <c r="TJ29" s="681"/>
      <c r="TK29" s="681"/>
      <c r="TL29" s="681"/>
      <c r="TM29" s="685">
        <f t="shared" si="21"/>
        <v>9.2295783393332304E-2</v>
      </c>
      <c r="TN29" s="686"/>
      <c r="TO29" s="686"/>
      <c r="TP29" s="687"/>
      <c r="TQ29" s="688">
        <f t="shared" si="22"/>
        <v>7.6452496763182637E-2</v>
      </c>
      <c r="TR29" s="688"/>
      <c r="TS29" s="688"/>
      <c r="TT29" s="688"/>
      <c r="TU29" s="689">
        <f t="shared" si="27"/>
        <v>2.6181495348854635E-2</v>
      </c>
      <c r="TV29" s="690"/>
      <c r="TW29" s="690"/>
      <c r="TX29" s="690"/>
      <c r="TY29" s="690"/>
      <c r="TZ29" s="691"/>
      <c r="UA29" s="679">
        <v>1.0999999999999999E-2</v>
      </c>
      <c r="UB29" s="680"/>
      <c r="UC29" s="650">
        <v>0.11</v>
      </c>
      <c r="UD29" s="866">
        <f t="shared" si="7"/>
        <v>1.0752165913327829</v>
      </c>
      <c r="UE29" s="866"/>
      <c r="UF29" s="866"/>
      <c r="UG29" s="866"/>
      <c r="UH29" s="866"/>
      <c r="UI29" s="866"/>
      <c r="UJ29" s="866"/>
      <c r="UK29" s="670">
        <f t="shared" si="8"/>
        <v>6.2955390767406252</v>
      </c>
      <c r="UL29" s="670"/>
      <c r="UM29" s="670"/>
      <c r="UN29" s="670"/>
      <c r="UO29" s="688">
        <f t="shared" si="9"/>
        <v>0.85412396777848609</v>
      </c>
      <c r="UP29" s="688"/>
      <c r="UQ29" s="688"/>
      <c r="UR29" s="688"/>
      <c r="US29" s="866">
        <f t="shared" si="10"/>
        <v>0.50211469334269243</v>
      </c>
      <c r="UT29" s="866"/>
      <c r="UU29" s="866"/>
      <c r="UV29" s="866"/>
      <c r="UW29" s="866"/>
      <c r="WC29" s="941"/>
      <c r="WD29" s="942"/>
      <c r="WE29" s="942"/>
      <c r="WF29" s="942"/>
      <c r="WG29" s="942"/>
      <c r="WH29" s="1238"/>
      <c r="WI29" s="181"/>
      <c r="WJ29" s="182"/>
      <c r="WK29" s="182"/>
      <c r="WL29" s="182"/>
      <c r="WM29" s="182"/>
      <c r="WN29" s="185"/>
      <c r="WO29" s="880">
        <v>5</v>
      </c>
      <c r="WP29" s="880"/>
      <c r="WQ29" s="1033" t="s">
        <v>415</v>
      </c>
      <c r="WR29" s="1033"/>
      <c r="WS29" s="1034">
        <f>(WS25^2+WS27^2)^0.5</f>
        <v>34.902141156819653</v>
      </c>
      <c r="WT29" s="1034"/>
      <c r="WU29" s="1034">
        <f>(WU25^2+WU27^2)^0.5</f>
        <v>173.58913497842386</v>
      </c>
      <c r="WV29" s="1034"/>
      <c r="WW29" s="1034">
        <f>(WW25^2+WW27^2)^0.5</f>
        <v>115.79476525702161</v>
      </c>
      <c r="WX29" s="1034"/>
      <c r="WY29" s="1034">
        <f>(WY25^2+WY27^2)^0.5</f>
        <v>8.9946372747653225</v>
      </c>
      <c r="WZ29" s="1034"/>
      <c r="XA29" s="1034">
        <f>(XA25^2+XA27^2)^0.5</f>
        <v>7.29321534069779</v>
      </c>
      <c r="XB29" s="1034"/>
      <c r="XC29" s="1034">
        <f>(XC25^2+XC27^2)^0.5</f>
        <v>6.1690013436228455</v>
      </c>
      <c r="XD29" s="1034"/>
      <c r="XE29" s="181"/>
      <c r="XF29" s="182"/>
      <c r="XG29" s="182"/>
      <c r="XH29" s="185"/>
      <c r="XI29" s="177"/>
      <c r="XO29" s="214" t="s">
        <v>899</v>
      </c>
      <c r="XP29" s="665" t="s">
        <v>442</v>
      </c>
      <c r="XQ29" s="666"/>
      <c r="XR29" s="152"/>
      <c r="XS29" s="87"/>
      <c r="XT29" s="87"/>
      <c r="XU29" s="87"/>
      <c r="XV29" s="87"/>
      <c r="XW29" s="87"/>
      <c r="XX29" s="87"/>
      <c r="XY29" s="152"/>
      <c r="XZ29" s="85" t="s">
        <v>467</v>
      </c>
      <c r="YA29" s="757" t="s">
        <v>461</v>
      </c>
      <c r="YB29" s="899"/>
      <c r="YC29" s="1130" t="s">
        <v>126</v>
      </c>
      <c r="YD29" s="1131"/>
      <c r="YE29" s="675" t="s">
        <v>731</v>
      </c>
      <c r="YF29" s="676"/>
      <c r="YG29" s="769" t="s">
        <v>473</v>
      </c>
      <c r="YH29" s="769"/>
      <c r="YI29" s="769"/>
      <c r="YJ29" s="769"/>
      <c r="YK29" s="769"/>
      <c r="YL29" s="769"/>
      <c r="YM29" s="769" t="s">
        <v>462</v>
      </c>
      <c r="YN29" s="769"/>
      <c r="YO29" s="769"/>
      <c r="YP29" s="769"/>
      <c r="YQ29" s="769"/>
      <c r="YR29" s="769"/>
      <c r="YS29" s="769"/>
      <c r="YT29" s="769"/>
      <c r="YU29" s="769"/>
      <c r="YW29" s="144"/>
      <c r="YX29" s="144"/>
      <c r="ZD29" s="144"/>
      <c r="ZE29" s="144"/>
      <c r="ZF29" s="144"/>
      <c r="ZG29" s="144"/>
      <c r="ZH29" s="144"/>
      <c r="ZI29" s="144"/>
      <c r="ZJ29" s="144"/>
      <c r="ZK29" s="144"/>
      <c r="ZT29" s="144"/>
      <c r="ZU29" s="144"/>
      <c r="ZV29" s="144"/>
      <c r="ZW29" s="144"/>
      <c r="ZX29" s="144"/>
      <c r="ZY29" s="144"/>
      <c r="AAD29" s="947"/>
      <c r="AAE29" s="947"/>
      <c r="AAF29" s="947"/>
      <c r="AAG29" s="947"/>
      <c r="AAH29" s="465">
        <v>19</v>
      </c>
      <c r="AAI29" s="956"/>
      <c r="AAJ29" s="957"/>
      <c r="AAK29" s="956"/>
      <c r="AAL29" s="957"/>
      <c r="AAM29" s="958">
        <f t="shared" si="5"/>
        <v>0.25333333333333335</v>
      </c>
      <c r="AAN29" s="959"/>
      <c r="AAP29" s="947"/>
      <c r="AAQ29" s="947"/>
      <c r="AAR29" s="947"/>
      <c r="AAS29" s="947"/>
      <c r="AAT29" s="465">
        <v>79</v>
      </c>
      <c r="AAU29" s="956"/>
      <c r="AAV29" s="957"/>
      <c r="AAW29" s="956"/>
      <c r="AAX29" s="957"/>
      <c r="AAY29" s="958">
        <f t="shared" si="1"/>
        <v>1.0533333333333335</v>
      </c>
      <c r="AAZ29" s="959"/>
      <c r="ABB29" s="947"/>
      <c r="ABC29" s="947"/>
      <c r="ABD29" s="947"/>
      <c r="ABE29" s="947"/>
      <c r="ABF29" s="465">
        <v>139</v>
      </c>
      <c r="ABG29" s="956"/>
      <c r="ABH29" s="957"/>
      <c r="ABI29" s="956"/>
      <c r="ABJ29" s="957"/>
      <c r="ABK29" s="958">
        <f t="shared" si="2"/>
        <v>1.8533333333333335</v>
      </c>
      <c r="ABL29" s="959"/>
      <c r="ABN29" s="947"/>
      <c r="ABO29" s="947"/>
      <c r="ABP29" s="947"/>
      <c r="ABQ29" s="947"/>
      <c r="ABR29" s="465">
        <v>199</v>
      </c>
      <c r="ABS29" s="956"/>
      <c r="ABT29" s="957"/>
      <c r="ABU29" s="956"/>
      <c r="ABV29" s="957"/>
      <c r="ABW29" s="958">
        <f t="shared" si="3"/>
        <v>2.6533333333333333</v>
      </c>
      <c r="ABX29" s="959"/>
      <c r="ABZ29" s="947"/>
      <c r="ACA29" s="947"/>
      <c r="ACB29" s="947"/>
      <c r="ACC29" s="947"/>
      <c r="ACD29" s="465">
        <v>259</v>
      </c>
      <c r="ACE29" s="956"/>
      <c r="ACF29" s="957"/>
      <c r="ACG29" s="956"/>
      <c r="ACH29" s="957"/>
      <c r="ACI29" s="958">
        <f t="shared" si="4"/>
        <v>3.4533333333333336</v>
      </c>
      <c r="ACJ29" s="959"/>
      <c r="ADB29" s="1033"/>
      <c r="ADC29" s="1033"/>
      <c r="ADD29" s="187"/>
      <c r="ADE29" s="187"/>
      <c r="ADF29" s="187"/>
      <c r="ADG29" s="187"/>
      <c r="ADH29" s="187"/>
      <c r="ADI29" s="188"/>
      <c r="ADJ29" s="1032"/>
      <c r="ADK29" s="1032"/>
      <c r="ADL29" s="1032"/>
      <c r="ADM29" s="1032"/>
      <c r="ADN29" s="1032"/>
      <c r="ADO29" s="1032"/>
      <c r="ADP29" s="1032"/>
      <c r="ADQ29" s="1032"/>
      <c r="ADR29" s="1032"/>
      <c r="ADS29" s="1032"/>
      <c r="ADT29" s="1032"/>
      <c r="ADU29" s="1032"/>
      <c r="ADV29" s="1032"/>
      <c r="ADW29" s="1032"/>
      <c r="ADX29" s="859"/>
      <c r="ADY29" s="1016"/>
      <c r="ADZ29" s="1016"/>
      <c r="AEA29" s="1016"/>
      <c r="AEB29" s="860"/>
      <c r="AEC29" s="172"/>
      <c r="AED29" s="172"/>
      <c r="AEE29" s="172"/>
      <c r="AEF29" s="172"/>
      <c r="AEG29" s="172"/>
      <c r="AEH29" s="172"/>
      <c r="AEI29" s="172"/>
      <c r="AEJ29" s="172"/>
      <c r="AEK29" s="177"/>
      <c r="AEM29" s="1386"/>
      <c r="AEN29" s="1386"/>
      <c r="AEO29" s="1386"/>
      <c r="AEP29" s="1386"/>
      <c r="AEQ29" s="1386"/>
      <c r="AER29" s="1386"/>
      <c r="AES29" s="1386"/>
      <c r="AET29" s="1386"/>
      <c r="AEU29" s="1386"/>
      <c r="AEV29" s="1386"/>
      <c r="AEW29" s="1386"/>
      <c r="AEX29" s="1386"/>
      <c r="AEY29" s="1386"/>
      <c r="AEZ29" s="1386"/>
      <c r="AFA29" s="1386"/>
      <c r="AFC29" s="1386"/>
      <c r="AFD29" s="1386"/>
      <c r="AFE29" s="1386"/>
      <c r="AFF29" s="1386"/>
      <c r="AFG29" s="1386"/>
      <c r="AFH29" s="1386"/>
      <c r="AFI29" s="1386"/>
      <c r="AFJ29" s="1386"/>
      <c r="AFK29" s="1386"/>
      <c r="AFL29" s="1386"/>
      <c r="AFM29" s="1386"/>
      <c r="AFN29" s="144"/>
      <c r="AFO29" s="144"/>
      <c r="AHO29" s="144"/>
      <c r="AIM29" s="214" t="s">
        <v>899</v>
      </c>
      <c r="AIN29" s="147" t="s">
        <v>442</v>
      </c>
      <c r="AIO29" s="148"/>
      <c r="AIP29" s="152"/>
      <c r="AIQ29" s="87"/>
      <c r="AIR29" s="87"/>
      <c r="AIS29" s="87"/>
      <c r="AIT29" s="87"/>
      <c r="AIU29" s="87"/>
      <c r="AIV29" s="87"/>
      <c r="AIW29" s="152"/>
      <c r="AIX29" s="85" t="s">
        <v>467</v>
      </c>
      <c r="AIY29" s="757" t="s">
        <v>461</v>
      </c>
      <c r="AIZ29" s="758"/>
      <c r="AJA29" s="819" t="s">
        <v>126</v>
      </c>
      <c r="AJB29" s="820"/>
      <c r="AJC29" s="675" t="s">
        <v>731</v>
      </c>
      <c r="AJD29" s="676"/>
      <c r="AJE29" s="821" t="s">
        <v>473</v>
      </c>
      <c r="AJF29" s="822"/>
      <c r="AJG29" s="822"/>
      <c r="AJH29" s="823"/>
      <c r="AMA29" s="144"/>
      <c r="AMB29" s="144"/>
      <c r="AMC29" s="144"/>
      <c r="AMD29" s="144"/>
      <c r="AME29" s="144"/>
      <c r="AMF29" s="144"/>
      <c r="AMG29" s="144"/>
      <c r="AMH29" s="144"/>
      <c r="AMT29" s="826"/>
      <c r="AMU29" s="816"/>
      <c r="AMV29" s="816"/>
      <c r="AMW29" s="816"/>
      <c r="AMX29" s="816"/>
      <c r="AMY29" s="816"/>
      <c r="AMZ29" s="816"/>
      <c r="ANA29" s="816"/>
      <c r="ANB29" s="816"/>
      <c r="ANC29" s="816"/>
      <c r="AND29" s="816"/>
      <c r="ANE29" s="816"/>
      <c r="ANF29" s="816"/>
      <c r="ANG29" s="816"/>
      <c r="ANH29" s="763"/>
      <c r="ANI29" s="764"/>
      <c r="ANJ29" s="1005"/>
      <c r="ANK29" s="1006"/>
      <c r="ANL29" s="712"/>
      <c r="ANM29" s="716" t="s">
        <v>442</v>
      </c>
      <c r="ANN29" s="717"/>
      <c r="ANO29" s="746"/>
    </row>
    <row r="30" spans="1:1022 1034:1055" ht="48" customHeight="1" thickBot="1">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I30" s="795"/>
      <c r="AJ30" s="796"/>
      <c r="AK30" s="797"/>
      <c r="AL30" s="826"/>
      <c r="AM30" s="1488" t="s">
        <v>13</v>
      </c>
      <c r="AN30" s="1489"/>
      <c r="AO30" s="1489"/>
      <c r="AP30" s="1489"/>
      <c r="AQ30" s="1489"/>
      <c r="AR30" s="1489"/>
      <c r="AS30" s="1489"/>
      <c r="AT30" s="1489"/>
      <c r="AU30" s="1489"/>
      <c r="AV30" s="1489"/>
      <c r="AW30" s="1489"/>
      <c r="AX30" s="1489"/>
      <c r="AY30" s="1490"/>
      <c r="AZ30" s="1498">
        <v>0.54500000000000004</v>
      </c>
      <c r="BA30" s="1499"/>
      <c r="BB30" s="759" t="s">
        <v>736</v>
      </c>
      <c r="BC30" s="760"/>
      <c r="BD30" s="746"/>
      <c r="BE30" s="740" t="s">
        <v>475</v>
      </c>
      <c r="BF30" s="742"/>
      <c r="BG30" s="746"/>
      <c r="BK30" s="139"/>
      <c r="BL30" s="139"/>
      <c r="BM30" s="139"/>
      <c r="BN30" s="139"/>
      <c r="BO30" s="139"/>
      <c r="BP30" s="139"/>
      <c r="BQ30" s="139"/>
      <c r="BR30" s="139"/>
      <c r="DV30" s="144"/>
      <c r="DW30" s="144"/>
      <c r="DX30" s="144"/>
      <c r="DY30" s="144"/>
      <c r="DZ30" s="768"/>
      <c r="EA30" s="266" t="s">
        <v>1128</v>
      </c>
      <c r="EB30" s="672">
        <f>$AZ$86</f>
        <v>0.13</v>
      </c>
      <c r="EC30" s="672"/>
      <c r="ED30" s="930"/>
      <c r="EE30" s="931"/>
      <c r="EF30" s="931"/>
      <c r="EG30" s="729"/>
      <c r="EH30" s="729"/>
      <c r="EI30" s="729"/>
      <c r="EJ30" s="729"/>
      <c r="EK30" s="729"/>
      <c r="EL30" s="729"/>
      <c r="EM30" s="729"/>
      <c r="EN30" s="1012"/>
      <c r="EO30" s="1013"/>
      <c r="EP30" s="1013"/>
      <c r="EQ30" s="1013"/>
      <c r="ER30" s="1023"/>
      <c r="ES30" s="1023"/>
      <c r="ET30" s="1023"/>
      <c r="EU30" s="1023"/>
      <c r="EV30" s="892"/>
      <c r="EW30" s="893"/>
      <c r="EX30" s="893"/>
      <c r="EY30" s="893"/>
      <c r="EZ30" s="893"/>
      <c r="FA30" s="894"/>
      <c r="FE30" s="144"/>
      <c r="FF30" s="783"/>
      <c r="FG30" s="784"/>
      <c r="FH30" s="785"/>
      <c r="FI30" s="240" t="s">
        <v>703</v>
      </c>
      <c r="FJ30" s="818"/>
      <c r="FK30" s="818"/>
      <c r="FL30" s="818"/>
      <c r="FM30" s="818"/>
      <c r="FN30" s="818"/>
      <c r="FO30" s="818"/>
      <c r="FP30" s="818"/>
      <c r="FQ30" s="818"/>
      <c r="FR30" s="818"/>
      <c r="FS30" s="818"/>
      <c r="FT30" s="818"/>
      <c r="FU30" s="818"/>
      <c r="FV30" s="1106"/>
      <c r="FW30" s="750"/>
      <c r="FX30" s="751"/>
      <c r="FY30" s="761"/>
      <c r="FZ30" s="762"/>
      <c r="GA30" s="713"/>
      <c r="GB30" s="718"/>
      <c r="GC30" s="719"/>
      <c r="GD30" s="747"/>
      <c r="HL30" s="144"/>
      <c r="HM30" s="144"/>
      <c r="HN30" s="144"/>
      <c r="HO30" s="144"/>
      <c r="HP30" s="144"/>
      <c r="HQ30" s="144"/>
      <c r="HR30" s="144"/>
      <c r="HS30" s="144"/>
      <c r="HT30" s="144"/>
      <c r="HU30" s="144"/>
      <c r="HV30" s="144"/>
      <c r="HW30" s="144"/>
      <c r="HX30" s="144"/>
      <c r="HY30" s="144"/>
      <c r="HZ30" s="144"/>
      <c r="IA30" s="144"/>
      <c r="IB30" s="144"/>
      <c r="IC30" s="144"/>
      <c r="ID30" s="144"/>
      <c r="IE30" s="144"/>
      <c r="IF30" s="144"/>
      <c r="IG30" s="144"/>
      <c r="IH30" s="144"/>
      <c r="II30" s="144"/>
      <c r="IJ30" s="144"/>
      <c r="IR30" s="825"/>
      <c r="IS30" s="665" t="s">
        <v>442</v>
      </c>
      <c r="IT30" s="666"/>
      <c r="IU30" s="254"/>
      <c r="IV30" s="87"/>
      <c r="IW30" s="87"/>
      <c r="IX30" s="87"/>
      <c r="IY30" s="87"/>
      <c r="IZ30" s="87"/>
      <c r="JA30" s="87"/>
      <c r="JB30" s="150"/>
      <c r="JC30" s="85" t="s">
        <v>467</v>
      </c>
      <c r="JD30" s="757" t="s">
        <v>461</v>
      </c>
      <c r="JE30" s="899"/>
      <c r="JF30" s="774" t="s">
        <v>126</v>
      </c>
      <c r="JG30" s="776"/>
      <c r="JH30" s="675" t="s">
        <v>731</v>
      </c>
      <c r="JI30" s="676"/>
      <c r="JJ30" s="821" t="s">
        <v>473</v>
      </c>
      <c r="JK30" s="822"/>
      <c r="JL30" s="822"/>
      <c r="JM30" s="823"/>
      <c r="JN30" s="769" t="s">
        <v>462</v>
      </c>
      <c r="JO30" s="769"/>
      <c r="JP30" s="769"/>
      <c r="JQ30" s="769"/>
      <c r="JR30" s="769"/>
      <c r="KD30" s="229"/>
      <c r="KE30" s="229"/>
      <c r="KF30" s="229"/>
      <c r="KG30" s="229"/>
      <c r="KH30" s="229"/>
      <c r="KI30" s="229"/>
      <c r="KJ30" s="229"/>
      <c r="KK30" s="229"/>
      <c r="KL30" s="229"/>
      <c r="KM30" s="229"/>
      <c r="KN30" s="229"/>
      <c r="KO30" s="229"/>
      <c r="KP30" s="229"/>
      <c r="KQ30" s="229"/>
      <c r="KR30" s="229"/>
      <c r="KS30" s="229"/>
      <c r="LD30" s="144"/>
      <c r="LE30" s="144"/>
      <c r="LF30" s="144"/>
      <c r="LG30" s="144"/>
      <c r="LH30" s="144"/>
      <c r="LI30" s="144"/>
      <c r="LJ30" s="144"/>
      <c r="LK30" s="144"/>
      <c r="LL30" s="144"/>
      <c r="LM30" s="144"/>
      <c r="LN30" s="144"/>
      <c r="LO30" s="144"/>
      <c r="LZ30" s="85" t="s">
        <v>839</v>
      </c>
      <c r="MA30" s="665" t="s">
        <v>442</v>
      </c>
      <c r="MB30" s="666"/>
      <c r="MC30" s="152"/>
      <c r="MD30" s="87"/>
      <c r="ME30" s="87"/>
      <c r="MF30" s="87"/>
      <c r="MG30" s="87"/>
      <c r="MH30" s="87"/>
      <c r="MI30" s="87"/>
      <c r="MJ30" s="152"/>
      <c r="MK30" s="85" t="s">
        <v>467</v>
      </c>
      <c r="ML30" s="757" t="s">
        <v>461</v>
      </c>
      <c r="MM30" s="758"/>
      <c r="MN30" s="819" t="s">
        <v>126</v>
      </c>
      <c r="MO30" s="820"/>
      <c r="MP30" s="675" t="s">
        <v>731</v>
      </c>
      <c r="MQ30" s="676"/>
      <c r="MR30" s="821" t="s">
        <v>473</v>
      </c>
      <c r="MS30" s="822"/>
      <c r="MT30" s="822"/>
      <c r="MU30" s="823"/>
      <c r="MV30" s="821" t="s">
        <v>462</v>
      </c>
      <c r="MW30" s="822"/>
      <c r="MX30" s="822"/>
      <c r="MY30" s="822"/>
      <c r="MZ30" s="823"/>
      <c r="NA30" s="144"/>
      <c r="NB30" s="144"/>
      <c r="OF30" s="825"/>
      <c r="OG30" s="1066" t="s">
        <v>920</v>
      </c>
      <c r="OH30" s="1111"/>
      <c r="OI30" s="1067"/>
      <c r="OW30" s="144"/>
      <c r="OX30" s="144"/>
      <c r="OY30" s="144"/>
      <c r="OZ30" s="144"/>
      <c r="PA30" s="144"/>
      <c r="PB30" s="144"/>
      <c r="PC30" s="144"/>
      <c r="PD30" s="144"/>
      <c r="PE30" s="144"/>
      <c r="PF30" s="403"/>
      <c r="PG30" s="399"/>
      <c r="PH30" s="55"/>
      <c r="PI30" s="399"/>
      <c r="PJ30" s="825"/>
      <c r="PK30" s="695" t="s">
        <v>442</v>
      </c>
      <c r="PL30" s="695"/>
      <c r="PM30" s="565"/>
      <c r="PN30" s="514"/>
      <c r="PO30" s="514"/>
      <c r="PP30" s="514"/>
      <c r="PQ30" s="514"/>
      <c r="PR30" s="514"/>
      <c r="PS30" s="514"/>
      <c r="PT30" s="565"/>
      <c r="PU30" s="520" t="s">
        <v>467</v>
      </c>
      <c r="PV30" s="1459" t="s">
        <v>461</v>
      </c>
      <c r="PW30" s="1460"/>
      <c r="PX30" s="1449" t="s">
        <v>126</v>
      </c>
      <c r="PY30" s="1206"/>
      <c r="PZ30" s="971" t="s">
        <v>731</v>
      </c>
      <c r="QA30" s="972"/>
      <c r="QB30" s="1427" t="s">
        <v>473</v>
      </c>
      <c r="QC30" s="1427"/>
      <c r="QD30" s="1427"/>
      <c r="QE30" s="1427"/>
      <c r="QF30" s="1427"/>
      <c r="QG30" s="821" t="s">
        <v>921</v>
      </c>
      <c r="QH30" s="822"/>
      <c r="QI30" s="823"/>
      <c r="QJ30" s="399"/>
      <c r="QK30" s="399"/>
      <c r="QL30" s="399"/>
      <c r="QM30" s="399"/>
      <c r="QN30" s="399"/>
      <c r="QO30" s="399"/>
      <c r="QP30" s="399"/>
      <c r="QQ30" s="399"/>
      <c r="QR30" s="399"/>
      <c r="QS30" s="399"/>
      <c r="QT30" s="399"/>
      <c r="QU30" s="399"/>
      <c r="QV30" s="399"/>
      <c r="QW30" s="399"/>
      <c r="QX30" s="399"/>
      <c r="QY30" s="399"/>
      <c r="QZ30" s="399"/>
      <c r="RA30" s="400"/>
      <c r="RC30" s="369">
        <v>12</v>
      </c>
      <c r="RD30" s="668">
        <v>1.2E-2</v>
      </c>
      <c r="RE30" s="669"/>
      <c r="RF30" s="670">
        <f t="shared" si="11"/>
        <v>56.752644137566293</v>
      </c>
      <c r="RG30" s="670"/>
      <c r="RH30" s="670"/>
      <c r="RI30" s="670"/>
      <c r="RJ30" s="698">
        <f t="shared" si="12"/>
        <v>30</v>
      </c>
      <c r="RK30" s="699"/>
      <c r="RL30" s="726"/>
      <c r="RM30" s="670">
        <f t="shared" si="13"/>
        <v>56.94114530778274</v>
      </c>
      <c r="RN30" s="670"/>
      <c r="RO30" s="670"/>
      <c r="RP30" s="670"/>
      <c r="RQ30" s="670"/>
      <c r="RR30" s="670"/>
      <c r="RS30" s="671">
        <f t="shared" si="6"/>
        <v>1.560804663639157</v>
      </c>
      <c r="RT30" s="671"/>
      <c r="RU30" s="671"/>
      <c r="RV30" s="671"/>
      <c r="RW30" s="671"/>
      <c r="RX30" s="671"/>
      <c r="RY30" s="681">
        <f t="shared" si="14"/>
        <v>56.962532775150251</v>
      </c>
      <c r="RZ30" s="681"/>
      <c r="SA30" s="681"/>
      <c r="SB30" s="681"/>
      <c r="SC30" s="681">
        <f>'Вывод расчетов'!$AQ$6/RY30</f>
        <v>6.6710516805842239</v>
      </c>
      <c r="SD30" s="681"/>
      <c r="SE30" s="681"/>
      <c r="SF30" s="681"/>
      <c r="SG30" s="867">
        <f t="shared" ref="SG30:SG41" si="28">RM30/RY30</f>
        <v>0.99962453447335398</v>
      </c>
      <c r="SH30" s="867"/>
      <c r="SI30" s="867"/>
      <c r="SJ30" s="867"/>
      <c r="SK30" s="874">
        <f t="shared" si="16"/>
        <v>2.7400548880088665E-2</v>
      </c>
      <c r="SL30" s="875"/>
      <c r="SM30" s="875"/>
      <c r="SN30" s="876"/>
      <c r="SO30" s="692">
        <f t="shared" si="26"/>
        <v>7.0188693717829409</v>
      </c>
      <c r="SP30" s="693"/>
      <c r="SQ30" s="693"/>
      <c r="SR30" s="693"/>
      <c r="SS30" s="694"/>
      <c r="ST30" s="668">
        <f t="shared" si="24"/>
        <v>11.164867239651441</v>
      </c>
      <c r="SU30" s="678"/>
      <c r="SV30" s="678"/>
      <c r="SW30" s="678"/>
      <c r="SX30" s="678"/>
      <c r="SY30" s="669"/>
      <c r="SZ30" s="682">
        <f t="shared" si="19"/>
        <v>13.187827256117462</v>
      </c>
      <c r="TA30" s="683"/>
      <c r="TB30" s="683"/>
      <c r="TC30" s="683"/>
      <c r="TD30" s="683"/>
      <c r="TE30" s="684"/>
      <c r="TF30" s="682">
        <f>'Вывод расчетов'!$XC$174*SC30</f>
        <v>6.7772923028329517</v>
      </c>
      <c r="TG30" s="683"/>
      <c r="TH30" s="684"/>
      <c r="TI30" s="681">
        <f t="shared" si="25"/>
        <v>8.0015110838325523</v>
      </c>
      <c r="TJ30" s="681"/>
      <c r="TK30" s="681"/>
      <c r="TL30" s="681"/>
      <c r="TM30" s="685">
        <f t="shared" si="21"/>
        <v>9.6809927093621448E-2</v>
      </c>
      <c r="TN30" s="686"/>
      <c r="TO30" s="686"/>
      <c r="TP30" s="687"/>
      <c r="TQ30" s="688">
        <f t="shared" si="22"/>
        <v>9.0923723249962091E-2</v>
      </c>
      <c r="TR30" s="688"/>
      <c r="TS30" s="688"/>
      <c r="TT30" s="688"/>
      <c r="TU30" s="689">
        <f t="shared" si="27"/>
        <v>2.7462020070005873E-2</v>
      </c>
      <c r="TV30" s="690"/>
      <c r="TW30" s="690"/>
      <c r="TX30" s="690"/>
      <c r="TY30" s="690"/>
      <c r="TZ30" s="691"/>
      <c r="UA30" s="756">
        <v>1.2E-2</v>
      </c>
      <c r="UB30" s="756"/>
      <c r="UC30" s="650">
        <v>0.12</v>
      </c>
      <c r="UD30" s="866">
        <f t="shared" si="7"/>
        <v>1.0954824862410029</v>
      </c>
      <c r="UE30" s="866"/>
      <c r="UF30" s="866"/>
      <c r="UG30" s="866"/>
      <c r="UH30" s="866"/>
      <c r="UI30" s="866"/>
      <c r="UJ30" s="866"/>
      <c r="UK30" s="670">
        <f t="shared" si="8"/>
        <v>6.9060285975915496</v>
      </c>
      <c r="UL30" s="670"/>
      <c r="UM30" s="670"/>
      <c r="UN30" s="670"/>
      <c r="UO30" s="688">
        <f t="shared" si="9"/>
        <v>0.86309054942703523</v>
      </c>
      <c r="UP30" s="688"/>
      <c r="UQ30" s="688"/>
      <c r="UR30" s="688"/>
      <c r="US30" s="866">
        <f t="shared" si="10"/>
        <v>0.5322233325832415</v>
      </c>
      <c r="UT30" s="866"/>
      <c r="UU30" s="866"/>
      <c r="UV30" s="866"/>
      <c r="UW30" s="866"/>
      <c r="WC30" s="967"/>
      <c r="WD30" s="968"/>
      <c r="WE30" s="968"/>
      <c r="WF30" s="968"/>
      <c r="WG30" s="968"/>
      <c r="WH30" s="969"/>
      <c r="WI30" s="183"/>
      <c r="WJ30" s="184"/>
      <c r="WK30" s="184"/>
      <c r="WL30" s="184"/>
      <c r="WM30" s="184"/>
      <c r="WN30" s="186"/>
      <c r="WO30" s="880"/>
      <c r="WP30" s="880"/>
      <c r="WQ30" s="1033"/>
      <c r="WR30" s="1033"/>
      <c r="WS30" s="1034"/>
      <c r="WT30" s="1034"/>
      <c r="WU30" s="1034"/>
      <c r="WV30" s="1034"/>
      <c r="WW30" s="1034"/>
      <c r="WX30" s="1034"/>
      <c r="WY30" s="1034"/>
      <c r="WZ30" s="1034"/>
      <c r="XA30" s="1034"/>
      <c r="XB30" s="1034"/>
      <c r="XC30" s="1034"/>
      <c r="XD30" s="1034"/>
      <c r="XE30" s="183"/>
      <c r="XF30" s="184"/>
      <c r="XG30" s="184"/>
      <c r="XH30" s="186"/>
      <c r="XI30" s="177"/>
      <c r="XO30" s="825"/>
      <c r="XP30" s="1100" t="s">
        <v>1323</v>
      </c>
      <c r="XQ30" s="1101"/>
      <c r="XR30" s="698">
        <f>$ZJ$16</f>
        <v>1</v>
      </c>
      <c r="XS30" s="726"/>
      <c r="XT30" s="940" t="s">
        <v>1567</v>
      </c>
      <c r="XU30" s="940"/>
      <c r="XV30" s="940"/>
      <c r="XW30" s="940"/>
      <c r="XX30" s="940"/>
      <c r="XY30" s="940"/>
      <c r="XZ30" s="940"/>
      <c r="YA30" s="940"/>
      <c r="YB30" s="1003"/>
      <c r="YC30" s="763">
        <f>65.61*YC22*ZJ16</f>
        <v>0.60033150000000002</v>
      </c>
      <c r="YD30" s="764"/>
      <c r="YE30" s="1115" t="s">
        <v>762</v>
      </c>
      <c r="YF30" s="1116"/>
      <c r="YG30" s="1085"/>
      <c r="YH30" s="1092" t="s">
        <v>1568</v>
      </c>
      <c r="YI30" s="1092"/>
      <c r="YJ30" s="1092"/>
      <c r="YK30" s="1092"/>
      <c r="YL30" s="1085"/>
      <c r="YM30" s="767"/>
      <c r="YN30" s="767"/>
      <c r="YO30" s="767"/>
      <c r="YP30" s="767"/>
      <c r="YQ30" s="767"/>
      <c r="YR30" s="767"/>
      <c r="YS30" s="767"/>
      <c r="YT30" s="767"/>
      <c r="YU30" s="767"/>
      <c r="YW30" s="144"/>
      <c r="YX30" s="144"/>
      <c r="ZD30" s="144"/>
      <c r="ZE30" s="144"/>
      <c r="ZF30" s="144"/>
      <c r="ZG30" s="144"/>
      <c r="ZH30" s="144"/>
      <c r="ZI30" s="144"/>
      <c r="ZJ30" s="144"/>
      <c r="ZK30" s="144"/>
      <c r="ZT30" s="144"/>
      <c r="ZU30" s="144"/>
      <c r="ZV30" s="144"/>
      <c r="ZW30" s="144"/>
      <c r="ZX30" s="144"/>
      <c r="ZY30" s="144"/>
      <c r="AAD30" s="947"/>
      <c r="AAE30" s="947"/>
      <c r="AAF30" s="947"/>
      <c r="AAG30" s="947"/>
      <c r="AAH30" s="465">
        <v>20</v>
      </c>
      <c r="AAI30" s="956"/>
      <c r="AAJ30" s="957"/>
      <c r="AAK30" s="956"/>
      <c r="AAL30" s="957"/>
      <c r="AAM30" s="958">
        <f t="shared" ref="AAM30:AAM70" si="29">(4/300*AAH30)</f>
        <v>0.26666666666666666</v>
      </c>
      <c r="AAN30" s="959"/>
      <c r="AAP30" s="947"/>
      <c r="AAQ30" s="947"/>
      <c r="AAR30" s="947"/>
      <c r="AAS30" s="947"/>
      <c r="AAT30" s="465">
        <v>80</v>
      </c>
      <c r="AAU30" s="956"/>
      <c r="AAV30" s="957"/>
      <c r="AAW30" s="956"/>
      <c r="AAX30" s="957"/>
      <c r="AAY30" s="958">
        <f t="shared" si="1"/>
        <v>1.0666666666666667</v>
      </c>
      <c r="AAZ30" s="959"/>
      <c r="ABB30" s="947"/>
      <c r="ABC30" s="947"/>
      <c r="ABD30" s="947"/>
      <c r="ABE30" s="947"/>
      <c r="ABF30" s="465">
        <v>140</v>
      </c>
      <c r="ABG30" s="956"/>
      <c r="ABH30" s="957"/>
      <c r="ABI30" s="956"/>
      <c r="ABJ30" s="957"/>
      <c r="ABK30" s="958">
        <f t="shared" si="2"/>
        <v>1.8666666666666667</v>
      </c>
      <c r="ABL30" s="959"/>
      <c r="ABN30" s="947"/>
      <c r="ABO30" s="947"/>
      <c r="ABP30" s="947"/>
      <c r="ABQ30" s="947"/>
      <c r="ABR30" s="465">
        <v>200</v>
      </c>
      <c r="ABS30" s="956"/>
      <c r="ABT30" s="957"/>
      <c r="ABU30" s="956"/>
      <c r="ABV30" s="957"/>
      <c r="ABW30" s="958">
        <f t="shared" si="3"/>
        <v>2.666666666666667</v>
      </c>
      <c r="ABX30" s="959"/>
      <c r="ABZ30" s="947"/>
      <c r="ACA30" s="947"/>
      <c r="ACB30" s="947"/>
      <c r="ACC30" s="947"/>
      <c r="ACD30" s="465">
        <v>260</v>
      </c>
      <c r="ACE30" s="956"/>
      <c r="ACF30" s="957"/>
      <c r="ACG30" s="956"/>
      <c r="ACH30" s="957"/>
      <c r="ACI30" s="958">
        <f t="shared" si="4"/>
        <v>3.4666666666666668</v>
      </c>
      <c r="ACJ30" s="959"/>
      <c r="ADB30" s="1033"/>
      <c r="ADC30" s="1033"/>
      <c r="ADD30" s="184"/>
      <c r="ADE30" s="184"/>
      <c r="ADF30" s="184"/>
      <c r="ADG30" s="184"/>
      <c r="ADH30" s="184"/>
      <c r="ADI30" s="186"/>
      <c r="ADJ30" s="1032"/>
      <c r="ADK30" s="1032"/>
      <c r="ADL30" s="1032"/>
      <c r="ADM30" s="1032"/>
      <c r="ADN30" s="1032"/>
      <c r="ADO30" s="1032"/>
      <c r="ADP30" s="1032"/>
      <c r="ADQ30" s="1032"/>
      <c r="ADR30" s="1032"/>
      <c r="ADS30" s="1032"/>
      <c r="ADT30" s="1032"/>
      <c r="ADU30" s="1032"/>
      <c r="ADV30" s="1032"/>
      <c r="ADW30" s="1032"/>
      <c r="ADX30" s="859"/>
      <c r="ADY30" s="1016"/>
      <c r="ADZ30" s="1016"/>
      <c r="AEA30" s="1016"/>
      <c r="AEB30" s="860"/>
      <c r="AEC30" s="172"/>
      <c r="AED30" s="172"/>
      <c r="AEE30" s="172"/>
      <c r="AEF30" s="172"/>
      <c r="AEG30" s="172"/>
      <c r="AEH30" s="172"/>
      <c r="AEI30" s="172"/>
      <c r="AEJ30" s="172"/>
      <c r="AEK30" s="177"/>
      <c r="AEM30" s="1386"/>
      <c r="AEN30" s="1386"/>
      <c r="AEO30" s="1386"/>
      <c r="AEP30" s="1386"/>
      <c r="AEQ30" s="1386"/>
      <c r="AER30" s="1386"/>
      <c r="AES30" s="1386"/>
      <c r="AET30" s="1386"/>
      <c r="AEU30" s="1386"/>
      <c r="AEV30" s="1386"/>
      <c r="AEW30" s="1386"/>
      <c r="AEX30" s="1386"/>
      <c r="AEY30" s="1386"/>
      <c r="AEZ30" s="1386"/>
      <c r="AFA30" s="1386"/>
      <c r="AFC30" s="1386"/>
      <c r="AFD30" s="1386"/>
      <c r="AFE30" s="1386"/>
      <c r="AFF30" s="1386"/>
      <c r="AFG30" s="1386"/>
      <c r="AFH30" s="1386"/>
      <c r="AFI30" s="1386"/>
      <c r="AFJ30" s="1386"/>
      <c r="AFK30" s="1386"/>
      <c r="AFL30" s="1386"/>
      <c r="AFM30" s="1386"/>
      <c r="AFN30" s="144"/>
      <c r="AFO30" s="144"/>
      <c r="AHO30" s="144"/>
      <c r="AIM30" s="825"/>
      <c r="AIN30" s="816" t="s">
        <v>403</v>
      </c>
      <c r="AIO30" s="816"/>
      <c r="AIP30" s="816"/>
      <c r="AIQ30" s="816"/>
      <c r="AIR30" s="816"/>
      <c r="AIS30" s="816"/>
      <c r="AIT30" s="816"/>
      <c r="AIU30" s="816"/>
      <c r="AIV30" s="816"/>
      <c r="AIW30" s="816"/>
      <c r="AIX30" s="816"/>
      <c r="AIY30" s="816"/>
      <c r="AIZ30" s="816"/>
      <c r="AJA30" s="752">
        <v>1.07</v>
      </c>
      <c r="AJB30" s="753"/>
      <c r="AJC30" s="849" t="s">
        <v>762</v>
      </c>
      <c r="AJD30" s="850"/>
      <c r="AJE30" s="712"/>
      <c r="AJF30" s="740" t="s">
        <v>974</v>
      </c>
      <c r="AJG30" s="742"/>
      <c r="AJH30" s="746"/>
      <c r="AMA30" s="144"/>
      <c r="AMB30" s="144"/>
      <c r="AMC30" s="144"/>
      <c r="AMD30" s="144"/>
      <c r="AME30" s="144"/>
      <c r="AMF30" s="144"/>
      <c r="AMG30" s="144"/>
      <c r="AMH30" s="144"/>
      <c r="AMT30" s="827"/>
      <c r="AMU30" s="818"/>
      <c r="AMV30" s="818"/>
      <c r="AMW30" s="818"/>
      <c r="AMX30" s="818"/>
      <c r="AMY30" s="818"/>
      <c r="AMZ30" s="818"/>
      <c r="ANA30" s="818"/>
      <c r="ANB30" s="818"/>
      <c r="ANC30" s="818"/>
      <c r="AND30" s="818"/>
      <c r="ANE30" s="818"/>
      <c r="ANF30" s="818"/>
      <c r="ANG30" s="818"/>
      <c r="ANH30" s="765"/>
      <c r="ANI30" s="766"/>
      <c r="ANJ30" s="706"/>
      <c r="ANK30" s="708"/>
      <c r="ANL30" s="713"/>
      <c r="ANM30" s="718"/>
      <c r="ANN30" s="719"/>
      <c r="ANO30" s="747"/>
    </row>
    <row r="31" spans="1:1022 1034:1055" ht="48" customHeight="1" thickBot="1">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I31" s="798"/>
      <c r="AJ31" s="799"/>
      <c r="AK31" s="800"/>
      <c r="AL31" s="827"/>
      <c r="AM31" s="1491"/>
      <c r="AN31" s="805"/>
      <c r="AO31" s="805"/>
      <c r="AP31" s="805"/>
      <c r="AQ31" s="805"/>
      <c r="AR31" s="805"/>
      <c r="AS31" s="805"/>
      <c r="AT31" s="805"/>
      <c r="AU31" s="805"/>
      <c r="AV31" s="805"/>
      <c r="AW31" s="805"/>
      <c r="AX31" s="805"/>
      <c r="AY31" s="1492"/>
      <c r="AZ31" s="1500"/>
      <c r="BA31" s="1501"/>
      <c r="BB31" s="761"/>
      <c r="BC31" s="762"/>
      <c r="BD31" s="747"/>
      <c r="BE31" s="743"/>
      <c r="BF31" s="745"/>
      <c r="BG31" s="747"/>
      <c r="BJ31" s="139"/>
      <c r="BK31" s="139"/>
      <c r="BL31" s="139"/>
      <c r="BM31" s="139"/>
      <c r="BN31" s="139"/>
      <c r="BO31" s="139"/>
      <c r="BP31" s="139"/>
      <c r="BQ31" s="139"/>
      <c r="BR31" s="139"/>
      <c r="BX31" s="933" t="s">
        <v>789</v>
      </c>
      <c r="BY31" s="825"/>
      <c r="BZ31" s="665" t="s">
        <v>773</v>
      </c>
      <c r="CA31" s="666"/>
      <c r="CB31" s="137"/>
      <c r="CC31" s="87"/>
      <c r="CD31" s="87"/>
      <c r="CE31" s="87"/>
      <c r="CF31" s="87"/>
      <c r="CG31" s="87"/>
      <c r="CH31" s="87"/>
      <c r="CI31" s="137"/>
      <c r="CJ31" s="85" t="s">
        <v>467</v>
      </c>
      <c r="CK31" s="757" t="s">
        <v>461</v>
      </c>
      <c r="CL31" s="758"/>
      <c r="CM31" s="819" t="s">
        <v>126</v>
      </c>
      <c r="CN31" s="820"/>
      <c r="CO31" s="675" t="s">
        <v>731</v>
      </c>
      <c r="CP31" s="676"/>
      <c r="CQ31" s="821" t="s">
        <v>473</v>
      </c>
      <c r="CR31" s="822"/>
      <c r="CS31" s="822"/>
      <c r="CT31" s="823"/>
      <c r="DV31" s="144"/>
      <c r="FC31" s="144"/>
      <c r="FD31" s="144"/>
      <c r="FE31" s="144"/>
      <c r="FF31" s="144"/>
      <c r="FG31" s="144"/>
      <c r="FH31" s="144"/>
      <c r="FI31" s="144"/>
      <c r="FJ31" s="144"/>
      <c r="FK31" s="144"/>
      <c r="FL31" s="144"/>
      <c r="FM31" s="144"/>
      <c r="GF31" s="85" t="s">
        <v>839</v>
      </c>
      <c r="GG31" s="665" t="s">
        <v>442</v>
      </c>
      <c r="GH31" s="667"/>
      <c r="GI31" s="254"/>
      <c r="GJ31" s="87"/>
      <c r="GK31" s="87"/>
      <c r="GL31" s="87"/>
      <c r="GM31" s="87"/>
      <c r="GN31" s="87"/>
      <c r="GO31" s="87"/>
      <c r="GP31" s="150"/>
      <c r="GQ31" s="85" t="s">
        <v>467</v>
      </c>
      <c r="GR31" s="757" t="s">
        <v>461</v>
      </c>
      <c r="GS31" s="758"/>
      <c r="GT31" s="819" t="s">
        <v>126</v>
      </c>
      <c r="GU31" s="820"/>
      <c r="GV31" s="675" t="s">
        <v>731</v>
      </c>
      <c r="GW31" s="676"/>
      <c r="GX31" s="821" t="s">
        <v>473</v>
      </c>
      <c r="GY31" s="822"/>
      <c r="GZ31" s="822"/>
      <c r="HA31" s="823"/>
      <c r="HB31" s="821" t="s">
        <v>462</v>
      </c>
      <c r="HC31" s="822"/>
      <c r="HD31" s="823"/>
      <c r="HL31" s="144"/>
      <c r="HM31" s="144"/>
      <c r="HN31" s="144"/>
      <c r="HO31" s="144"/>
      <c r="HP31" s="144"/>
      <c r="HQ31" s="144"/>
      <c r="HR31" s="144"/>
      <c r="HS31" s="144"/>
      <c r="HT31" s="144"/>
      <c r="HU31" s="144"/>
      <c r="HV31" s="144"/>
      <c r="HW31" s="144"/>
      <c r="HX31" s="144"/>
      <c r="HY31" s="144"/>
      <c r="HZ31" s="144"/>
      <c r="IA31" s="144"/>
      <c r="IB31" s="144"/>
      <c r="IC31" s="144"/>
      <c r="ID31" s="144"/>
      <c r="IE31" s="144"/>
      <c r="IF31" s="144"/>
      <c r="IG31" s="144"/>
      <c r="IH31" s="144"/>
      <c r="II31" s="144"/>
      <c r="IJ31" s="144"/>
      <c r="IR31" s="826"/>
      <c r="IS31" s="696" t="s">
        <v>1164</v>
      </c>
      <c r="IT31" s="697"/>
      <c r="IU31" s="698">
        <f>$EQ$67</f>
        <v>10.3</v>
      </c>
      <c r="IV31" s="726"/>
      <c r="IW31" s="939" t="s">
        <v>1157</v>
      </c>
      <c r="IX31" s="940"/>
      <c r="IY31" s="940"/>
      <c r="IZ31" s="940"/>
      <c r="JA31" s="940"/>
      <c r="JB31" s="940"/>
      <c r="JC31" s="940"/>
      <c r="JD31" s="940"/>
      <c r="JE31" s="1003"/>
      <c r="JF31" s="1361">
        <f>(IU32+IU31)/2</f>
        <v>12.45</v>
      </c>
      <c r="JG31" s="1362"/>
      <c r="JH31" s="849" t="s">
        <v>762</v>
      </c>
      <c r="JI31" s="850"/>
      <c r="JJ31" s="714"/>
      <c r="JK31" s="952" t="s">
        <v>1122</v>
      </c>
      <c r="JL31" s="953"/>
      <c r="JM31" s="746"/>
      <c r="JN31" s="767"/>
      <c r="JO31" s="767"/>
      <c r="JP31" s="767"/>
      <c r="JQ31" s="767"/>
      <c r="JR31" s="767"/>
      <c r="JU31" s="144"/>
      <c r="JV31" s="144"/>
      <c r="JW31" s="144"/>
      <c r="JX31" s="144"/>
      <c r="JY31" s="144"/>
      <c r="JZ31" s="144"/>
      <c r="KA31" s="144"/>
      <c r="KB31" s="144"/>
      <c r="KC31" s="144"/>
      <c r="KD31" s="144"/>
      <c r="KE31" s="144"/>
      <c r="KF31" s="144"/>
      <c r="KG31" s="144"/>
      <c r="KH31" s="144"/>
      <c r="KI31" s="144"/>
      <c r="KJ31" s="144"/>
      <c r="KK31" s="144"/>
      <c r="KL31" s="144"/>
      <c r="KM31" s="144"/>
      <c r="KN31" s="144"/>
      <c r="KO31" s="144"/>
      <c r="KP31" s="144"/>
      <c r="KQ31" s="144"/>
      <c r="LZ31" s="825"/>
      <c r="MA31" s="371" t="s">
        <v>1128</v>
      </c>
      <c r="MB31" s="677">
        <f>$AZ$86</f>
        <v>0.13</v>
      </c>
      <c r="MC31" s="677"/>
      <c r="MD31" s="701" t="s">
        <v>86</v>
      </c>
      <c r="ME31" s="701"/>
      <c r="MF31" s="701"/>
      <c r="MG31" s="701"/>
      <c r="MH31" s="701"/>
      <c r="MI31" s="701"/>
      <c r="MJ31" s="701"/>
      <c r="MK31" s="701"/>
      <c r="ML31" s="701"/>
      <c r="MM31" s="702"/>
      <c r="MN31" s="763">
        <f>2*(MB31+MN35)</f>
        <v>0.54777508966062038</v>
      </c>
      <c r="MO31" s="764"/>
      <c r="MP31" s="1183" t="s">
        <v>50</v>
      </c>
      <c r="MQ31" s="1184"/>
      <c r="MR31" s="712"/>
      <c r="MS31" s="952" t="s">
        <v>968</v>
      </c>
      <c r="MT31" s="953"/>
      <c r="MU31" s="746"/>
      <c r="MV31" s="919"/>
      <c r="MW31" s="840"/>
      <c r="MX31" s="840"/>
      <c r="MY31" s="840"/>
      <c r="MZ31" s="920"/>
      <c r="NA31" s="144"/>
      <c r="NB31" s="144"/>
      <c r="OF31" s="827"/>
      <c r="OG31" s="1112"/>
      <c r="OH31" s="1113"/>
      <c r="OI31" s="1114"/>
      <c r="PF31" s="403"/>
      <c r="PG31" s="399"/>
      <c r="PH31" s="55"/>
      <c r="PI31" s="55"/>
      <c r="PJ31" s="826"/>
      <c r="PK31" s="561"/>
      <c r="PL31" s="948"/>
      <c r="PM31" s="965"/>
      <c r="PN31" s="700" t="s">
        <v>1703</v>
      </c>
      <c r="PO31" s="701"/>
      <c r="PP31" s="701"/>
      <c r="PQ31" s="701"/>
      <c r="PR31" s="701"/>
      <c r="PS31" s="701"/>
      <c r="PT31" s="701"/>
      <c r="PU31" s="701"/>
      <c r="PV31" s="701"/>
      <c r="PW31" s="702"/>
      <c r="PX31" s="1397">
        <f>IF(QD29&lt;250000,PX17,
IF(OR(QD29&gt;250000,QD29 = 250000),PX24))</f>
        <v>332.23361083473287</v>
      </c>
      <c r="PY31" s="1398"/>
      <c r="PZ31" s="1258" t="s">
        <v>3</v>
      </c>
      <c r="QA31" s="1259"/>
      <c r="QB31" s="1085"/>
      <c r="QC31" s="1245" t="s">
        <v>1682</v>
      </c>
      <c r="QD31" s="1245"/>
      <c r="QE31" s="1245"/>
      <c r="QF31" s="1085"/>
      <c r="QG31" s="1066" t="s">
        <v>920</v>
      </c>
      <c r="QH31" s="1111"/>
      <c r="QI31" s="1067"/>
      <c r="QJ31" s="399"/>
      <c r="QK31" s="399"/>
      <c r="QL31" s="399"/>
      <c r="QM31" s="399"/>
      <c r="QN31" s="399"/>
      <c r="QO31" s="399"/>
      <c r="QP31" s="399"/>
      <c r="QQ31" s="399"/>
      <c r="QR31" s="399"/>
      <c r="QS31" s="399"/>
      <c r="QT31" s="399"/>
      <c r="QU31" s="399"/>
      <c r="QV31" s="399"/>
      <c r="QW31" s="399"/>
      <c r="QX31" s="399"/>
      <c r="QY31" s="399"/>
      <c r="QZ31" s="399"/>
      <c r="RA31" s="400"/>
      <c r="RC31" s="369">
        <v>13</v>
      </c>
      <c r="RD31" s="668">
        <v>1.2999999999999999E-2</v>
      </c>
      <c r="RE31" s="669"/>
      <c r="RF31" s="670">
        <f t="shared" ref="RF31:RF94" si="30">($RH$14*$RH$15)/RD31</f>
        <v>52.38705612698427</v>
      </c>
      <c r="RG31" s="670"/>
      <c r="RH31" s="670"/>
      <c r="RI31" s="670"/>
      <c r="RJ31" s="698">
        <f t="shared" si="12"/>
        <v>30</v>
      </c>
      <c r="RK31" s="699"/>
      <c r="RL31" s="726"/>
      <c r="RM31" s="670">
        <f t="shared" si="13"/>
        <v>52.575557297200717</v>
      </c>
      <c r="RN31" s="670"/>
      <c r="RO31" s="670"/>
      <c r="RP31" s="670"/>
      <c r="RQ31" s="670"/>
      <c r="RR31" s="670"/>
      <c r="RS31" s="671">
        <f t="shared" si="6"/>
        <v>1.560804663639157</v>
      </c>
      <c r="RT31" s="671"/>
      <c r="RU31" s="671"/>
      <c r="RV31" s="671"/>
      <c r="RW31" s="671"/>
      <c r="RX31" s="671"/>
      <c r="RY31" s="681">
        <f t="shared" si="14"/>
        <v>52.598719911317929</v>
      </c>
      <c r="RZ31" s="681"/>
      <c r="SA31" s="681"/>
      <c r="SB31" s="681"/>
      <c r="SC31" s="681">
        <f>'Вывод расчетов'!$AQ$6/RY31</f>
        <v>7.2245104185174949</v>
      </c>
      <c r="SD31" s="681"/>
      <c r="SE31" s="681"/>
      <c r="SF31" s="681"/>
      <c r="SG31" s="867">
        <f t="shared" si="28"/>
        <v>0.99955963540260551</v>
      </c>
      <c r="SH31" s="867"/>
      <c r="SI31" s="867"/>
      <c r="SJ31" s="867"/>
      <c r="SK31" s="874">
        <f t="shared" si="16"/>
        <v>2.9673814615083643E-2</v>
      </c>
      <c r="SL31" s="875"/>
      <c r="SM31" s="875"/>
      <c r="SN31" s="876"/>
      <c r="SO31" s="692">
        <f t="shared" si="26"/>
        <v>7.5716514410269218</v>
      </c>
      <c r="SP31" s="693"/>
      <c r="SQ31" s="693"/>
      <c r="SR31" s="693"/>
      <c r="SS31" s="694"/>
      <c r="ST31" s="668">
        <f t="shared" si="24"/>
        <v>11.196455544839823</v>
      </c>
      <c r="SU31" s="678"/>
      <c r="SV31" s="678"/>
      <c r="SW31" s="678"/>
      <c r="SX31" s="678"/>
      <c r="SY31" s="669"/>
      <c r="SZ31" s="682">
        <f t="shared" si="19"/>
        <v>13.516305793817313</v>
      </c>
      <c r="TA31" s="683"/>
      <c r="TB31" s="683"/>
      <c r="TC31" s="683"/>
      <c r="TD31" s="683"/>
      <c r="TE31" s="684"/>
      <c r="TF31" s="682">
        <f>'Вывод расчетов'!$XC$174*SC31</f>
        <v>7.3395652133318707</v>
      </c>
      <c r="TG31" s="683"/>
      <c r="TH31" s="684"/>
      <c r="TI31" s="681">
        <f t="shared" si="25"/>
        <v>8.6316826427706914</v>
      </c>
      <c r="TJ31" s="681"/>
      <c r="TK31" s="681"/>
      <c r="TL31" s="681"/>
      <c r="TM31" s="685">
        <f t="shared" si="21"/>
        <v>0.10169261398281891</v>
      </c>
      <c r="TN31" s="686"/>
      <c r="TO31" s="686"/>
      <c r="TP31" s="687"/>
      <c r="TQ31" s="688">
        <f t="shared" si="22"/>
        <v>0.1066363925078089</v>
      </c>
      <c r="TR31" s="688"/>
      <c r="TS31" s="688"/>
      <c r="TT31" s="688"/>
      <c r="TU31" s="689">
        <f t="shared" si="27"/>
        <v>2.88470892397928E-2</v>
      </c>
      <c r="TV31" s="690"/>
      <c r="TW31" s="690"/>
      <c r="TX31" s="690"/>
      <c r="TY31" s="690"/>
      <c r="TZ31" s="691"/>
      <c r="UA31" s="679">
        <v>1.2999999999999999E-2</v>
      </c>
      <c r="UB31" s="680"/>
      <c r="UC31" s="650">
        <v>0.13</v>
      </c>
      <c r="UD31" s="866">
        <f t="shared" si="7"/>
        <v>1.1174629115578341</v>
      </c>
      <c r="UE31" s="866"/>
      <c r="UF31" s="866"/>
      <c r="UG31" s="866"/>
      <c r="UH31" s="866"/>
      <c r="UI31" s="866"/>
      <c r="UJ31" s="866"/>
      <c r="UK31" s="670">
        <f t="shared" si="8"/>
        <v>7.5142197312128571</v>
      </c>
      <c r="UL31" s="670"/>
      <c r="UM31" s="670"/>
      <c r="UN31" s="670"/>
      <c r="UO31" s="688">
        <f t="shared" si="9"/>
        <v>0.87053938869106307</v>
      </c>
      <c r="UP31" s="688"/>
      <c r="UQ31" s="688"/>
      <c r="UR31" s="688"/>
      <c r="US31" s="866">
        <f t="shared" si="10"/>
        <v>0.5601864560130313</v>
      </c>
      <c r="UT31" s="866"/>
      <c r="UU31" s="866"/>
      <c r="UV31" s="866"/>
      <c r="UW31" s="866"/>
      <c r="WC31" s="902"/>
      <c r="WD31" s="903"/>
      <c r="WE31" s="903"/>
      <c r="WF31" s="903"/>
      <c r="WG31" s="903"/>
      <c r="WH31" s="904"/>
      <c r="WI31" s="181"/>
      <c r="WJ31" s="182"/>
      <c r="WK31" s="182"/>
      <c r="WL31" s="182"/>
      <c r="WM31" s="182"/>
      <c r="WN31" s="185"/>
      <c r="WO31" s="880">
        <v>6</v>
      </c>
      <c r="WP31" s="880"/>
      <c r="WQ31" s="1033" t="s">
        <v>35</v>
      </c>
      <c r="WR31" s="1033"/>
      <c r="WS31" s="1034">
        <f>'Вывод расчетов'!$AQ$6/WS29</f>
        <v>10.887584182661254</v>
      </c>
      <c r="WT31" s="1034"/>
      <c r="WU31" s="1034">
        <f>'Вывод расчетов'!$AQ$6/WU29</f>
        <v>2.1890770989050199</v>
      </c>
      <c r="WV31" s="1034"/>
      <c r="WW31" s="1034">
        <f>'Вывод расчетов'!$AQ$6/WW29</f>
        <v>3.2816682097549088</v>
      </c>
      <c r="WX31" s="1034"/>
      <c r="WY31" s="1034">
        <f>'Вывод расчетов'!$AQ$6/WY29</f>
        <v>42.24739568610503</v>
      </c>
      <c r="WZ31" s="1034"/>
      <c r="XA31" s="1034">
        <f>'Вывод расчетов'!$AQ$6/XA29</f>
        <v>52.103219533298862</v>
      </c>
      <c r="XB31" s="1034"/>
      <c r="XC31" s="1034">
        <f>'Вывод расчетов'!$AQ$6/XC29</f>
        <v>61.598300735146033</v>
      </c>
      <c r="XD31" s="1034"/>
      <c r="XE31" s="181"/>
      <c r="XF31" s="182"/>
      <c r="XG31" s="182"/>
      <c r="XH31" s="185"/>
      <c r="XI31" s="177"/>
      <c r="XO31" s="827"/>
      <c r="XP31" s="949" t="s">
        <v>1602</v>
      </c>
      <c r="XQ31" s="950"/>
      <c r="XR31" s="963">
        <f>$YC$22</f>
        <v>9.1500000000000001E-3</v>
      </c>
      <c r="XS31" s="964"/>
      <c r="XT31" s="944"/>
      <c r="XU31" s="944"/>
      <c r="XV31" s="944"/>
      <c r="XW31" s="944"/>
      <c r="XX31" s="944"/>
      <c r="XY31" s="944"/>
      <c r="XZ31" s="944"/>
      <c r="YA31" s="944"/>
      <c r="YB31" s="1004"/>
      <c r="YC31" s="765"/>
      <c r="YD31" s="766"/>
      <c r="YE31" s="1117"/>
      <c r="YF31" s="1118"/>
      <c r="YG31" s="1086"/>
      <c r="YH31" s="1093"/>
      <c r="YI31" s="1093"/>
      <c r="YJ31" s="1093"/>
      <c r="YK31" s="1093"/>
      <c r="YL31" s="1086"/>
      <c r="YM31" s="768"/>
      <c r="YN31" s="768"/>
      <c r="YO31" s="768"/>
      <c r="YP31" s="768"/>
      <c r="YQ31" s="768"/>
      <c r="YR31" s="768"/>
      <c r="YS31" s="768"/>
      <c r="YT31" s="768"/>
      <c r="YU31" s="768"/>
      <c r="YW31" s="144"/>
      <c r="YX31" s="144"/>
      <c r="YY31" s="144"/>
      <c r="YZ31" s="144"/>
      <c r="ZA31" s="144"/>
      <c r="ZB31" s="144"/>
      <c r="ZC31" s="144"/>
      <c r="ZD31" s="144"/>
      <c r="ZE31" s="144"/>
      <c r="ZF31" s="144"/>
      <c r="ZG31" s="144"/>
      <c r="ZH31" s="144"/>
      <c r="ZI31" s="144"/>
      <c r="ZJ31" s="144"/>
      <c r="ZK31" s="144"/>
      <c r="ZL31" s="144"/>
      <c r="ZM31" s="144"/>
      <c r="ZN31" s="144"/>
      <c r="ZO31" s="144"/>
      <c r="ZP31" s="144"/>
      <c r="ZQ31" s="144"/>
      <c r="ZR31" s="144"/>
      <c r="ZS31" s="144"/>
      <c r="ZT31" s="144"/>
      <c r="ZU31" s="144"/>
      <c r="ZV31" s="144"/>
      <c r="ZW31" s="144"/>
      <c r="ZX31" s="144"/>
      <c r="ZY31" s="144"/>
      <c r="AAD31" s="947"/>
      <c r="AAE31" s="947"/>
      <c r="AAF31" s="947"/>
      <c r="AAG31" s="947"/>
      <c r="AAH31" s="465">
        <v>21</v>
      </c>
      <c r="AAI31" s="956"/>
      <c r="AAJ31" s="957"/>
      <c r="AAK31" s="956"/>
      <c r="AAL31" s="957"/>
      <c r="AAM31" s="958">
        <f t="shared" si="29"/>
        <v>0.28000000000000003</v>
      </c>
      <c r="AAN31" s="959"/>
      <c r="AAP31" s="947"/>
      <c r="AAQ31" s="947"/>
      <c r="AAR31" s="947"/>
      <c r="AAS31" s="947"/>
      <c r="AAT31" s="465">
        <v>81</v>
      </c>
      <c r="AAU31" s="956"/>
      <c r="AAV31" s="957"/>
      <c r="AAW31" s="956"/>
      <c r="AAX31" s="957"/>
      <c r="AAY31" s="958">
        <f t="shared" si="1"/>
        <v>1.08</v>
      </c>
      <c r="AAZ31" s="959"/>
      <c r="ABB31" s="947"/>
      <c r="ABC31" s="947"/>
      <c r="ABD31" s="947"/>
      <c r="ABE31" s="947"/>
      <c r="ABF31" s="465">
        <v>141</v>
      </c>
      <c r="ABG31" s="956"/>
      <c r="ABH31" s="957"/>
      <c r="ABI31" s="956"/>
      <c r="ABJ31" s="957"/>
      <c r="ABK31" s="958">
        <f t="shared" si="2"/>
        <v>1.8800000000000001</v>
      </c>
      <c r="ABL31" s="959"/>
      <c r="ABN31" s="947"/>
      <c r="ABO31" s="947"/>
      <c r="ABP31" s="947"/>
      <c r="ABQ31" s="947"/>
      <c r="ABR31" s="465">
        <v>201</v>
      </c>
      <c r="ABS31" s="956"/>
      <c r="ABT31" s="957"/>
      <c r="ABU31" s="956"/>
      <c r="ABV31" s="957"/>
      <c r="ABW31" s="958">
        <f t="shared" si="3"/>
        <v>2.68</v>
      </c>
      <c r="ABX31" s="959"/>
      <c r="ABZ31" s="947"/>
      <c r="ACA31" s="947"/>
      <c r="ACB31" s="947"/>
      <c r="ACC31" s="947"/>
      <c r="ACD31" s="465">
        <v>261</v>
      </c>
      <c r="ACE31" s="956"/>
      <c r="ACF31" s="957"/>
      <c r="ACG31" s="956"/>
      <c r="ACH31" s="957"/>
      <c r="ACI31" s="958">
        <f t="shared" si="4"/>
        <v>3.4800000000000004</v>
      </c>
      <c r="ACJ31" s="959"/>
      <c r="ADB31" s="1035">
        <v>5</v>
      </c>
      <c r="ADC31" s="1036"/>
      <c r="ADD31" s="863" t="s">
        <v>1477</v>
      </c>
      <c r="ADE31" s="863"/>
      <c r="ADF31" s="863"/>
      <c r="ADG31" s="863"/>
      <c r="ADH31" s="739">
        <f>$GT$106</f>
        <v>37.311671496815286</v>
      </c>
      <c r="ADI31" s="739"/>
      <c r="ADJ31" s="1070" t="s">
        <v>762</v>
      </c>
      <c r="ADK31" s="1070"/>
      <c r="ADL31" s="1032">
        <f>'Вывод расчетов'!$GT$106/((3.14*('Вывод расчетов'!$EN$71)^2)/((4*(ADL26+1))))</f>
        <v>0.33348025124207414</v>
      </c>
      <c r="ADM31" s="1032"/>
      <c r="ADN31" s="1032">
        <f>'Вывод расчетов'!$GT$106/((3.14*('Вывод расчетов'!$EN$71)^2)/((4*(ADN26+1))))</f>
        <v>0.32236424286733834</v>
      </c>
      <c r="ADO31" s="1032"/>
      <c r="ADP31" s="1032">
        <f>'Вывод расчетов'!$GT$106/((3.14*('Вывод расчетов'!$EN$71)^2)/((4*(ADP26+1))))</f>
        <v>0.31124823449260247</v>
      </c>
      <c r="ADQ31" s="1032"/>
      <c r="ADR31" s="1032">
        <f>'Вывод расчетов'!$GT$106/((3.14*('Вывод расчетов'!$EN$71)^2)/((4*(ADR26+1))))</f>
        <v>0.28901621774313091</v>
      </c>
      <c r="ADS31" s="1032"/>
      <c r="ADT31" s="1032">
        <f>'Вывод расчетов'!$GT$106/((3.14*('Вывод расчетов'!$EN$71)^2)/((4*(ADT26+1))))</f>
        <v>0.26678420099365924</v>
      </c>
      <c r="ADU31" s="1032"/>
      <c r="ADV31" s="1032">
        <f>'Вывод расчетов'!$GT$106/((3.14*('Вывод расчетов'!$EN$71)^2)/((4*(ADV26+1))))</f>
        <v>0.32236424286733834</v>
      </c>
      <c r="ADW31" s="1032"/>
      <c r="ADX31" s="1049"/>
      <c r="ADY31" s="1049"/>
      <c r="ADZ31" s="1049"/>
      <c r="AEA31" s="1049"/>
      <c r="AEB31" s="1049"/>
      <c r="AEC31" s="1049"/>
      <c r="AED31" s="1049"/>
      <c r="AEE31" s="1049"/>
      <c r="AEF31" s="172"/>
      <c r="AEG31" s="172"/>
      <c r="AEH31" s="172"/>
      <c r="AEI31" s="172"/>
      <c r="AEJ31" s="172"/>
      <c r="AEK31" s="177"/>
      <c r="AEM31" s="1386"/>
      <c r="AEN31" s="1386"/>
      <c r="AEO31" s="1386"/>
      <c r="AEP31" s="1386"/>
      <c r="AEQ31" s="1386"/>
      <c r="AER31" s="1386"/>
      <c r="AES31" s="1386"/>
      <c r="AET31" s="1386"/>
      <c r="AEU31" s="1386"/>
      <c r="AEV31" s="1386"/>
      <c r="AEW31" s="1386"/>
      <c r="AEX31" s="1386"/>
      <c r="AEY31" s="1386"/>
      <c r="AEZ31" s="1386"/>
      <c r="AFA31" s="1386"/>
      <c r="AFC31" s="1386"/>
      <c r="AFD31" s="1386"/>
      <c r="AFE31" s="1386"/>
      <c r="AFF31" s="1386"/>
      <c r="AFG31" s="1386"/>
      <c r="AFH31" s="1386"/>
      <c r="AFI31" s="1386"/>
      <c r="AFJ31" s="1386"/>
      <c r="AFK31" s="1386"/>
      <c r="AFL31" s="1386"/>
      <c r="AFM31" s="1386"/>
      <c r="AFN31" s="144"/>
      <c r="AFO31" s="144"/>
      <c r="AHO31" s="144"/>
      <c r="AIM31" s="827"/>
      <c r="AIN31" s="818"/>
      <c r="AIO31" s="818"/>
      <c r="AIP31" s="818"/>
      <c r="AIQ31" s="818"/>
      <c r="AIR31" s="818"/>
      <c r="AIS31" s="818"/>
      <c r="AIT31" s="818"/>
      <c r="AIU31" s="818"/>
      <c r="AIV31" s="818"/>
      <c r="AIW31" s="818"/>
      <c r="AIX31" s="818"/>
      <c r="AIY31" s="818"/>
      <c r="AIZ31" s="818"/>
      <c r="AJA31" s="754"/>
      <c r="AJB31" s="755"/>
      <c r="AJC31" s="851"/>
      <c r="AJD31" s="852"/>
      <c r="AJE31" s="713"/>
      <c r="AJF31" s="743"/>
      <c r="AJG31" s="745"/>
      <c r="AJH31" s="747"/>
      <c r="AMA31" s="144"/>
      <c r="AMB31" s="144"/>
      <c r="AMC31" s="144"/>
      <c r="AMD31" s="144"/>
      <c r="AME31" s="144"/>
      <c r="AMF31" s="144"/>
      <c r="AMG31" s="144"/>
      <c r="AMH31" s="144"/>
    </row>
    <row r="32" spans="1:1022 1034:1055" ht="48" customHeight="1" thickBot="1">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BH32" s="136"/>
      <c r="BJ32" s="139"/>
      <c r="BK32" s="139"/>
      <c r="BL32" s="139"/>
      <c r="BM32" s="139"/>
      <c r="BN32" s="139"/>
      <c r="BO32" s="139"/>
      <c r="BP32" s="139"/>
      <c r="BQ32" s="139"/>
      <c r="BR32" s="139"/>
      <c r="BX32" s="934"/>
      <c r="BY32" s="826"/>
      <c r="BZ32" s="731" t="s">
        <v>28</v>
      </c>
      <c r="CA32" s="732"/>
      <c r="CB32" s="732"/>
      <c r="CC32" s="732"/>
      <c r="CD32" s="732"/>
      <c r="CE32" s="732"/>
      <c r="CF32" s="732"/>
      <c r="CG32" s="732"/>
      <c r="CH32" s="732"/>
      <c r="CI32" s="732"/>
      <c r="CJ32" s="732"/>
      <c r="CK32" s="732"/>
      <c r="CL32" s="732"/>
      <c r="CM32" s="1335">
        <v>3</v>
      </c>
      <c r="CN32" s="1336"/>
      <c r="CO32" s="849" t="s">
        <v>758</v>
      </c>
      <c r="CP32" s="850"/>
      <c r="CQ32" s="712"/>
      <c r="CR32" s="716" t="s">
        <v>863</v>
      </c>
      <c r="CS32" s="717"/>
      <c r="CT32" s="746"/>
      <c r="DF32" s="144"/>
      <c r="DG32" s="144"/>
      <c r="DH32" s="144"/>
      <c r="DI32" s="144"/>
      <c r="DJ32" s="144"/>
      <c r="DK32" s="144"/>
      <c r="DL32" s="144"/>
      <c r="DM32" s="144"/>
      <c r="DN32" s="144"/>
      <c r="DO32" s="144"/>
      <c r="DP32" s="144"/>
      <c r="DQ32" s="144"/>
      <c r="DR32" s="144"/>
      <c r="DS32" s="144"/>
      <c r="DT32" s="144"/>
      <c r="DU32" s="144"/>
      <c r="DV32" s="144"/>
      <c r="DZ32" s="85" t="s">
        <v>839</v>
      </c>
      <c r="EA32" s="665" t="s">
        <v>442</v>
      </c>
      <c r="EB32" s="667" t="s">
        <v>47</v>
      </c>
      <c r="EC32" s="264"/>
      <c r="ED32" s="585" t="s">
        <v>1749</v>
      </c>
      <c r="EE32" s="756">
        <f>$AZ$86</f>
        <v>0.13</v>
      </c>
      <c r="EF32" s="756"/>
      <c r="EG32" s="87"/>
      <c r="EH32" s="87"/>
      <c r="EI32" s="87"/>
      <c r="EJ32" s="150"/>
      <c r="EK32" s="85" t="s">
        <v>467</v>
      </c>
      <c r="EL32" s="757" t="s">
        <v>461</v>
      </c>
      <c r="EM32" s="758"/>
      <c r="EN32" s="819" t="s">
        <v>126</v>
      </c>
      <c r="EO32" s="820"/>
      <c r="EP32" s="675" t="s">
        <v>731</v>
      </c>
      <c r="EQ32" s="676"/>
      <c r="ER32" s="821" t="s">
        <v>473</v>
      </c>
      <c r="ES32" s="822"/>
      <c r="ET32" s="822"/>
      <c r="EU32" s="823"/>
      <c r="EV32" s="769" t="s">
        <v>462</v>
      </c>
      <c r="EW32" s="769"/>
      <c r="EX32" s="769"/>
      <c r="EY32" s="769"/>
      <c r="EZ32" s="769"/>
      <c r="FC32" s="144"/>
      <c r="FD32" s="144"/>
      <c r="FE32" s="144"/>
      <c r="FF32" s="144"/>
      <c r="FG32" s="144"/>
      <c r="FH32" s="144"/>
      <c r="FI32" s="144"/>
      <c r="FJ32" s="144"/>
      <c r="FK32" s="144"/>
      <c r="FL32" s="144"/>
      <c r="FM32" s="144"/>
      <c r="GF32" s="825"/>
      <c r="GG32" s="257" t="s">
        <v>1187</v>
      </c>
      <c r="GH32" s="739">
        <f>$GT$28</f>
        <v>0.16658500000000001</v>
      </c>
      <c r="GI32" s="739"/>
      <c r="GJ32" s="700" t="s">
        <v>56</v>
      </c>
      <c r="GK32" s="701"/>
      <c r="GL32" s="701"/>
      <c r="GM32" s="701"/>
      <c r="GN32" s="701"/>
      <c r="GO32" s="701"/>
      <c r="GP32" s="701"/>
      <c r="GQ32" s="701"/>
      <c r="GR32" s="701"/>
      <c r="GS32" s="702"/>
      <c r="GT32" s="1087">
        <f>(3.14*GT28)/GW24</f>
        <v>9.0185672413793123E-3</v>
      </c>
      <c r="GU32" s="1006"/>
      <c r="GV32" s="1211" t="s">
        <v>737</v>
      </c>
      <c r="GW32" s="1212"/>
      <c r="GX32" s="712"/>
      <c r="GY32" s="740" t="s">
        <v>1051</v>
      </c>
      <c r="GZ32" s="742"/>
      <c r="HA32" s="746"/>
      <c r="HB32" s="919"/>
      <c r="HC32" s="840"/>
      <c r="HD32" s="920"/>
      <c r="HL32" s="144"/>
      <c r="HM32" s="144"/>
      <c r="HN32" s="144"/>
      <c r="HO32" s="144"/>
      <c r="HP32" s="144"/>
      <c r="HQ32" s="144"/>
      <c r="HR32" s="144"/>
      <c r="HS32" s="144"/>
      <c r="HT32" s="144"/>
      <c r="HU32" s="144"/>
      <c r="HV32" s="144"/>
      <c r="HW32" s="144"/>
      <c r="HX32" s="144"/>
      <c r="HY32" s="144"/>
      <c r="HZ32" s="144"/>
      <c r="IA32" s="144"/>
      <c r="IB32" s="144"/>
      <c r="IC32" s="144"/>
      <c r="ID32" s="144"/>
      <c r="IE32" s="144"/>
      <c r="IF32" s="144"/>
      <c r="IG32" s="144"/>
      <c r="IH32" s="144"/>
      <c r="II32" s="144"/>
      <c r="IJ32" s="144"/>
      <c r="IR32" s="827"/>
      <c r="IS32" s="949" t="s">
        <v>1165</v>
      </c>
      <c r="IT32" s="962"/>
      <c r="IU32" s="1450">
        <f>$EQ$76</f>
        <v>14.6</v>
      </c>
      <c r="IV32" s="1451"/>
      <c r="IW32" s="943"/>
      <c r="IX32" s="944"/>
      <c r="IY32" s="944"/>
      <c r="IZ32" s="944"/>
      <c r="JA32" s="944"/>
      <c r="JB32" s="944"/>
      <c r="JC32" s="944"/>
      <c r="JD32" s="944"/>
      <c r="JE32" s="1004"/>
      <c r="JF32" s="1363"/>
      <c r="JG32" s="1364"/>
      <c r="JH32" s="851"/>
      <c r="JI32" s="852"/>
      <c r="JJ32" s="715"/>
      <c r="JK32" s="954"/>
      <c r="JL32" s="955"/>
      <c r="JM32" s="747"/>
      <c r="JN32" s="768"/>
      <c r="JO32" s="768"/>
      <c r="JP32" s="768"/>
      <c r="JQ32" s="768"/>
      <c r="JR32" s="768"/>
      <c r="JU32" s="144"/>
      <c r="JV32" s="144"/>
      <c r="JW32" s="144"/>
      <c r="JX32" s="144"/>
      <c r="JY32" s="144"/>
      <c r="JZ32" s="144"/>
      <c r="KA32" s="144"/>
      <c r="KB32" s="144"/>
      <c r="KC32" s="144"/>
      <c r="KD32" s="144"/>
      <c r="KE32" s="144"/>
      <c r="KF32" s="144"/>
      <c r="KG32" s="144"/>
      <c r="KH32" s="144"/>
      <c r="KI32" s="144"/>
      <c r="KJ32" s="144"/>
      <c r="KK32" s="144"/>
      <c r="KL32" s="144"/>
      <c r="KM32" s="144"/>
      <c r="KN32" s="144"/>
      <c r="KO32" s="144"/>
      <c r="KP32" s="144"/>
      <c r="KQ32" s="144"/>
      <c r="LM32" s="144"/>
      <c r="LN32" s="144"/>
      <c r="LO32" s="144"/>
      <c r="LP32" s="144"/>
      <c r="LQ32" s="144"/>
      <c r="LR32" s="144"/>
      <c r="LS32" s="144"/>
      <c r="LT32" s="144"/>
      <c r="LZ32" s="827"/>
      <c r="MA32" s="372" t="s">
        <v>1334</v>
      </c>
      <c r="MB32" s="848">
        <f>$MN$35</f>
        <v>0.14388754483031016</v>
      </c>
      <c r="MC32" s="848"/>
      <c r="MD32" s="707"/>
      <c r="ME32" s="707"/>
      <c r="MF32" s="707"/>
      <c r="MG32" s="707"/>
      <c r="MH32" s="707"/>
      <c r="MI32" s="707"/>
      <c r="MJ32" s="707"/>
      <c r="MK32" s="707"/>
      <c r="ML32" s="707"/>
      <c r="MM32" s="708"/>
      <c r="MN32" s="765"/>
      <c r="MO32" s="766"/>
      <c r="MP32" s="1185"/>
      <c r="MQ32" s="1186"/>
      <c r="MR32" s="713"/>
      <c r="MS32" s="954"/>
      <c r="MT32" s="955"/>
      <c r="MU32" s="747"/>
      <c r="MV32" s="892"/>
      <c r="MW32" s="893"/>
      <c r="MX32" s="893"/>
      <c r="MY32" s="893"/>
      <c r="MZ32" s="894"/>
      <c r="NA32" s="144"/>
      <c r="NB32" s="144"/>
      <c r="PF32" s="403"/>
      <c r="PG32" s="399"/>
      <c r="PH32" s="399"/>
      <c r="PI32" s="399"/>
      <c r="PJ32" s="1304"/>
      <c r="PK32" s="564"/>
      <c r="PL32" s="963"/>
      <c r="PM32" s="964"/>
      <c r="PN32" s="706"/>
      <c r="PO32" s="707"/>
      <c r="PP32" s="707"/>
      <c r="PQ32" s="707"/>
      <c r="PR32" s="707"/>
      <c r="PS32" s="707"/>
      <c r="PT32" s="707"/>
      <c r="PU32" s="707"/>
      <c r="PV32" s="707"/>
      <c r="PW32" s="708"/>
      <c r="PX32" s="1399"/>
      <c r="PY32" s="736"/>
      <c r="PZ32" s="1430"/>
      <c r="QA32" s="1431"/>
      <c r="QB32" s="1086"/>
      <c r="QC32" s="1246"/>
      <c r="QD32" s="1246"/>
      <c r="QE32" s="1246"/>
      <c r="QF32" s="1086"/>
      <c r="QG32" s="1112"/>
      <c r="QH32" s="1113"/>
      <c r="QI32" s="1114"/>
      <c r="QJ32" s="399"/>
      <c r="QK32" s="399"/>
      <c r="QL32" s="399"/>
      <c r="QM32" s="399"/>
      <c r="QN32" s="399"/>
      <c r="QO32" s="399"/>
      <c r="QP32" s="399"/>
      <c r="QQ32" s="399"/>
      <c r="QR32" s="399"/>
      <c r="QS32" s="399"/>
      <c r="QT32" s="399"/>
      <c r="QU32" s="399"/>
      <c r="QV32" s="399"/>
      <c r="QW32" s="399"/>
      <c r="QX32" s="399"/>
      <c r="QY32" s="399"/>
      <c r="QZ32" s="399"/>
      <c r="RA32" s="400"/>
      <c r="RC32" s="369">
        <v>14</v>
      </c>
      <c r="RD32" s="668">
        <v>1.4E-2</v>
      </c>
      <c r="RE32" s="669"/>
      <c r="RF32" s="670">
        <f t="shared" si="30"/>
        <v>48.645123546485394</v>
      </c>
      <c r="RG32" s="670"/>
      <c r="RH32" s="670"/>
      <c r="RI32" s="670"/>
      <c r="RJ32" s="698">
        <f t="shared" si="12"/>
        <v>30</v>
      </c>
      <c r="RK32" s="699"/>
      <c r="RL32" s="726"/>
      <c r="RM32" s="670">
        <f t="shared" si="13"/>
        <v>48.833624716701841</v>
      </c>
      <c r="RN32" s="670"/>
      <c r="RO32" s="670"/>
      <c r="RP32" s="670"/>
      <c r="RQ32" s="670"/>
      <c r="RR32" s="670"/>
      <c r="RS32" s="671">
        <f t="shared" si="6"/>
        <v>1.560804663639157</v>
      </c>
      <c r="RT32" s="671"/>
      <c r="RU32" s="671"/>
      <c r="RV32" s="671"/>
      <c r="RW32" s="671"/>
      <c r="RX32" s="671"/>
      <c r="RY32" s="681">
        <f t="shared" si="14"/>
        <v>48.858561319073971</v>
      </c>
      <c r="RZ32" s="681"/>
      <c r="SA32" s="681"/>
      <c r="SB32" s="681"/>
      <c r="SC32" s="681">
        <f>'Вывод расчетов'!$AQ$6/RY32</f>
        <v>7.7775519733048544</v>
      </c>
      <c r="SD32" s="681"/>
      <c r="SE32" s="681"/>
      <c r="SF32" s="681"/>
      <c r="SG32" s="867">
        <f t="shared" si="28"/>
        <v>0.9994896165237187</v>
      </c>
      <c r="SH32" s="867"/>
      <c r="SI32" s="867"/>
      <c r="SJ32" s="867"/>
      <c r="SK32" s="874">
        <f t="shared" si="16"/>
        <v>3.1945366820079334E-2</v>
      </c>
      <c r="SL32" s="875"/>
      <c r="SM32" s="875"/>
      <c r="SN32" s="876"/>
      <c r="SO32" s="692">
        <f t="shared" si="26"/>
        <v>8.1239048804230105</v>
      </c>
      <c r="SP32" s="693"/>
      <c r="SQ32" s="693"/>
      <c r="SR32" s="693"/>
      <c r="SS32" s="694"/>
      <c r="ST32" s="668">
        <f t="shared" si="24"/>
        <v>11.230533512745449</v>
      </c>
      <c r="SU32" s="678"/>
      <c r="SV32" s="678"/>
      <c r="SW32" s="678"/>
      <c r="SX32" s="678"/>
      <c r="SY32" s="669"/>
      <c r="SZ32" s="682">
        <f t="shared" si="19"/>
        <v>13.860833794799628</v>
      </c>
      <c r="TA32" s="683"/>
      <c r="TB32" s="683"/>
      <c r="TC32" s="683"/>
      <c r="TD32" s="683"/>
      <c r="TE32" s="684"/>
      <c r="TF32" s="682">
        <f>'Вывод расчетов'!$XC$174*SC32</f>
        <v>7.9014142967853651</v>
      </c>
      <c r="TG32" s="683"/>
      <c r="TH32" s="684"/>
      <c r="TI32" s="681">
        <f t="shared" si="25"/>
        <v>9.2612515636822312</v>
      </c>
      <c r="TJ32" s="681"/>
      <c r="TK32" s="681"/>
      <c r="TL32" s="681"/>
      <c r="TM32" s="685">
        <f t="shared" si="21"/>
        <v>0.10694293657230482</v>
      </c>
      <c r="TN32" s="686"/>
      <c r="TO32" s="686"/>
      <c r="TP32" s="687"/>
      <c r="TQ32" s="688">
        <f t="shared" si="22"/>
        <v>0.12358747093659272</v>
      </c>
      <c r="TR32" s="688"/>
      <c r="TS32" s="688"/>
      <c r="TT32" s="688"/>
      <c r="TU32" s="689">
        <f t="shared" si="27"/>
        <v>3.0336445431405578E-2</v>
      </c>
      <c r="TV32" s="690"/>
      <c r="TW32" s="690"/>
      <c r="TX32" s="690"/>
      <c r="TY32" s="690"/>
      <c r="TZ32" s="691"/>
      <c r="UA32" s="679">
        <v>1.4E-2</v>
      </c>
      <c r="UB32" s="680"/>
      <c r="UC32" s="650">
        <v>0.14000000000000001</v>
      </c>
      <c r="UD32" s="866">
        <f t="shared" si="7"/>
        <v>1.1411536687677168</v>
      </c>
      <c r="UE32" s="866"/>
      <c r="UF32" s="866"/>
      <c r="UG32" s="866"/>
      <c r="UH32" s="866"/>
      <c r="UI32" s="866"/>
      <c r="UJ32" s="866"/>
      <c r="UK32" s="670">
        <f t="shared" si="8"/>
        <v>8.1200978949145153</v>
      </c>
      <c r="UL32" s="670"/>
      <c r="UM32" s="670"/>
      <c r="UN32" s="670"/>
      <c r="UO32" s="688">
        <f t="shared" si="9"/>
        <v>0.87678191646982973</v>
      </c>
      <c r="UP32" s="688"/>
      <c r="UQ32" s="688"/>
      <c r="UR32" s="688"/>
      <c r="US32" s="866">
        <f t="shared" si="10"/>
        <v>0.58610506414635566</v>
      </c>
      <c r="UT32" s="866"/>
      <c r="UU32" s="866"/>
      <c r="UV32" s="866"/>
      <c r="UW32" s="866"/>
      <c r="WC32" s="905"/>
      <c r="WD32" s="900"/>
      <c r="WE32" s="900"/>
      <c r="WF32" s="900"/>
      <c r="WG32" s="900"/>
      <c r="WH32" s="906"/>
      <c r="WI32" s="183"/>
      <c r="WJ32" s="184"/>
      <c r="WK32" s="184"/>
      <c r="WL32" s="184"/>
      <c r="WM32" s="184"/>
      <c r="WN32" s="186"/>
      <c r="WO32" s="880"/>
      <c r="WP32" s="880"/>
      <c r="WQ32" s="1033"/>
      <c r="WR32" s="1033"/>
      <c r="WS32" s="1034"/>
      <c r="WT32" s="1034"/>
      <c r="WU32" s="1034"/>
      <c r="WV32" s="1034"/>
      <c r="WW32" s="1034"/>
      <c r="WX32" s="1034"/>
      <c r="WY32" s="1034"/>
      <c r="WZ32" s="1034"/>
      <c r="XA32" s="1034"/>
      <c r="XB32" s="1034"/>
      <c r="XC32" s="1034"/>
      <c r="XD32" s="1034"/>
      <c r="XE32" s="183"/>
      <c r="XF32" s="184"/>
      <c r="XG32" s="184"/>
      <c r="XH32" s="186"/>
      <c r="XI32" s="177"/>
      <c r="YY32" s="144"/>
      <c r="ZB32" s="144"/>
      <c r="ZC32" s="144"/>
      <c r="ZD32" s="144"/>
      <c r="ZE32" s="144"/>
      <c r="ZF32" s="144"/>
      <c r="ZG32" s="144"/>
      <c r="ZH32" s="144"/>
      <c r="ZI32" s="144"/>
      <c r="ZJ32" s="144"/>
      <c r="ZK32" s="144"/>
      <c r="ZL32" s="144"/>
      <c r="ZM32" s="144"/>
      <c r="ZN32" s="144"/>
      <c r="ZO32" s="144"/>
      <c r="ZP32" s="144"/>
      <c r="ZQ32" s="144"/>
      <c r="ZR32" s="144"/>
      <c r="ZS32" s="144"/>
      <c r="ZT32" s="144"/>
      <c r="ZU32" s="144"/>
      <c r="ZV32" s="144"/>
      <c r="ZW32" s="144"/>
      <c r="ZX32" s="144"/>
      <c r="ZY32" s="144"/>
      <c r="AAD32" s="947"/>
      <c r="AAE32" s="947"/>
      <c r="AAF32" s="947"/>
      <c r="AAG32" s="947"/>
      <c r="AAH32" s="465">
        <v>22</v>
      </c>
      <c r="AAI32" s="956"/>
      <c r="AAJ32" s="957"/>
      <c r="AAK32" s="956"/>
      <c r="AAL32" s="957"/>
      <c r="AAM32" s="958">
        <f t="shared" si="29"/>
        <v>0.29333333333333333</v>
      </c>
      <c r="AAN32" s="959"/>
      <c r="AAP32" s="947"/>
      <c r="AAQ32" s="947"/>
      <c r="AAR32" s="947"/>
      <c r="AAS32" s="947"/>
      <c r="AAT32" s="465">
        <v>82</v>
      </c>
      <c r="AAU32" s="956"/>
      <c r="AAV32" s="957"/>
      <c r="AAW32" s="956"/>
      <c r="AAX32" s="957"/>
      <c r="AAY32" s="958">
        <f t="shared" si="1"/>
        <v>1.0933333333333335</v>
      </c>
      <c r="AAZ32" s="959"/>
      <c r="ABB32" s="947"/>
      <c r="ABC32" s="947"/>
      <c r="ABD32" s="947"/>
      <c r="ABE32" s="947"/>
      <c r="ABF32" s="465">
        <v>142</v>
      </c>
      <c r="ABG32" s="956"/>
      <c r="ABH32" s="957"/>
      <c r="ABI32" s="956"/>
      <c r="ABJ32" s="957"/>
      <c r="ABK32" s="958">
        <f t="shared" si="2"/>
        <v>1.8933333333333335</v>
      </c>
      <c r="ABL32" s="959"/>
      <c r="ABN32" s="947"/>
      <c r="ABO32" s="947"/>
      <c r="ABP32" s="947"/>
      <c r="ABQ32" s="947"/>
      <c r="ABR32" s="465">
        <v>202</v>
      </c>
      <c r="ABS32" s="956"/>
      <c r="ABT32" s="957"/>
      <c r="ABU32" s="956"/>
      <c r="ABV32" s="957"/>
      <c r="ABW32" s="958">
        <f t="shared" si="3"/>
        <v>2.6933333333333334</v>
      </c>
      <c r="ABX32" s="959"/>
      <c r="ABZ32" s="947"/>
      <c r="ACA32" s="947"/>
      <c r="ACB32" s="947"/>
      <c r="ACC32" s="947"/>
      <c r="ACD32" s="465">
        <v>262</v>
      </c>
      <c r="ACE32" s="956"/>
      <c r="ACF32" s="957"/>
      <c r="ACG32" s="956"/>
      <c r="ACH32" s="957"/>
      <c r="ACI32" s="958">
        <f t="shared" si="4"/>
        <v>3.4933333333333336</v>
      </c>
      <c r="ACJ32" s="959"/>
      <c r="ADB32" s="1037"/>
      <c r="ADC32" s="1038"/>
      <c r="ADD32" s="863" t="s">
        <v>1476</v>
      </c>
      <c r="ADE32" s="863"/>
      <c r="ADF32" s="863"/>
      <c r="ADG32" s="863"/>
      <c r="ADH32" s="739">
        <f>$GT$60</f>
        <v>37.535919540229884</v>
      </c>
      <c r="ADI32" s="739"/>
      <c r="ADJ32" s="1070"/>
      <c r="ADK32" s="1070"/>
      <c r="ADL32" s="1032"/>
      <c r="ADM32" s="1032"/>
      <c r="ADN32" s="1032"/>
      <c r="ADO32" s="1032"/>
      <c r="ADP32" s="1032"/>
      <c r="ADQ32" s="1032"/>
      <c r="ADR32" s="1032"/>
      <c r="ADS32" s="1032"/>
      <c r="ADT32" s="1032"/>
      <c r="ADU32" s="1032"/>
      <c r="ADV32" s="1032"/>
      <c r="ADW32" s="1032"/>
      <c r="ADX32" s="1049"/>
      <c r="ADY32" s="1049"/>
      <c r="ADZ32" s="1049"/>
      <c r="AEA32" s="1049"/>
      <c r="AEB32" s="1049"/>
      <c r="AEC32" s="1049"/>
      <c r="AED32" s="1049"/>
      <c r="AEE32" s="1049"/>
      <c r="AEF32" s="172"/>
      <c r="AEG32" s="172"/>
      <c r="AEH32" s="172"/>
      <c r="AEI32" s="172"/>
      <c r="AEJ32" s="172"/>
      <c r="AEK32" s="177"/>
      <c r="AFM32" s="144"/>
      <c r="AFN32" s="144"/>
      <c r="AFO32" s="144"/>
      <c r="AHO32" s="144"/>
      <c r="AMA32" s="144"/>
      <c r="AMB32" s="144"/>
      <c r="AMC32" s="144"/>
      <c r="AMD32" s="144"/>
      <c r="AME32" s="144"/>
      <c r="AMF32" s="144"/>
      <c r="AMG32" s="144"/>
      <c r="AMH32" s="144"/>
      <c r="AMT32" s="825"/>
      <c r="AMU32" s="147" t="s">
        <v>442</v>
      </c>
      <c r="AMV32" s="148"/>
      <c r="AMW32" s="152"/>
      <c r="AMX32" s="87"/>
      <c r="AMY32" s="87"/>
      <c r="AMZ32" s="87"/>
      <c r="ANA32" s="87"/>
      <c r="ANB32" s="87"/>
      <c r="ANC32" s="87"/>
      <c r="AND32" s="152"/>
      <c r="ANE32" s="85" t="s">
        <v>467</v>
      </c>
      <c r="ANF32" s="757" t="s">
        <v>461</v>
      </c>
      <c r="ANG32" s="758"/>
      <c r="ANH32" s="819" t="s">
        <v>126</v>
      </c>
      <c r="ANI32" s="820"/>
      <c r="ANJ32" s="675" t="s">
        <v>731</v>
      </c>
      <c r="ANK32" s="676"/>
      <c r="ANL32" s="821" t="s">
        <v>473</v>
      </c>
      <c r="ANM32" s="822"/>
      <c r="ANN32" s="822"/>
      <c r="ANO32" s="823"/>
    </row>
    <row r="33" spans="3:1022 1034:1055" ht="48" customHeight="1" thickBot="1">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I33" s="825"/>
      <c r="AJ33" s="681">
        <v>1.6</v>
      </c>
      <c r="AK33" s="681"/>
      <c r="AL33" s="68"/>
      <c r="AM33" s="69"/>
      <c r="AN33" s="87"/>
      <c r="AO33" s="87"/>
      <c r="AP33" s="87"/>
      <c r="AQ33" s="87"/>
      <c r="AR33" s="87"/>
      <c r="AS33" s="68"/>
      <c r="AT33" s="67" t="s">
        <v>467</v>
      </c>
      <c r="AU33" s="1504" t="s">
        <v>461</v>
      </c>
      <c r="AV33" s="1505"/>
      <c r="AW33" s="1130" t="s">
        <v>126</v>
      </c>
      <c r="AX33" s="1131"/>
      <c r="AY33" s="675" t="s">
        <v>731</v>
      </c>
      <c r="AZ33" s="676"/>
      <c r="BA33" s="821" t="s">
        <v>473</v>
      </c>
      <c r="BB33" s="822"/>
      <c r="BC33" s="822"/>
      <c r="BD33" s="823"/>
      <c r="BE33" s="769" t="s">
        <v>472</v>
      </c>
      <c r="BF33" s="769"/>
      <c r="BG33" s="769"/>
      <c r="BH33" s="769"/>
      <c r="BJ33" s="139"/>
      <c r="BK33" s="139"/>
      <c r="BL33" s="139"/>
      <c r="BM33" s="139"/>
      <c r="BN33" s="139"/>
      <c r="BO33" s="3"/>
      <c r="BX33" s="935"/>
      <c r="BY33" s="827"/>
      <c r="BZ33" s="734"/>
      <c r="CA33" s="735"/>
      <c r="CB33" s="735"/>
      <c r="CC33" s="735"/>
      <c r="CD33" s="735"/>
      <c r="CE33" s="735"/>
      <c r="CF33" s="735"/>
      <c r="CG33" s="735"/>
      <c r="CH33" s="735"/>
      <c r="CI33" s="735"/>
      <c r="CJ33" s="735"/>
      <c r="CK33" s="735"/>
      <c r="CL33" s="735"/>
      <c r="CM33" s="1337"/>
      <c r="CN33" s="1338"/>
      <c r="CO33" s="851"/>
      <c r="CP33" s="852"/>
      <c r="CQ33" s="713"/>
      <c r="CR33" s="718"/>
      <c r="CS33" s="719"/>
      <c r="CT33" s="747"/>
      <c r="DF33" s="144"/>
      <c r="DG33" s="144"/>
      <c r="DH33" s="144"/>
      <c r="DI33" s="144"/>
      <c r="DJ33" s="144"/>
      <c r="DK33" s="144"/>
      <c r="DL33" s="144"/>
      <c r="DM33" s="144"/>
      <c r="DN33" s="144"/>
      <c r="DO33" s="144"/>
      <c r="DP33" s="144"/>
      <c r="DQ33" s="144"/>
      <c r="DR33" s="144"/>
      <c r="DS33" s="144"/>
      <c r="DT33" s="144"/>
      <c r="DU33" s="144"/>
      <c r="DV33" s="144"/>
      <c r="DZ33" s="825"/>
      <c r="EA33" s="265" t="s">
        <v>806</v>
      </c>
      <c r="EB33" s="739">
        <f>$CL$88</f>
        <v>1.6841666110977177E-2</v>
      </c>
      <c r="EC33" s="739"/>
      <c r="ED33" s="265" t="s">
        <v>1124</v>
      </c>
      <c r="EE33" s="677">
        <f>$EQ$37</f>
        <v>0.97</v>
      </c>
      <c r="EF33" s="677"/>
      <c r="EG33" s="727" t="s">
        <v>1223</v>
      </c>
      <c r="EH33" s="727" t="s">
        <v>53</v>
      </c>
      <c r="EI33" s="727"/>
      <c r="EJ33" s="727"/>
      <c r="EK33" s="727"/>
      <c r="EL33" s="727"/>
      <c r="EM33" s="1493"/>
      <c r="EN33" s="748">
        <f>((EB33*10^3)/(2*EB34*EE32*EE33))</f>
        <v>44.51933944218127</v>
      </c>
      <c r="EO33" s="749"/>
      <c r="EP33" s="759" t="s">
        <v>50</v>
      </c>
      <c r="EQ33" s="760"/>
      <c r="ER33" s="712"/>
      <c r="ES33" s="740" t="s">
        <v>1082</v>
      </c>
      <c r="ET33" s="742"/>
      <c r="EU33" s="746"/>
      <c r="EV33" s="767"/>
      <c r="EW33" s="767"/>
      <c r="EX33" s="767"/>
      <c r="EY33" s="767"/>
      <c r="EZ33" s="767"/>
      <c r="FC33" s="144"/>
      <c r="FD33" s="144"/>
      <c r="FE33" s="144"/>
      <c r="FF33" s="144"/>
      <c r="FG33" s="144"/>
      <c r="FH33" s="144"/>
      <c r="FI33" s="144"/>
      <c r="FJ33" s="144"/>
      <c r="FK33" s="144"/>
      <c r="FL33" s="144"/>
      <c r="FM33" s="144"/>
      <c r="FT33" s="144"/>
      <c r="FU33" s="144"/>
      <c r="FV33" s="144"/>
      <c r="FW33" s="144"/>
      <c r="FX33" s="144"/>
      <c r="FY33" s="144"/>
      <c r="FZ33" s="144"/>
      <c r="GA33" s="144"/>
      <c r="GF33" s="827"/>
      <c r="GG33" s="247" t="s">
        <v>1180</v>
      </c>
      <c r="GH33" s="883">
        <f>$GW$24</f>
        <v>58</v>
      </c>
      <c r="GI33" s="883"/>
      <c r="GJ33" s="706"/>
      <c r="GK33" s="707"/>
      <c r="GL33" s="707"/>
      <c r="GM33" s="707"/>
      <c r="GN33" s="707"/>
      <c r="GO33" s="707"/>
      <c r="GP33" s="707"/>
      <c r="GQ33" s="707"/>
      <c r="GR33" s="707"/>
      <c r="GS33" s="708"/>
      <c r="GT33" s="1089"/>
      <c r="GU33" s="708"/>
      <c r="GV33" s="1215"/>
      <c r="GW33" s="1216"/>
      <c r="GX33" s="713"/>
      <c r="GY33" s="743"/>
      <c r="GZ33" s="745"/>
      <c r="HA33" s="747"/>
      <c r="HB33" s="892"/>
      <c r="HC33" s="893"/>
      <c r="HD33" s="894"/>
      <c r="HL33" s="144"/>
      <c r="HM33" s="144"/>
      <c r="HN33" s="144"/>
      <c r="HO33" s="144"/>
      <c r="HP33" s="144"/>
      <c r="HQ33" s="144"/>
      <c r="HR33" s="144"/>
      <c r="HS33" s="144"/>
      <c r="HT33" s="144"/>
      <c r="HU33" s="144"/>
      <c r="HV33" s="144"/>
      <c r="HW33" s="144"/>
      <c r="HX33" s="144"/>
      <c r="HY33" s="144"/>
      <c r="HZ33" s="144"/>
      <c r="IA33" s="144"/>
      <c r="IB33" s="144"/>
      <c r="IC33" s="144"/>
      <c r="ID33" s="144"/>
      <c r="IE33" s="144"/>
      <c r="IF33" s="144"/>
      <c r="IG33" s="144"/>
      <c r="IH33" s="144"/>
      <c r="II33" s="144"/>
      <c r="IJ33" s="144"/>
      <c r="JU33" s="144"/>
      <c r="JV33" s="144"/>
      <c r="JW33" s="144"/>
      <c r="JX33" s="144"/>
      <c r="JY33" s="144"/>
      <c r="JZ33" s="144"/>
      <c r="KA33" s="144"/>
      <c r="KB33" s="144"/>
      <c r="KC33" s="144"/>
      <c r="KD33" s="144"/>
      <c r="KE33" s="144"/>
      <c r="KF33" s="144"/>
      <c r="KG33" s="144"/>
      <c r="KH33" s="144"/>
      <c r="KI33" s="144"/>
      <c r="KJ33" s="144"/>
      <c r="KK33" s="144"/>
      <c r="KL33" s="144"/>
      <c r="KM33" s="144"/>
      <c r="KN33" s="144"/>
      <c r="KO33" s="144"/>
      <c r="KP33" s="144"/>
      <c r="KQ33" s="144"/>
      <c r="LM33" s="144"/>
      <c r="LN33" s="144"/>
      <c r="LO33" s="144"/>
      <c r="LP33" s="144"/>
      <c r="LQ33" s="144"/>
      <c r="LR33" s="144"/>
      <c r="LS33" s="144"/>
      <c r="LT33" s="144"/>
      <c r="NA33" s="144"/>
      <c r="NB33" s="144"/>
      <c r="PF33" s="404"/>
      <c r="PG33" s="401"/>
      <c r="PH33" s="401"/>
      <c r="PI33" s="401"/>
      <c r="PJ33" s="401"/>
      <c r="PK33" s="401"/>
      <c r="PL33" s="401"/>
      <c r="PM33" s="401"/>
      <c r="PN33" s="401"/>
      <c r="PO33" s="401"/>
      <c r="PP33" s="401"/>
      <c r="PQ33" s="401"/>
      <c r="PR33" s="401"/>
      <c r="PS33" s="401"/>
      <c r="PT33" s="401"/>
      <c r="PU33" s="401"/>
      <c r="PV33" s="401"/>
      <c r="PW33" s="401"/>
      <c r="PX33" s="401"/>
      <c r="PY33" s="401"/>
      <c r="PZ33" s="401"/>
      <c r="QA33" s="401"/>
      <c r="QB33" s="401"/>
      <c r="QC33" s="401"/>
      <c r="QD33" s="401"/>
      <c r="QE33" s="401"/>
      <c r="QF33" s="401"/>
      <c r="QG33" s="401"/>
      <c r="QH33" s="401"/>
      <c r="QI33" s="401"/>
      <c r="QJ33" s="401"/>
      <c r="QK33" s="401"/>
      <c r="QL33" s="401"/>
      <c r="QM33" s="401"/>
      <c r="QN33" s="401"/>
      <c r="QO33" s="401"/>
      <c r="QP33" s="401"/>
      <c r="QQ33" s="401"/>
      <c r="QR33" s="401"/>
      <c r="QS33" s="401"/>
      <c r="QT33" s="401"/>
      <c r="QU33" s="401"/>
      <c r="QV33" s="401"/>
      <c r="QW33" s="401"/>
      <c r="QX33" s="401"/>
      <c r="QY33" s="401"/>
      <c r="QZ33" s="401"/>
      <c r="RA33" s="402"/>
      <c r="RC33" s="369">
        <v>15</v>
      </c>
      <c r="RD33" s="668">
        <v>1.4999999999999999E-2</v>
      </c>
      <c r="RE33" s="669"/>
      <c r="RF33" s="670">
        <f t="shared" si="30"/>
        <v>45.402115310053034</v>
      </c>
      <c r="RG33" s="670"/>
      <c r="RH33" s="670"/>
      <c r="RI33" s="670"/>
      <c r="RJ33" s="698">
        <f t="shared" si="12"/>
        <v>30</v>
      </c>
      <c r="RK33" s="699"/>
      <c r="RL33" s="726"/>
      <c r="RM33" s="670">
        <f t="shared" si="13"/>
        <v>45.590616480269482</v>
      </c>
      <c r="RN33" s="670"/>
      <c r="RO33" s="670"/>
      <c r="RP33" s="670"/>
      <c r="RQ33" s="670"/>
      <c r="RR33" s="670"/>
      <c r="RS33" s="671">
        <f t="shared" si="6"/>
        <v>1.560804663639157</v>
      </c>
      <c r="RT33" s="671"/>
      <c r="RU33" s="671"/>
      <c r="RV33" s="671"/>
      <c r="RW33" s="671"/>
      <c r="RX33" s="671"/>
      <c r="RY33" s="681">
        <f t="shared" si="14"/>
        <v>45.617325899805408</v>
      </c>
      <c r="RZ33" s="681"/>
      <c r="SA33" s="681"/>
      <c r="SB33" s="681"/>
      <c r="SC33" s="681">
        <f>'Вывод расчетов'!$AQ$6/RY33</f>
        <v>8.3301682530588881</v>
      </c>
      <c r="SD33" s="681"/>
      <c r="SE33" s="681"/>
      <c r="SF33" s="681"/>
      <c r="SG33" s="867">
        <f t="shared" si="28"/>
        <v>0.99941448958243206</v>
      </c>
      <c r="SH33" s="867"/>
      <c r="SI33" s="867"/>
      <c r="SJ33" s="867"/>
      <c r="SK33" s="874">
        <f t="shared" si="16"/>
        <v>3.4215172258613584E-2</v>
      </c>
      <c r="SL33" s="875"/>
      <c r="SM33" s="875"/>
      <c r="SN33" s="876"/>
      <c r="SO33" s="692">
        <f t="shared" si="26"/>
        <v>8.6756132938978769</v>
      </c>
      <c r="SP33" s="693"/>
      <c r="SQ33" s="693"/>
      <c r="SR33" s="693"/>
      <c r="SS33" s="694"/>
      <c r="ST33" s="668">
        <f t="shared" si="24"/>
        <v>11.267094903717638</v>
      </c>
      <c r="SU33" s="678"/>
      <c r="SV33" s="678"/>
      <c r="SW33" s="678"/>
      <c r="SX33" s="678"/>
      <c r="SY33" s="669"/>
      <c r="SZ33" s="682">
        <f t="shared" si="19"/>
        <v>14.220186130801437</v>
      </c>
      <c r="TA33" s="683"/>
      <c r="TB33" s="683"/>
      <c r="TC33" s="683"/>
      <c r="TD33" s="683"/>
      <c r="TE33" s="684"/>
      <c r="TF33" s="682">
        <f>'Вывод расчетов'!$XC$174*SC33</f>
        <v>8.4628313324377107</v>
      </c>
      <c r="TG33" s="683"/>
      <c r="TH33" s="684"/>
      <c r="TI33" s="681">
        <f t="shared" si="25"/>
        <v>9.8901991550435788</v>
      </c>
      <c r="TJ33" s="681"/>
      <c r="TK33" s="681"/>
      <c r="TL33" s="681"/>
      <c r="TM33" s="685">
        <f t="shared" si="21"/>
        <v>0.11255996657365237</v>
      </c>
      <c r="TN33" s="686"/>
      <c r="TO33" s="686"/>
      <c r="TP33" s="687"/>
      <c r="TQ33" s="688">
        <f t="shared" si="22"/>
        <v>0.14177385480640864</v>
      </c>
      <c r="TR33" s="688"/>
      <c r="TS33" s="688"/>
      <c r="TT33" s="688"/>
      <c r="TU33" s="689">
        <f t="shared" si="27"/>
        <v>3.192982531776431E-2</v>
      </c>
      <c r="TV33" s="690"/>
      <c r="TW33" s="690"/>
      <c r="TX33" s="690"/>
      <c r="TY33" s="690"/>
      <c r="TZ33" s="691"/>
      <c r="UA33" s="756">
        <v>1.4999999999999999E-2</v>
      </c>
      <c r="UB33" s="756"/>
      <c r="UC33" s="650">
        <v>0.15</v>
      </c>
      <c r="UD33" s="866">
        <f t="shared" si="7"/>
        <v>1.1665504625252388</v>
      </c>
      <c r="UE33" s="866"/>
      <c r="UF33" s="866"/>
      <c r="UG33" s="866"/>
      <c r="UH33" s="866"/>
      <c r="UI33" s="866"/>
      <c r="UJ33" s="866"/>
      <c r="UK33" s="670">
        <f t="shared" si="8"/>
        <v>8.7236486925183403</v>
      </c>
      <c r="UL33" s="670"/>
      <c r="UM33" s="670"/>
      <c r="UN33" s="670"/>
      <c r="UO33" s="688">
        <f t="shared" si="9"/>
        <v>0.88204985114679435</v>
      </c>
      <c r="UP33" s="688"/>
      <c r="UQ33" s="688"/>
      <c r="UR33" s="688"/>
      <c r="US33" s="866">
        <f t="shared" si="10"/>
        <v>0.61009140204615075</v>
      </c>
      <c r="UT33" s="866"/>
      <c r="UU33" s="866"/>
      <c r="UV33" s="866"/>
      <c r="UW33" s="866"/>
      <c r="WC33" s="905"/>
      <c r="WD33" s="900"/>
      <c r="WE33" s="900"/>
      <c r="WF33" s="900"/>
      <c r="WG33" s="900"/>
      <c r="WH33" s="906"/>
      <c r="WI33" s="181"/>
      <c r="WJ33" s="182"/>
      <c r="WK33" s="182"/>
      <c r="WL33" s="182"/>
      <c r="WM33" s="182"/>
      <c r="WN33" s="185"/>
      <c r="WO33" s="880">
        <v>7</v>
      </c>
      <c r="WP33" s="880"/>
      <c r="WQ33" s="1033" t="s">
        <v>400</v>
      </c>
      <c r="WR33" s="1033"/>
      <c r="WS33" s="1034">
        <f>WS25/WS29</f>
        <v>0.99899958484314499</v>
      </c>
      <c r="WT33" s="1034"/>
      <c r="WU33" s="1034">
        <f>WU25/WU29</f>
        <v>0.99995957678865022</v>
      </c>
      <c r="WV33" s="1034"/>
      <c r="WW33" s="1034">
        <f>WW25/WW29</f>
        <v>0.99990915333546326</v>
      </c>
      <c r="WX33" s="1034"/>
      <c r="WY33" s="1034">
        <f>WY25/WY29</f>
        <v>0.98482926420658479</v>
      </c>
      <c r="WZ33" s="1034"/>
      <c r="XA33" s="1034">
        <f>XA25/XA29</f>
        <v>0.97683196073728806</v>
      </c>
      <c r="XB33" s="1034"/>
      <c r="XC33" s="1034">
        <f>XC25/XC29</f>
        <v>0.96746427236827437</v>
      </c>
      <c r="XD33" s="1034"/>
      <c r="XE33" s="181"/>
      <c r="XF33" s="182"/>
      <c r="XG33" s="182"/>
      <c r="XH33" s="185"/>
      <c r="XI33" s="177"/>
      <c r="XO33" s="825"/>
      <c r="XP33" s="665" t="s">
        <v>442</v>
      </c>
      <c r="XQ33" s="666"/>
      <c r="XR33" s="470"/>
      <c r="XS33" s="87"/>
      <c r="XT33" s="87"/>
      <c r="XU33" s="87"/>
      <c r="XV33" s="87"/>
      <c r="XW33" s="87"/>
      <c r="XX33" s="87"/>
      <c r="XY33" s="470"/>
      <c r="XZ33" s="85" t="s">
        <v>467</v>
      </c>
      <c r="YA33" s="757" t="s">
        <v>461</v>
      </c>
      <c r="YB33" s="899"/>
      <c r="YC33" s="1130" t="s">
        <v>126</v>
      </c>
      <c r="YD33" s="1131"/>
      <c r="YE33" s="675" t="s">
        <v>731</v>
      </c>
      <c r="YF33" s="676"/>
      <c r="YG33" s="769" t="s">
        <v>473</v>
      </c>
      <c r="YH33" s="769"/>
      <c r="YI33" s="769"/>
      <c r="YJ33" s="769"/>
      <c r="YK33" s="769"/>
      <c r="YL33" s="769"/>
      <c r="YM33" s="821" t="s">
        <v>921</v>
      </c>
      <c r="YN33" s="822"/>
      <c r="YO33" s="823"/>
      <c r="YS33" s="473" t="s">
        <v>1189</v>
      </c>
      <c r="YT33" s="677">
        <f>$CL$52</f>
        <v>32.488628979857047</v>
      </c>
      <c r="YU33" s="677"/>
      <c r="YW33" s="673" t="s">
        <v>1185</v>
      </c>
      <c r="YX33" s="674"/>
      <c r="YY33" s="1074">
        <f>$IH$88</f>
        <v>4.8</v>
      </c>
      <c r="YZ33" s="1074"/>
      <c r="ZB33" s="1382" t="s">
        <v>1192</v>
      </c>
      <c r="ZC33" s="1382"/>
      <c r="ZD33" s="1382"/>
      <c r="ZE33" s="677">
        <f>$GW$77</f>
        <v>1</v>
      </c>
      <c r="ZF33" s="677"/>
      <c r="ZG33" s="144"/>
      <c r="ZH33" s="144"/>
      <c r="ZI33" s="144"/>
      <c r="ZJ33" s="144"/>
      <c r="AAD33" s="947"/>
      <c r="AAE33" s="947"/>
      <c r="AAF33" s="947"/>
      <c r="AAG33" s="947"/>
      <c r="AAH33" s="465">
        <v>23</v>
      </c>
      <c r="AAI33" s="956"/>
      <c r="AAJ33" s="957"/>
      <c r="AAK33" s="956"/>
      <c r="AAL33" s="957"/>
      <c r="AAM33" s="958">
        <f t="shared" si="29"/>
        <v>0.3066666666666667</v>
      </c>
      <c r="AAN33" s="959"/>
      <c r="AAP33" s="947"/>
      <c r="AAQ33" s="947"/>
      <c r="AAR33" s="947"/>
      <c r="AAS33" s="947"/>
      <c r="AAT33" s="465">
        <v>83</v>
      </c>
      <c r="AAU33" s="956"/>
      <c r="AAV33" s="957"/>
      <c r="AAW33" s="956"/>
      <c r="AAX33" s="957"/>
      <c r="AAY33" s="958">
        <f t="shared" si="1"/>
        <v>1.1066666666666667</v>
      </c>
      <c r="AAZ33" s="959"/>
      <c r="ABB33" s="947"/>
      <c r="ABC33" s="947"/>
      <c r="ABD33" s="947"/>
      <c r="ABE33" s="947"/>
      <c r="ABF33" s="465">
        <v>143</v>
      </c>
      <c r="ABG33" s="956"/>
      <c r="ABH33" s="957"/>
      <c r="ABI33" s="956"/>
      <c r="ABJ33" s="957"/>
      <c r="ABK33" s="958">
        <f t="shared" si="2"/>
        <v>1.9066666666666667</v>
      </c>
      <c r="ABL33" s="959"/>
      <c r="ABN33" s="947"/>
      <c r="ABO33" s="947"/>
      <c r="ABP33" s="947"/>
      <c r="ABQ33" s="947"/>
      <c r="ABR33" s="465">
        <v>203</v>
      </c>
      <c r="ABS33" s="956"/>
      <c r="ABT33" s="957"/>
      <c r="ABU33" s="956"/>
      <c r="ABV33" s="957"/>
      <c r="ABW33" s="958">
        <f t="shared" si="3"/>
        <v>2.706666666666667</v>
      </c>
      <c r="ABX33" s="959"/>
      <c r="ABZ33" s="947"/>
      <c r="ACA33" s="947"/>
      <c r="ACB33" s="947"/>
      <c r="ACC33" s="947"/>
      <c r="ACD33" s="465">
        <v>263</v>
      </c>
      <c r="ACE33" s="956"/>
      <c r="ACF33" s="957"/>
      <c r="ACG33" s="956"/>
      <c r="ACH33" s="957"/>
      <c r="ACI33" s="958">
        <f t="shared" si="4"/>
        <v>3.5066666666666668</v>
      </c>
      <c r="ACJ33" s="959"/>
      <c r="ADB33" s="1039"/>
      <c r="ADC33" s="1040"/>
      <c r="ADD33" s="184"/>
      <c r="ADE33" s="184"/>
      <c r="ADF33" s="184"/>
      <c r="ADG33" s="184"/>
      <c r="ADH33" s="184"/>
      <c r="ADI33" s="186"/>
      <c r="ADJ33" s="1070"/>
      <c r="ADK33" s="1070"/>
      <c r="ADL33" s="1032"/>
      <c r="ADM33" s="1032"/>
      <c r="ADN33" s="1032"/>
      <c r="ADO33" s="1032"/>
      <c r="ADP33" s="1032"/>
      <c r="ADQ33" s="1032"/>
      <c r="ADR33" s="1032"/>
      <c r="ADS33" s="1032"/>
      <c r="ADT33" s="1032"/>
      <c r="ADU33" s="1032"/>
      <c r="ADV33" s="1032"/>
      <c r="ADW33" s="1032"/>
      <c r="ADX33" s="1049"/>
      <c r="ADY33" s="1049"/>
      <c r="ADZ33" s="1049"/>
      <c r="AEA33" s="1049"/>
      <c r="AEB33" s="1049"/>
      <c r="AEC33" s="1049"/>
      <c r="AED33" s="1049"/>
      <c r="AEE33" s="1049"/>
      <c r="AEF33" s="172"/>
      <c r="AEG33" s="172"/>
      <c r="AEH33" s="172"/>
      <c r="AEI33" s="172"/>
      <c r="AEJ33" s="172"/>
      <c r="AEK33" s="177"/>
      <c r="AFM33" s="144"/>
      <c r="AFN33" s="144"/>
      <c r="AFO33" s="144"/>
      <c r="AHO33" s="144"/>
      <c r="AIM33" s="214" t="s">
        <v>899</v>
      </c>
      <c r="AIN33" s="147" t="s">
        <v>442</v>
      </c>
      <c r="AIO33" s="148"/>
      <c r="AIP33" s="152"/>
      <c r="AIQ33" s="87"/>
      <c r="AIR33" s="87"/>
      <c r="AIS33" s="87"/>
      <c r="AIT33" s="87"/>
      <c r="AIU33" s="87"/>
      <c r="AIV33" s="87"/>
      <c r="AIW33" s="152"/>
      <c r="AIX33" s="85" t="s">
        <v>467</v>
      </c>
      <c r="AIY33" s="757" t="s">
        <v>461</v>
      </c>
      <c r="AIZ33" s="758"/>
      <c r="AJA33" s="819" t="s">
        <v>126</v>
      </c>
      <c r="AJB33" s="820"/>
      <c r="AJC33" s="675" t="s">
        <v>731</v>
      </c>
      <c r="AJD33" s="676"/>
      <c r="AJE33" s="821" t="s">
        <v>473</v>
      </c>
      <c r="AJF33" s="822"/>
      <c r="AJG33" s="822"/>
      <c r="AJH33" s="823"/>
      <c r="AMA33" s="144"/>
      <c r="AMB33" s="144"/>
      <c r="AMC33" s="144"/>
      <c r="AMD33" s="144"/>
      <c r="AME33" s="144"/>
      <c r="AMF33" s="144"/>
      <c r="AMG33" s="144"/>
      <c r="AMH33" s="144"/>
      <c r="AMT33" s="826"/>
      <c r="AMU33" s="816"/>
      <c r="AMV33" s="816"/>
      <c r="AMW33" s="816"/>
      <c r="AMX33" s="816"/>
      <c r="AMY33" s="816"/>
      <c r="AMZ33" s="816"/>
      <c r="ANA33" s="816"/>
      <c r="ANB33" s="816"/>
      <c r="ANC33" s="816"/>
      <c r="AND33" s="816"/>
      <c r="ANE33" s="816"/>
      <c r="ANF33" s="816"/>
      <c r="ANG33" s="816"/>
      <c r="ANH33" s="763"/>
      <c r="ANI33" s="764"/>
      <c r="ANJ33" s="1005"/>
      <c r="ANK33" s="1006"/>
      <c r="ANL33" s="712"/>
      <c r="ANM33" s="716" t="s">
        <v>442</v>
      </c>
      <c r="ANN33" s="717"/>
      <c r="ANO33" s="746"/>
    </row>
    <row r="34" spans="3:1022 1034:1055" ht="48" customHeight="1" thickBot="1">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I34" s="826"/>
      <c r="AJ34" s="1488" t="s">
        <v>11</v>
      </c>
      <c r="AK34" s="1489"/>
      <c r="AL34" s="1489"/>
      <c r="AM34" s="1489"/>
      <c r="AN34" s="1489"/>
      <c r="AO34" s="1489"/>
      <c r="AP34" s="1489"/>
      <c r="AQ34" s="1489"/>
      <c r="AR34" s="1489"/>
      <c r="AS34" s="1489"/>
      <c r="AT34" s="1489"/>
      <c r="AU34" s="1489"/>
      <c r="AV34" s="1489"/>
      <c r="AW34" s="1511">
        <f>AZ30*AZ21</f>
        <v>0.17058500000000001</v>
      </c>
      <c r="AX34" s="1512"/>
      <c r="AY34" s="1400" t="s">
        <v>737</v>
      </c>
      <c r="AZ34" s="1401"/>
      <c r="BA34" s="746"/>
      <c r="BB34" s="740" t="s">
        <v>470</v>
      </c>
      <c r="BC34" s="742"/>
      <c r="BD34" s="746"/>
      <c r="BE34" s="919"/>
      <c r="BF34" s="840"/>
      <c r="BG34" s="840"/>
      <c r="BH34" s="920"/>
      <c r="BM34" s="139"/>
      <c r="BN34" s="139"/>
      <c r="BO34" s="3"/>
      <c r="DF34" s="144"/>
      <c r="DG34" s="144"/>
      <c r="DH34" s="144"/>
      <c r="DI34" s="144"/>
      <c r="DJ34" s="144"/>
      <c r="DK34" s="144"/>
      <c r="DL34" s="144"/>
      <c r="DM34" s="144"/>
      <c r="DN34" s="144"/>
      <c r="DO34" s="144"/>
      <c r="DP34" s="144"/>
      <c r="DQ34" s="144"/>
      <c r="DR34" s="144"/>
      <c r="DS34" s="144"/>
      <c r="DT34" s="144"/>
      <c r="DU34" s="144"/>
      <c r="DV34" s="144"/>
      <c r="DW34" s="144"/>
      <c r="DX34" s="144"/>
      <c r="DY34" s="144"/>
      <c r="DZ34" s="827"/>
      <c r="EA34" s="266" t="s">
        <v>1222</v>
      </c>
      <c r="EB34" s="828">
        <f>$EQ$12</f>
        <v>1.5</v>
      </c>
      <c r="EC34" s="828"/>
      <c r="ED34" s="930"/>
      <c r="EE34" s="931"/>
      <c r="EF34" s="931"/>
      <c r="EG34" s="729"/>
      <c r="EH34" s="729"/>
      <c r="EI34" s="729"/>
      <c r="EJ34" s="729"/>
      <c r="EK34" s="729"/>
      <c r="EL34" s="729"/>
      <c r="EM34" s="1494"/>
      <c r="EN34" s="750"/>
      <c r="EO34" s="751"/>
      <c r="EP34" s="761"/>
      <c r="EQ34" s="762"/>
      <c r="ER34" s="713"/>
      <c r="ES34" s="743"/>
      <c r="ET34" s="745"/>
      <c r="EU34" s="747"/>
      <c r="EV34" s="768"/>
      <c r="EW34" s="768"/>
      <c r="EX34" s="768"/>
      <c r="EY34" s="768"/>
      <c r="EZ34" s="768"/>
      <c r="FC34" s="144"/>
      <c r="FD34" s="144"/>
      <c r="FE34" s="144"/>
      <c r="FF34" s="144"/>
      <c r="FG34" s="144"/>
      <c r="FH34" s="144"/>
      <c r="FI34" s="144"/>
      <c r="FJ34" s="144"/>
      <c r="FK34" s="144"/>
      <c r="FL34" s="144"/>
      <c r="FM34" s="144"/>
      <c r="FT34" s="144"/>
      <c r="FU34" s="144"/>
      <c r="FV34" s="144"/>
      <c r="FW34" s="144"/>
      <c r="FX34" s="144"/>
      <c r="FY34" s="144"/>
      <c r="FZ34" s="144"/>
      <c r="GA34" s="144"/>
      <c r="HN34" s="144"/>
      <c r="HO34" s="144"/>
      <c r="HP34" s="144"/>
      <c r="HQ34" s="144"/>
      <c r="HR34" s="144"/>
      <c r="HS34" s="144"/>
      <c r="HT34" s="144"/>
      <c r="IT34" s="202"/>
      <c r="IU34" s="665" t="s">
        <v>880</v>
      </c>
      <c r="IV34" s="667"/>
      <c r="IW34" s="202"/>
      <c r="IX34" s="685" t="s">
        <v>69</v>
      </c>
      <c r="IY34" s="686"/>
      <c r="IZ34" s="686"/>
      <c r="JA34" s="686"/>
      <c r="JB34" s="686"/>
      <c r="JC34" s="686"/>
      <c r="JD34" s="686"/>
      <c r="JE34" s="686"/>
      <c r="JF34" s="686"/>
      <c r="JG34" s="686"/>
      <c r="JH34" s="687"/>
      <c r="JI34" s="202"/>
      <c r="JU34" s="144"/>
      <c r="JV34" s="144"/>
      <c r="JW34" s="144"/>
      <c r="JX34" s="144"/>
      <c r="JY34" s="144"/>
      <c r="JZ34" s="144"/>
      <c r="KA34" s="144"/>
      <c r="KB34" s="144"/>
      <c r="KC34" s="144"/>
      <c r="KD34" s="144"/>
      <c r="KE34" s="144"/>
      <c r="KF34" s="144"/>
      <c r="KG34" s="144"/>
      <c r="KH34" s="144"/>
      <c r="KI34" s="144"/>
      <c r="KJ34" s="144"/>
      <c r="KK34" s="144"/>
      <c r="KL34" s="144"/>
      <c r="KM34" s="144"/>
      <c r="KN34" s="144"/>
      <c r="KO34" s="144"/>
      <c r="KP34" s="144"/>
      <c r="KQ34" s="144"/>
      <c r="KR34" s="144"/>
      <c r="KS34" s="229"/>
      <c r="LM34" s="144"/>
      <c r="LN34" s="144"/>
      <c r="LO34" s="144"/>
      <c r="LP34" s="144"/>
      <c r="LQ34" s="144"/>
      <c r="LR34" s="144"/>
      <c r="LS34" s="144"/>
      <c r="LT34" s="144"/>
      <c r="LZ34" s="85" t="s">
        <v>839</v>
      </c>
      <c r="MA34" s="147" t="s">
        <v>442</v>
      </c>
      <c r="MB34" s="148"/>
      <c r="MC34" s="370"/>
      <c r="MD34" s="371" t="s">
        <v>1069</v>
      </c>
      <c r="ME34" s="677">
        <f>$MO$39</f>
        <v>0.01</v>
      </c>
      <c r="MF34" s="677"/>
      <c r="MG34" s="87"/>
      <c r="MH34" s="87"/>
      <c r="MI34" s="87"/>
      <c r="MJ34" s="370"/>
      <c r="MK34" s="85" t="s">
        <v>467</v>
      </c>
      <c r="ML34" s="757" t="s">
        <v>461</v>
      </c>
      <c r="MM34" s="758"/>
      <c r="MN34" s="819" t="s">
        <v>126</v>
      </c>
      <c r="MO34" s="820"/>
      <c r="MP34" s="675" t="s">
        <v>731</v>
      </c>
      <c r="MQ34" s="676"/>
      <c r="MR34" s="821" t="s">
        <v>473</v>
      </c>
      <c r="MS34" s="1224"/>
      <c r="MT34" s="1224"/>
      <c r="MU34" s="823"/>
      <c r="MV34" s="769" t="s">
        <v>462</v>
      </c>
      <c r="MW34" s="769"/>
      <c r="MX34" s="769"/>
      <c r="MY34" s="769"/>
      <c r="MZ34" s="769"/>
      <c r="NA34" s="144"/>
      <c r="NB34" s="144"/>
      <c r="NC34" s="144"/>
      <c r="ND34" s="144"/>
      <c r="NE34" s="144"/>
      <c r="NF34" s="144"/>
      <c r="NG34" s="144"/>
      <c r="NH34" s="144"/>
      <c r="NI34" s="144"/>
      <c r="PF34" s="150"/>
      <c r="PG34" s="973"/>
      <c r="PH34" s="973"/>
      <c r="PI34" s="973"/>
      <c r="PJ34" s="973"/>
      <c r="PK34" s="973"/>
      <c r="PL34" s="973"/>
      <c r="PM34" s="973"/>
      <c r="PN34" s="973"/>
      <c r="PO34" s="973"/>
      <c r="PP34" s="973"/>
      <c r="PQ34" s="973"/>
      <c r="PR34" s="973"/>
      <c r="PS34" s="973"/>
      <c r="PT34" s="973"/>
      <c r="PU34" s="973"/>
      <c r="PV34" s="973"/>
      <c r="PW34" s="973"/>
      <c r="PX34" s="973"/>
      <c r="PY34" s="973"/>
      <c r="PZ34" s="973"/>
      <c r="QA34" s="973"/>
      <c r="QB34" s="973"/>
      <c r="QC34" s="973"/>
      <c r="QD34" s="973"/>
      <c r="QE34" s="973"/>
      <c r="QF34" s="973"/>
      <c r="QG34" s="973"/>
      <c r="QH34" s="973"/>
      <c r="QI34" s="973"/>
      <c r="QJ34" s="973"/>
      <c r="QK34" s="973"/>
      <c r="QL34" s="973"/>
      <c r="QM34" s="973"/>
      <c r="QN34" s="973"/>
      <c r="QO34" s="973"/>
      <c r="QP34" s="973"/>
      <c r="QQ34" s="973"/>
      <c r="QR34" s="973"/>
      <c r="QS34" s="973"/>
      <c r="QT34" s="973"/>
      <c r="QU34" s="973"/>
      <c r="QV34" s="973"/>
      <c r="QW34" s="973"/>
      <c r="QX34" s="973"/>
      <c r="QY34" s="973"/>
      <c r="QZ34" s="973"/>
      <c r="RA34" s="150"/>
      <c r="RC34" s="369">
        <v>16</v>
      </c>
      <c r="RD34" s="668">
        <v>1.6E-2</v>
      </c>
      <c r="RE34" s="669"/>
      <c r="RF34" s="670">
        <f t="shared" si="30"/>
        <v>42.564483103174716</v>
      </c>
      <c r="RG34" s="670"/>
      <c r="RH34" s="670"/>
      <c r="RI34" s="670"/>
      <c r="RJ34" s="698">
        <f t="shared" si="12"/>
        <v>30</v>
      </c>
      <c r="RK34" s="699"/>
      <c r="RL34" s="726"/>
      <c r="RM34" s="670">
        <f t="shared" si="13"/>
        <v>42.752984273391164</v>
      </c>
      <c r="RN34" s="670"/>
      <c r="RO34" s="670"/>
      <c r="RP34" s="670"/>
      <c r="RQ34" s="670"/>
      <c r="RR34" s="670"/>
      <c r="RS34" s="671">
        <f t="shared" si="6"/>
        <v>1.560804663639157</v>
      </c>
      <c r="RT34" s="671"/>
      <c r="RU34" s="671"/>
      <c r="RV34" s="671"/>
      <c r="RW34" s="671"/>
      <c r="RX34" s="671"/>
      <c r="RY34" s="681">
        <f t="shared" si="14"/>
        <v>42.781465326457315</v>
      </c>
      <c r="RZ34" s="681"/>
      <c r="SA34" s="681"/>
      <c r="SB34" s="681"/>
      <c r="SC34" s="681">
        <f>'Вывод расчетов'!$AQ$6/RY34</f>
        <v>8.8823512027998923</v>
      </c>
      <c r="SD34" s="681"/>
      <c r="SE34" s="681"/>
      <c r="SF34" s="681"/>
      <c r="SG34" s="867">
        <f t="shared" si="28"/>
        <v>0.99933426653694968</v>
      </c>
      <c r="SH34" s="867"/>
      <c r="SI34" s="867"/>
      <c r="SJ34" s="867"/>
      <c r="SK34" s="874">
        <f t="shared" si="16"/>
        <v>3.6483197845818278E-2</v>
      </c>
      <c r="SL34" s="875"/>
      <c r="SM34" s="875"/>
      <c r="SN34" s="876"/>
      <c r="SO34" s="692">
        <f t="shared" si="26"/>
        <v>9.2267603655048731</v>
      </c>
      <c r="SP34" s="693"/>
      <c r="SQ34" s="693"/>
      <c r="SR34" s="693"/>
      <c r="SS34" s="694"/>
      <c r="ST34" s="668">
        <f t="shared" si="24"/>
        <v>11.306133338263784</v>
      </c>
      <c r="SU34" s="678"/>
      <c r="SV34" s="678"/>
      <c r="SW34" s="678"/>
      <c r="SX34" s="678"/>
      <c r="SY34" s="669"/>
      <c r="SZ34" s="682">
        <f t="shared" si="19"/>
        <v>14.593209307929884</v>
      </c>
      <c r="TA34" s="683"/>
      <c r="TB34" s="683"/>
      <c r="TC34" s="683"/>
      <c r="TD34" s="683"/>
      <c r="TE34" s="684"/>
      <c r="TF34" s="682">
        <f>'Вывод расчетов'!$XC$174*SC34</f>
        <v>9.0238081370286736</v>
      </c>
      <c r="TG34" s="683"/>
      <c r="TH34" s="684"/>
      <c r="TI34" s="681">
        <f t="shared" si="25"/>
        <v>10.518506816675556</v>
      </c>
      <c r="TJ34" s="681"/>
      <c r="TK34" s="681"/>
      <c r="TL34" s="681"/>
      <c r="TM34" s="685">
        <f t="shared" si="21"/>
        <v>0.11854275506836651</v>
      </c>
      <c r="TN34" s="686"/>
      <c r="TO34" s="686"/>
      <c r="TP34" s="687"/>
      <c r="TQ34" s="688">
        <f t="shared" si="22"/>
        <v>0.16119237082711907</v>
      </c>
      <c r="TR34" s="688"/>
      <c r="TS34" s="688"/>
      <c r="TT34" s="688"/>
      <c r="TU34" s="689">
        <f t="shared" si="27"/>
        <v>3.3626959719668691E-2</v>
      </c>
      <c r="TV34" s="690"/>
      <c r="TW34" s="690"/>
      <c r="TX34" s="690"/>
      <c r="TY34" s="690"/>
      <c r="TZ34" s="691"/>
      <c r="UA34" s="679">
        <v>1.6E-2</v>
      </c>
      <c r="UB34" s="680"/>
      <c r="UC34" s="650">
        <v>0.16</v>
      </c>
      <c r="UD34" s="866">
        <f t="shared" si="7"/>
        <v>1.1936489014425677</v>
      </c>
      <c r="UE34" s="866"/>
      <c r="UF34" s="866"/>
      <c r="UG34" s="866"/>
      <c r="UH34" s="866"/>
      <c r="UI34" s="866"/>
      <c r="UJ34" s="866"/>
      <c r="UK34" s="670">
        <f t="shared" si="8"/>
        <v>9.3248579152329878</v>
      </c>
      <c r="UL34" s="670"/>
      <c r="UM34" s="670"/>
      <c r="UN34" s="670"/>
      <c r="UO34" s="688">
        <f t="shared" si="9"/>
        <v>0.88651916833383504</v>
      </c>
      <c r="UP34" s="688"/>
      <c r="UQ34" s="688"/>
      <c r="UR34" s="688"/>
      <c r="US34" s="866">
        <f t="shared" si="10"/>
        <v>0.63226396406793761</v>
      </c>
      <c r="UT34" s="866"/>
      <c r="UU34" s="866"/>
      <c r="UV34" s="866"/>
      <c r="UW34" s="866"/>
      <c r="WC34" s="905"/>
      <c r="WD34" s="900"/>
      <c r="WE34" s="900"/>
      <c r="WF34" s="900"/>
      <c r="WG34" s="900"/>
      <c r="WH34" s="906"/>
      <c r="WI34" s="183"/>
      <c r="WJ34" s="184"/>
      <c r="WK34" s="184"/>
      <c r="WL34" s="184"/>
      <c r="WM34" s="184"/>
      <c r="WN34" s="186"/>
      <c r="WO34" s="880"/>
      <c r="WP34" s="880"/>
      <c r="WQ34" s="1033"/>
      <c r="WR34" s="1033"/>
      <c r="WS34" s="1034"/>
      <c r="WT34" s="1034"/>
      <c r="WU34" s="1034"/>
      <c r="WV34" s="1034"/>
      <c r="WW34" s="1034"/>
      <c r="WX34" s="1034"/>
      <c r="WY34" s="1034"/>
      <c r="WZ34" s="1034"/>
      <c r="XA34" s="1034"/>
      <c r="XB34" s="1034"/>
      <c r="XC34" s="1034"/>
      <c r="XD34" s="1034"/>
      <c r="XE34" s="183"/>
      <c r="XF34" s="184"/>
      <c r="XG34" s="184"/>
      <c r="XH34" s="186"/>
      <c r="XI34" s="177"/>
      <c r="XN34" s="144"/>
      <c r="XO34" s="826"/>
      <c r="XP34" s="727" t="s">
        <v>1583</v>
      </c>
      <c r="XQ34" s="816"/>
      <c r="XR34" s="816"/>
      <c r="XS34" s="816"/>
      <c r="XT34" s="816"/>
      <c r="XU34" s="816"/>
      <c r="XV34" s="816"/>
      <c r="XW34" s="816"/>
      <c r="XX34" s="816"/>
      <c r="XY34" s="816"/>
      <c r="XZ34" s="816"/>
      <c r="YA34" s="816"/>
      <c r="YB34" s="816"/>
      <c r="YC34" s="763">
        <f>YC26</f>
        <v>0.59612250000000011</v>
      </c>
      <c r="YD34" s="764"/>
      <c r="YE34" s="1115" t="s">
        <v>762</v>
      </c>
      <c r="YF34" s="1116"/>
      <c r="YG34" s="1085"/>
      <c r="YH34" s="1092" t="s">
        <v>1568</v>
      </c>
      <c r="YI34" s="1092"/>
      <c r="YJ34" s="1092"/>
      <c r="YK34" s="1092"/>
      <c r="YL34" s="1085"/>
      <c r="YM34" s="1066" t="s">
        <v>920</v>
      </c>
      <c r="YN34" s="1111"/>
      <c r="YO34" s="1067"/>
      <c r="YS34" s="473" t="s">
        <v>1340</v>
      </c>
      <c r="YT34" s="724">
        <f>$AQ$6</f>
        <v>380</v>
      </c>
      <c r="YU34" s="724"/>
      <c r="YW34" s="696" t="s">
        <v>1201</v>
      </c>
      <c r="YX34" s="697"/>
      <c r="YY34" s="756">
        <f>$IH$92</f>
        <v>4.3</v>
      </c>
      <c r="YZ34" s="756"/>
      <c r="ZE34" s="144"/>
      <c r="ZF34" s="144"/>
      <c r="ZG34" s="144"/>
      <c r="ZH34" s="144"/>
      <c r="ZI34" s="144"/>
      <c r="ZJ34" s="144"/>
      <c r="AAD34" s="947"/>
      <c r="AAE34" s="947"/>
      <c r="AAF34" s="947"/>
      <c r="AAG34" s="947"/>
      <c r="AAH34" s="465">
        <v>24</v>
      </c>
      <c r="AAI34" s="956"/>
      <c r="AAJ34" s="957"/>
      <c r="AAK34" s="956"/>
      <c r="AAL34" s="957"/>
      <c r="AAM34" s="958">
        <f t="shared" si="29"/>
        <v>0.32</v>
      </c>
      <c r="AAN34" s="959"/>
      <c r="AAP34" s="947"/>
      <c r="AAQ34" s="947"/>
      <c r="AAR34" s="947"/>
      <c r="AAS34" s="947"/>
      <c r="AAT34" s="465">
        <v>84</v>
      </c>
      <c r="AAU34" s="956"/>
      <c r="AAV34" s="957"/>
      <c r="AAW34" s="956"/>
      <c r="AAX34" s="957"/>
      <c r="AAY34" s="958">
        <f t="shared" si="1"/>
        <v>1.1200000000000001</v>
      </c>
      <c r="AAZ34" s="959"/>
      <c r="ABB34" s="947"/>
      <c r="ABC34" s="947"/>
      <c r="ABD34" s="947"/>
      <c r="ABE34" s="947"/>
      <c r="ABF34" s="465">
        <v>144</v>
      </c>
      <c r="ABG34" s="956"/>
      <c r="ABH34" s="957"/>
      <c r="ABI34" s="956"/>
      <c r="ABJ34" s="957"/>
      <c r="ABK34" s="958">
        <f t="shared" si="2"/>
        <v>1.9200000000000002</v>
      </c>
      <c r="ABL34" s="959"/>
      <c r="ABN34" s="947"/>
      <c r="ABO34" s="947"/>
      <c r="ABP34" s="947"/>
      <c r="ABQ34" s="947"/>
      <c r="ABR34" s="465">
        <v>204</v>
      </c>
      <c r="ABS34" s="956"/>
      <c r="ABT34" s="957"/>
      <c r="ABU34" s="956"/>
      <c r="ABV34" s="957"/>
      <c r="ABW34" s="958">
        <f t="shared" si="3"/>
        <v>2.72</v>
      </c>
      <c r="ABX34" s="959"/>
      <c r="ABZ34" s="947"/>
      <c r="ACA34" s="947"/>
      <c r="ACB34" s="947"/>
      <c r="ACC34" s="947"/>
      <c r="ACD34" s="465">
        <v>264</v>
      </c>
      <c r="ACE34" s="956"/>
      <c r="ACF34" s="957"/>
      <c r="ACG34" s="956"/>
      <c r="ACH34" s="957"/>
      <c r="ACI34" s="958">
        <f t="shared" si="4"/>
        <v>3.52</v>
      </c>
      <c r="ACJ34" s="959"/>
      <c r="ADB34" s="1035">
        <v>6</v>
      </c>
      <c r="ADC34" s="1036"/>
      <c r="ADD34" s="863" t="s">
        <v>1365</v>
      </c>
      <c r="ADE34" s="863"/>
      <c r="ADF34" s="863"/>
      <c r="ADG34" s="863"/>
      <c r="ADH34" s="916">
        <f>$MN$59</f>
        <v>3.1821941356160961E-4</v>
      </c>
      <c r="ADI34" s="916"/>
      <c r="ADJ34" s="1070" t="s">
        <v>762</v>
      </c>
      <c r="ADK34" s="1070"/>
      <c r="ADL34" s="1032">
        <f>1+('Вывод расчетов'!$MN$59/'Вывод расчетов'!$MN$69)*(ADL31-1)</f>
        <v>-0.36192737025158062</v>
      </c>
      <c r="ADM34" s="1032"/>
      <c r="ADN34" s="1032">
        <f>1+('Вывод расчетов'!$MN$59/'Вывод расчетов'!$MN$69)*(ADN31-1)</f>
        <v>-0.38464116992775033</v>
      </c>
      <c r="ADO34" s="1032"/>
      <c r="ADP34" s="1032">
        <f>1+('Вывод расчетов'!$MN$59/'Вывод расчетов'!$MN$69)*(ADP31-1)</f>
        <v>-0.40735496960392026</v>
      </c>
      <c r="ADQ34" s="1032"/>
      <c r="ADR34" s="1032">
        <f>1+('Вывод расчетов'!$MN$59/'Вывод расчетов'!$MN$69)*(ADR31-1)</f>
        <v>-0.45278256895625946</v>
      </c>
      <c r="ADS34" s="1032"/>
      <c r="ADT34" s="1032">
        <f>1+('Вывод расчетов'!$MN$59/'Вывод расчетов'!$MN$69)*(ADT31-1)</f>
        <v>-0.4982101683085991</v>
      </c>
      <c r="ADU34" s="1032"/>
      <c r="ADV34" s="1032">
        <f>1+('Вывод расчетов'!$MN$59/'Вывод расчетов'!$MN$69)*(ADV31-1)</f>
        <v>-0.38464116992775033</v>
      </c>
      <c r="ADW34" s="1032"/>
      <c r="ADX34" s="1049"/>
      <c r="ADY34" s="1049"/>
      <c r="ADZ34" s="1049"/>
      <c r="AEA34" s="1049"/>
      <c r="AEB34" s="1049"/>
      <c r="AEC34" s="1049"/>
      <c r="AED34" s="1049"/>
      <c r="AEE34" s="1049"/>
      <c r="AEF34" s="172"/>
      <c r="AEG34" s="172"/>
      <c r="AEH34" s="172"/>
      <c r="AEI34" s="172"/>
      <c r="AEJ34" s="172"/>
      <c r="AEK34" s="177"/>
      <c r="AFM34" s="144"/>
      <c r="AFN34" s="144"/>
      <c r="AFO34" s="144"/>
      <c r="AHO34" s="144"/>
      <c r="AIM34" s="825"/>
      <c r="AIN34" s="816" t="s">
        <v>404</v>
      </c>
      <c r="AIO34" s="816"/>
      <c r="AIP34" s="816"/>
      <c r="AIQ34" s="816"/>
      <c r="AIR34" s="816"/>
      <c r="AIS34" s="816"/>
      <c r="AIT34" s="816"/>
      <c r="AIU34" s="816"/>
      <c r="AIV34" s="816"/>
      <c r="AIW34" s="816"/>
      <c r="AIX34" s="816"/>
      <c r="AIY34" s="816"/>
      <c r="AIZ34" s="816"/>
      <c r="AJA34" s="752">
        <v>1.45</v>
      </c>
      <c r="AJB34" s="753"/>
      <c r="AJC34" s="849" t="s">
        <v>762</v>
      </c>
      <c r="AJD34" s="850"/>
      <c r="AJE34" s="712"/>
      <c r="AJF34" s="740" t="s">
        <v>974</v>
      </c>
      <c r="AJG34" s="742"/>
      <c r="AJH34" s="746"/>
      <c r="AMA34" s="144"/>
      <c r="AMB34" s="144"/>
      <c r="AMC34" s="144"/>
      <c r="AMD34" s="144"/>
      <c r="AME34" s="144"/>
      <c r="AMF34" s="144"/>
      <c r="AMG34" s="144"/>
      <c r="AMH34" s="144"/>
      <c r="AMT34" s="827"/>
      <c r="AMU34" s="818"/>
      <c r="AMV34" s="818"/>
      <c r="AMW34" s="818"/>
      <c r="AMX34" s="818"/>
      <c r="AMY34" s="818"/>
      <c r="AMZ34" s="818"/>
      <c r="ANA34" s="818"/>
      <c r="ANB34" s="818"/>
      <c r="ANC34" s="818"/>
      <c r="AND34" s="818"/>
      <c r="ANE34" s="818"/>
      <c r="ANF34" s="818"/>
      <c r="ANG34" s="818"/>
      <c r="ANH34" s="765"/>
      <c r="ANI34" s="766"/>
      <c r="ANJ34" s="706"/>
      <c r="ANK34" s="708"/>
      <c r="ANL34" s="713"/>
      <c r="ANM34" s="718"/>
      <c r="ANN34" s="719"/>
      <c r="ANO34" s="747"/>
    </row>
    <row r="35" spans="3:1022 1034:1055" ht="48" customHeight="1" thickBot="1">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I35" s="827"/>
      <c r="AJ35" s="1491"/>
      <c r="AK35" s="805"/>
      <c r="AL35" s="805"/>
      <c r="AM35" s="805"/>
      <c r="AN35" s="805"/>
      <c r="AO35" s="805"/>
      <c r="AP35" s="805"/>
      <c r="AQ35" s="805"/>
      <c r="AR35" s="805"/>
      <c r="AS35" s="805"/>
      <c r="AT35" s="805"/>
      <c r="AU35" s="805"/>
      <c r="AV35" s="805"/>
      <c r="AW35" s="1513"/>
      <c r="AX35" s="1514"/>
      <c r="AY35" s="1402"/>
      <c r="AZ35" s="1403"/>
      <c r="BA35" s="747"/>
      <c r="BB35" s="743"/>
      <c r="BC35" s="745"/>
      <c r="BD35" s="747"/>
      <c r="BE35" s="892"/>
      <c r="BF35" s="893"/>
      <c r="BG35" s="893"/>
      <c r="BH35" s="894"/>
      <c r="BJ35" s="139"/>
      <c r="BK35" s="139"/>
      <c r="BL35" s="139"/>
      <c r="BM35" s="139"/>
      <c r="BN35" s="139"/>
      <c r="BO35" s="144"/>
      <c r="BP35" s="144"/>
      <c r="BX35" s="825"/>
      <c r="BY35" s="665" t="s">
        <v>22</v>
      </c>
      <c r="BZ35" s="666"/>
      <c r="CA35" s="137"/>
      <c r="CB35" s="355" t="s">
        <v>863</v>
      </c>
      <c r="CC35" s="724">
        <f>$CM$32</f>
        <v>3</v>
      </c>
      <c r="CD35" s="724"/>
      <c r="CE35" s="87"/>
      <c r="CF35" s="87"/>
      <c r="CG35" s="87"/>
      <c r="CH35" s="137"/>
      <c r="CI35" s="85" t="s">
        <v>467</v>
      </c>
      <c r="CJ35" s="757" t="s">
        <v>461</v>
      </c>
      <c r="CK35" s="758"/>
      <c r="CL35" s="819" t="s">
        <v>126</v>
      </c>
      <c r="CM35" s="820"/>
      <c r="CN35" s="675" t="s">
        <v>731</v>
      </c>
      <c r="CO35" s="676"/>
      <c r="CP35" s="821" t="s">
        <v>473</v>
      </c>
      <c r="CQ35" s="822"/>
      <c r="CR35" s="822"/>
      <c r="CS35" s="822"/>
      <c r="CT35" s="823"/>
      <c r="CU35" s="769" t="s">
        <v>462</v>
      </c>
      <c r="CV35" s="769"/>
      <c r="CW35" s="769"/>
      <c r="CX35" s="769"/>
      <c r="DF35" s="144"/>
      <c r="DG35" s="144"/>
      <c r="DH35" s="144"/>
      <c r="DI35" s="144"/>
      <c r="DJ35" s="144"/>
      <c r="DK35" s="144"/>
      <c r="DL35" s="144"/>
      <c r="DM35" s="144"/>
      <c r="DN35" s="144"/>
      <c r="DO35" s="144"/>
      <c r="DP35" s="144"/>
      <c r="DQ35" s="144"/>
      <c r="DU35" s="144"/>
      <c r="DV35" s="144"/>
      <c r="DW35" s="144"/>
      <c r="DX35" s="144"/>
      <c r="DY35" s="144"/>
      <c r="FC35" s="144"/>
      <c r="FD35" s="144"/>
      <c r="FE35" s="144"/>
      <c r="FF35" s="144"/>
      <c r="FG35" s="144"/>
      <c r="FH35" s="144"/>
      <c r="FI35" s="144"/>
      <c r="FJ35" s="144"/>
      <c r="FK35" s="144"/>
      <c r="FL35" s="144"/>
      <c r="FM35" s="144"/>
      <c r="FT35" s="144"/>
      <c r="FU35" s="144"/>
      <c r="FV35" s="144"/>
      <c r="FW35" s="144"/>
      <c r="FX35" s="144"/>
      <c r="FY35" s="144"/>
      <c r="FZ35" s="144"/>
      <c r="GA35" s="144"/>
      <c r="GF35" s="85" t="s">
        <v>839</v>
      </c>
      <c r="GG35" s="665" t="s">
        <v>442</v>
      </c>
      <c r="GH35" s="667"/>
      <c r="GI35" s="254"/>
      <c r="GJ35" s="87"/>
      <c r="GK35" s="87"/>
      <c r="GL35" s="87"/>
      <c r="GM35" s="87"/>
      <c r="GN35" s="87"/>
      <c r="GO35" s="87"/>
      <c r="GP35" s="150"/>
      <c r="GQ35" s="85" t="s">
        <v>467</v>
      </c>
      <c r="GR35" s="757" t="s">
        <v>461</v>
      </c>
      <c r="GS35" s="758"/>
      <c r="GT35" s="1130" t="s">
        <v>126</v>
      </c>
      <c r="GU35" s="1131"/>
      <c r="GV35" s="675" t="s">
        <v>731</v>
      </c>
      <c r="GW35" s="676"/>
      <c r="GX35" s="821" t="s">
        <v>473</v>
      </c>
      <c r="GY35" s="822"/>
      <c r="GZ35" s="822"/>
      <c r="HA35" s="823"/>
      <c r="HB35" s="769" t="s">
        <v>462</v>
      </c>
      <c r="HC35" s="769"/>
      <c r="HD35" s="769"/>
      <c r="HE35" s="769"/>
      <c r="HF35" s="769"/>
      <c r="HN35" s="144"/>
      <c r="HO35" s="144"/>
      <c r="HP35" s="144"/>
      <c r="HQ35" s="144"/>
      <c r="HR35" s="144"/>
      <c r="HS35" s="144"/>
      <c r="HT35" s="144"/>
      <c r="JU35" s="144"/>
      <c r="JV35" s="144"/>
      <c r="JW35" s="144"/>
      <c r="JX35" s="144"/>
      <c r="JY35" s="144"/>
      <c r="JZ35" s="144"/>
      <c r="KA35" s="144"/>
      <c r="KB35" s="144"/>
      <c r="KC35" s="144"/>
      <c r="KD35" s="144"/>
      <c r="KE35" s="144"/>
      <c r="KF35" s="144"/>
      <c r="KG35" s="144"/>
      <c r="KH35" s="144"/>
      <c r="KI35" s="144"/>
      <c r="KJ35" s="144"/>
      <c r="KK35" s="144"/>
      <c r="KL35" s="144"/>
      <c r="KM35" s="144"/>
      <c r="KN35" s="144"/>
      <c r="KO35" s="144"/>
      <c r="KP35" s="144"/>
      <c r="KQ35" s="144"/>
      <c r="KR35" s="144"/>
      <c r="KS35" s="229"/>
      <c r="LM35" s="144"/>
      <c r="LN35" s="144"/>
      <c r="LO35" s="144"/>
      <c r="LP35" s="144"/>
      <c r="LQ35" s="144"/>
      <c r="LR35" s="144"/>
      <c r="LS35" s="144"/>
      <c r="LT35" s="144"/>
      <c r="LZ35" s="825"/>
      <c r="MA35" s="371" t="s">
        <v>1335</v>
      </c>
      <c r="MB35" s="739">
        <f>$MQ$47</f>
        <v>1.2</v>
      </c>
      <c r="MC35" s="739"/>
      <c r="MD35" s="704" t="s">
        <v>87</v>
      </c>
      <c r="ME35" s="704"/>
      <c r="MF35" s="704"/>
      <c r="MG35" s="701"/>
      <c r="MH35" s="701"/>
      <c r="MI35" s="701"/>
      <c r="MJ35" s="701"/>
      <c r="MK35" s="701"/>
      <c r="ML35" s="701"/>
      <c r="MM35" s="702"/>
      <c r="MN35" s="763">
        <f>MB35*MN43+2*MO39</f>
        <v>0.14388754483031016</v>
      </c>
      <c r="MO35" s="764"/>
      <c r="MP35" s="1400" t="s">
        <v>737</v>
      </c>
      <c r="MQ35" s="1401"/>
      <c r="MR35" s="712"/>
      <c r="MS35" s="1365" t="s">
        <v>969</v>
      </c>
      <c r="MT35" s="1565"/>
      <c r="MU35" s="712"/>
      <c r="MV35" s="767"/>
      <c r="MW35" s="767"/>
      <c r="MX35" s="767"/>
      <c r="MY35" s="767"/>
      <c r="MZ35" s="767"/>
      <c r="RC35" s="369">
        <v>17</v>
      </c>
      <c r="RD35" s="668">
        <v>1.7000000000000001E-2</v>
      </c>
      <c r="RE35" s="669"/>
      <c r="RF35" s="670">
        <f t="shared" si="30"/>
        <v>40.060689979458559</v>
      </c>
      <c r="RG35" s="670"/>
      <c r="RH35" s="670"/>
      <c r="RI35" s="670"/>
      <c r="RJ35" s="698">
        <f t="shared" si="12"/>
        <v>30</v>
      </c>
      <c r="RK35" s="699"/>
      <c r="RL35" s="726"/>
      <c r="RM35" s="670">
        <f t="shared" si="13"/>
        <v>40.249191149675006</v>
      </c>
      <c r="RN35" s="670"/>
      <c r="RO35" s="670"/>
      <c r="RP35" s="670"/>
      <c r="RQ35" s="670"/>
      <c r="RR35" s="670"/>
      <c r="RS35" s="671">
        <f t="shared" si="6"/>
        <v>1.560804663639157</v>
      </c>
      <c r="RT35" s="671"/>
      <c r="RU35" s="671"/>
      <c r="RV35" s="671"/>
      <c r="RW35" s="671"/>
      <c r="RX35" s="671"/>
      <c r="RY35" s="681">
        <f t="shared" si="14"/>
        <v>40.27944264014976</v>
      </c>
      <c r="RZ35" s="681"/>
      <c r="SA35" s="681"/>
      <c r="SB35" s="681"/>
      <c r="SC35" s="681">
        <f>'Вывод расчетов'!$AQ$6/RY35</f>
        <v>9.4340928049789703</v>
      </c>
      <c r="SD35" s="681"/>
      <c r="SE35" s="681"/>
      <c r="SF35" s="681"/>
      <c r="SG35" s="867">
        <f t="shared" si="28"/>
        <v>0.99924895955624271</v>
      </c>
      <c r="SH35" s="867"/>
      <c r="SI35" s="867"/>
      <c r="SJ35" s="867"/>
      <c r="SK35" s="874">
        <f t="shared" si="16"/>
        <v>3.8749410650567875E-2</v>
      </c>
      <c r="SL35" s="875"/>
      <c r="SM35" s="875"/>
      <c r="SN35" s="876"/>
      <c r="SO35" s="692">
        <f t="shared" si="26"/>
        <v>9.7773298608635208</v>
      </c>
      <c r="SP35" s="693"/>
      <c r="SQ35" s="693"/>
      <c r="SR35" s="693"/>
      <c r="SS35" s="694"/>
      <c r="ST35" s="668">
        <f t="shared" si="24"/>
        <v>11.347642298211692</v>
      </c>
      <c r="SU35" s="678"/>
      <c r="SV35" s="678"/>
      <c r="SW35" s="678"/>
      <c r="SX35" s="678"/>
      <c r="SY35" s="669"/>
      <c r="SZ35" s="682">
        <f t="shared" si="19"/>
        <v>14.978823883613046</v>
      </c>
      <c r="TA35" s="683"/>
      <c r="TB35" s="683"/>
      <c r="TC35" s="683"/>
      <c r="TD35" s="683"/>
      <c r="TE35" s="684"/>
      <c r="TF35" s="682">
        <f>'Вывод расчетов'!$XC$174*SC35</f>
        <v>9.5843365653249304</v>
      </c>
      <c r="TG35" s="683"/>
      <c r="TH35" s="684"/>
      <c r="TI35" s="681">
        <f t="shared" si="25"/>
        <v>11.146156041384414</v>
      </c>
      <c r="TJ35" s="681"/>
      <c r="TK35" s="681"/>
      <c r="TL35" s="681"/>
      <c r="TM35" s="685">
        <f t="shared" si="21"/>
        <v>0.12489033268017642</v>
      </c>
      <c r="TN35" s="686"/>
      <c r="TO35" s="686"/>
      <c r="TP35" s="687"/>
      <c r="TQ35" s="688">
        <f t="shared" si="22"/>
        <v>0.18183977672651958</v>
      </c>
      <c r="TR35" s="688"/>
      <c r="TS35" s="688"/>
      <c r="TT35" s="688"/>
      <c r="TU35" s="689">
        <f t="shared" si="27"/>
        <v>3.5427573654672154E-2</v>
      </c>
      <c r="TV35" s="690"/>
      <c r="TW35" s="690"/>
      <c r="TX35" s="690"/>
      <c r="TY35" s="690"/>
      <c r="TZ35" s="691"/>
      <c r="UA35" s="679">
        <v>1.7000000000000001E-2</v>
      </c>
      <c r="UB35" s="680"/>
      <c r="UC35" s="650">
        <v>0.17</v>
      </c>
      <c r="UD35" s="866">
        <f t="shared" si="7"/>
        <v>1.2224444988887817</v>
      </c>
      <c r="UE35" s="866"/>
      <c r="UF35" s="866"/>
      <c r="UG35" s="866"/>
      <c r="UH35" s="866"/>
      <c r="UI35" s="866"/>
      <c r="UJ35" s="866"/>
      <c r="UK35" s="670">
        <f t="shared" si="8"/>
        <v>9.9237115424956315</v>
      </c>
      <c r="UL35" s="670"/>
      <c r="UM35" s="670"/>
      <c r="UN35" s="670"/>
      <c r="UO35" s="688">
        <f t="shared" si="9"/>
        <v>0.89032591196911437</v>
      </c>
      <c r="UP35" s="688"/>
      <c r="UQ35" s="688"/>
      <c r="UR35" s="688"/>
      <c r="US35" s="866">
        <f t="shared" si="10"/>
        <v>0.65274349553972644</v>
      </c>
      <c r="UT35" s="866"/>
      <c r="UU35" s="866"/>
      <c r="UV35" s="866"/>
      <c r="UW35" s="866"/>
      <c r="WC35" s="905"/>
      <c r="WD35" s="900"/>
      <c r="WE35" s="900"/>
      <c r="WF35" s="900"/>
      <c r="WG35" s="900"/>
      <c r="WH35" s="906"/>
      <c r="WI35" s="181"/>
      <c r="WJ35" s="182"/>
      <c r="WK35" s="182"/>
      <c r="WL35" s="182"/>
      <c r="WM35" s="182"/>
      <c r="WN35" s="185"/>
      <c r="WO35" s="880">
        <v>8</v>
      </c>
      <c r="WP35" s="880"/>
      <c r="WQ35" s="1033" t="s">
        <v>400</v>
      </c>
      <c r="WR35" s="1033"/>
      <c r="WS35" s="1034">
        <f>WS27/WS29</f>
        <v>4.4719453073846331E-2</v>
      </c>
      <c r="WT35" s="1034"/>
      <c r="WU35" s="1034">
        <f>WU27/WU29</f>
        <v>8.9913730132542922E-3</v>
      </c>
      <c r="WV35" s="1034"/>
      <c r="WW35" s="1034">
        <f>WW27/WW29</f>
        <v>1.3479060648162696E-2</v>
      </c>
      <c r="WX35" s="1034"/>
      <c r="WY35" s="1034">
        <f>WY27/WY29</f>
        <v>0.17352613740389877</v>
      </c>
      <c r="WZ35" s="1034"/>
      <c r="XA35" s="1034">
        <f>XA27/XA29</f>
        <v>0.21400775799523075</v>
      </c>
      <c r="XB35" s="1034"/>
      <c r="XC35" s="1034">
        <f>XC27/XC29</f>
        <v>0.25300767120964013</v>
      </c>
      <c r="XD35" s="1034"/>
      <c r="XE35" s="181"/>
      <c r="XF35" s="182"/>
      <c r="XG35" s="182"/>
      <c r="XH35" s="185"/>
      <c r="XI35" s="177"/>
      <c r="XO35" s="827"/>
      <c r="XP35" s="818"/>
      <c r="XQ35" s="818"/>
      <c r="XR35" s="818"/>
      <c r="XS35" s="818"/>
      <c r="XT35" s="818"/>
      <c r="XU35" s="818"/>
      <c r="XV35" s="818"/>
      <c r="XW35" s="818"/>
      <c r="XX35" s="818"/>
      <c r="XY35" s="818"/>
      <c r="XZ35" s="818"/>
      <c r="YA35" s="818"/>
      <c r="YB35" s="818"/>
      <c r="YC35" s="765"/>
      <c r="YD35" s="766"/>
      <c r="YE35" s="1117"/>
      <c r="YF35" s="1118"/>
      <c r="YG35" s="1086"/>
      <c r="YH35" s="1093"/>
      <c r="YI35" s="1093"/>
      <c r="YJ35" s="1093"/>
      <c r="YK35" s="1093"/>
      <c r="YL35" s="1086"/>
      <c r="YM35" s="1112"/>
      <c r="YN35" s="1113"/>
      <c r="YO35" s="1114"/>
      <c r="YS35" s="430" t="s">
        <v>1179</v>
      </c>
      <c r="YT35" s="756">
        <f>$CL$76</f>
        <v>0.95799999999999996</v>
      </c>
      <c r="YU35" s="756"/>
      <c r="YW35" s="696" t="s">
        <v>1602</v>
      </c>
      <c r="YX35" s="720"/>
      <c r="YY35" s="948">
        <f>$YC$22</f>
        <v>9.1500000000000001E-3</v>
      </c>
      <c r="YZ35" s="965"/>
      <c r="ZB35" s="144"/>
      <c r="ZC35" s="696" t="s">
        <v>1164</v>
      </c>
      <c r="ZD35" s="697"/>
      <c r="ZE35" s="698">
        <f>$EQ$67</f>
        <v>10.3</v>
      </c>
      <c r="ZF35" s="726"/>
      <c r="ZG35" s="144"/>
      <c r="ZH35" s="144"/>
      <c r="ZI35" s="144"/>
      <c r="ZJ35" s="144"/>
      <c r="AAD35" s="947"/>
      <c r="AAE35" s="947"/>
      <c r="AAF35" s="947"/>
      <c r="AAG35" s="947"/>
      <c r="AAH35" s="465">
        <v>25</v>
      </c>
      <c r="AAI35" s="956"/>
      <c r="AAJ35" s="957"/>
      <c r="AAK35" s="956"/>
      <c r="AAL35" s="957"/>
      <c r="AAM35" s="958">
        <f t="shared" si="29"/>
        <v>0.33333333333333337</v>
      </c>
      <c r="AAN35" s="959"/>
      <c r="AAP35" s="947"/>
      <c r="AAQ35" s="947"/>
      <c r="AAR35" s="947"/>
      <c r="AAS35" s="947"/>
      <c r="AAT35" s="465">
        <v>85</v>
      </c>
      <c r="AAU35" s="956"/>
      <c r="AAV35" s="957"/>
      <c r="AAW35" s="956"/>
      <c r="AAX35" s="957"/>
      <c r="AAY35" s="958">
        <f t="shared" si="1"/>
        <v>1.1333333333333333</v>
      </c>
      <c r="AAZ35" s="959"/>
      <c r="ABB35" s="947"/>
      <c r="ABC35" s="947"/>
      <c r="ABD35" s="947"/>
      <c r="ABE35" s="947"/>
      <c r="ABF35" s="465">
        <v>145</v>
      </c>
      <c r="ABG35" s="956"/>
      <c r="ABH35" s="957"/>
      <c r="ABI35" s="956"/>
      <c r="ABJ35" s="957"/>
      <c r="ABK35" s="958">
        <f t="shared" si="2"/>
        <v>1.9333333333333333</v>
      </c>
      <c r="ABL35" s="959"/>
      <c r="ABN35" s="947"/>
      <c r="ABO35" s="947"/>
      <c r="ABP35" s="947"/>
      <c r="ABQ35" s="947"/>
      <c r="ABR35" s="465">
        <v>205</v>
      </c>
      <c r="ABS35" s="956"/>
      <c r="ABT35" s="957"/>
      <c r="ABU35" s="956"/>
      <c r="ABV35" s="957"/>
      <c r="ABW35" s="958">
        <f t="shared" si="3"/>
        <v>2.7333333333333334</v>
      </c>
      <c r="ABX35" s="959"/>
      <c r="ABZ35" s="947"/>
      <c r="ACA35" s="947"/>
      <c r="ACB35" s="947"/>
      <c r="ACC35" s="947"/>
      <c r="ACD35" s="465">
        <v>265</v>
      </c>
      <c r="ACE35" s="956"/>
      <c r="ACF35" s="957"/>
      <c r="ACG35" s="956"/>
      <c r="ACH35" s="957"/>
      <c r="ACI35" s="958">
        <f t="shared" si="4"/>
        <v>3.5333333333333337</v>
      </c>
      <c r="ACJ35" s="959"/>
      <c r="ADB35" s="1037"/>
      <c r="ADC35" s="1038"/>
      <c r="ADD35" s="863" t="s">
        <v>1341</v>
      </c>
      <c r="ADE35" s="863"/>
      <c r="ADF35" s="863"/>
      <c r="ADG35" s="863"/>
      <c r="ADH35" s="884">
        <f>$MN$69</f>
        <v>1.5573482713531094E-4</v>
      </c>
      <c r="ADI35" s="884"/>
      <c r="ADJ35" s="1070"/>
      <c r="ADK35" s="1070"/>
      <c r="ADL35" s="1032"/>
      <c r="ADM35" s="1032"/>
      <c r="ADN35" s="1032"/>
      <c r="ADO35" s="1032"/>
      <c r="ADP35" s="1032"/>
      <c r="ADQ35" s="1032"/>
      <c r="ADR35" s="1032"/>
      <c r="ADS35" s="1032"/>
      <c r="ADT35" s="1032"/>
      <c r="ADU35" s="1032"/>
      <c r="ADV35" s="1032"/>
      <c r="ADW35" s="1032"/>
      <c r="ADX35" s="1049"/>
      <c r="ADY35" s="1049"/>
      <c r="ADZ35" s="1049"/>
      <c r="AEA35" s="1049"/>
      <c r="AEB35" s="1049"/>
      <c r="AEC35" s="1049"/>
      <c r="AED35" s="1049"/>
      <c r="AEE35" s="1049"/>
      <c r="AEF35" s="172"/>
      <c r="AEG35" s="172"/>
      <c r="AEH35" s="172"/>
      <c r="AEI35" s="172"/>
      <c r="AEJ35" s="172"/>
      <c r="AEK35" s="177"/>
      <c r="AFM35" s="144"/>
      <c r="AFN35" s="144"/>
      <c r="AFO35" s="144"/>
      <c r="AHO35" s="144"/>
      <c r="AIM35" s="827"/>
      <c r="AIN35" s="818"/>
      <c r="AIO35" s="818"/>
      <c r="AIP35" s="818"/>
      <c r="AIQ35" s="818"/>
      <c r="AIR35" s="818"/>
      <c r="AIS35" s="818"/>
      <c r="AIT35" s="818"/>
      <c r="AIU35" s="818"/>
      <c r="AIV35" s="818"/>
      <c r="AIW35" s="818"/>
      <c r="AIX35" s="818"/>
      <c r="AIY35" s="818"/>
      <c r="AIZ35" s="818"/>
      <c r="AJA35" s="754"/>
      <c r="AJB35" s="755"/>
      <c r="AJC35" s="851"/>
      <c r="AJD35" s="852"/>
      <c r="AJE35" s="713"/>
      <c r="AJF35" s="743"/>
      <c r="AJG35" s="745"/>
      <c r="AJH35" s="747"/>
    </row>
    <row r="36" spans="3:1022 1034:1055" ht="48" customHeight="1" thickBot="1">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BJ36" s="139"/>
      <c r="BK36" s="139"/>
      <c r="BL36" s="139"/>
      <c r="BM36" s="139"/>
      <c r="BN36" s="139"/>
      <c r="BO36" s="144"/>
      <c r="BP36" s="144"/>
      <c r="BX36" s="826"/>
      <c r="BY36" s="731" t="s">
        <v>29</v>
      </c>
      <c r="BZ36" s="732"/>
      <c r="CA36" s="732"/>
      <c r="CB36" s="732"/>
      <c r="CC36" s="732"/>
      <c r="CD36" s="732"/>
      <c r="CE36" s="732"/>
      <c r="CF36" s="732"/>
      <c r="CG36" s="732"/>
      <c r="CH36" s="732"/>
      <c r="CI36" s="732"/>
      <c r="CJ36" s="732"/>
      <c r="CK36" s="732"/>
      <c r="CL36" s="1335">
        <f>CO28/(AW16*CM32)</f>
        <v>5.5</v>
      </c>
      <c r="CM36" s="1336"/>
      <c r="CN36" s="849" t="s">
        <v>758</v>
      </c>
      <c r="CO36" s="850"/>
      <c r="CP36" s="712"/>
      <c r="CQ36" s="952" t="s">
        <v>1371</v>
      </c>
      <c r="CR36" s="1151"/>
      <c r="CS36" s="953"/>
      <c r="CT36" s="746"/>
      <c r="CU36" s="767"/>
      <c r="CV36" s="767"/>
      <c r="CW36" s="767"/>
      <c r="CX36" s="767"/>
      <c r="DF36" s="144"/>
      <c r="DG36" s="144"/>
      <c r="DH36" s="144"/>
      <c r="DI36" s="144"/>
      <c r="DL36" s="144"/>
      <c r="DM36" s="144"/>
      <c r="DN36" s="144"/>
      <c r="DO36" s="144"/>
      <c r="DP36" s="144"/>
      <c r="DQ36" s="144"/>
      <c r="DU36" s="144"/>
      <c r="DV36" s="144"/>
      <c r="DW36" s="144"/>
      <c r="DX36" s="144"/>
      <c r="DY36" s="144"/>
      <c r="DZ36" s="792" t="s">
        <v>1013</v>
      </c>
      <c r="EA36" s="793"/>
      <c r="EB36" s="794"/>
      <c r="EC36" s="825"/>
      <c r="ED36" s="665" t="s">
        <v>442</v>
      </c>
      <c r="EE36" s="666"/>
      <c r="EF36" s="152"/>
      <c r="EG36" s="87"/>
      <c r="EH36" s="87"/>
      <c r="EI36" s="87"/>
      <c r="EJ36" s="87"/>
      <c r="EK36" s="87"/>
      <c r="EL36" s="87"/>
      <c r="EM36" s="152"/>
      <c r="EN36" s="85" t="s">
        <v>467</v>
      </c>
      <c r="EO36" s="757" t="s">
        <v>461</v>
      </c>
      <c r="EP36" s="758"/>
      <c r="EQ36" s="819" t="s">
        <v>126</v>
      </c>
      <c r="ER36" s="820"/>
      <c r="ES36" s="675" t="s">
        <v>731</v>
      </c>
      <c r="ET36" s="676"/>
      <c r="EU36" s="821" t="s">
        <v>473</v>
      </c>
      <c r="EV36" s="822"/>
      <c r="EW36" s="822"/>
      <c r="EX36" s="823"/>
      <c r="FC36" s="144"/>
      <c r="FD36" s="144"/>
      <c r="FE36" s="144"/>
      <c r="FF36" s="144"/>
      <c r="FG36" s="144"/>
      <c r="FH36" s="144"/>
      <c r="FI36" s="144"/>
      <c r="FJ36" s="144"/>
      <c r="FK36" s="144"/>
      <c r="FL36" s="144"/>
      <c r="FM36" s="144"/>
      <c r="FT36" s="144"/>
      <c r="FU36" s="144"/>
      <c r="FV36" s="144"/>
      <c r="FW36" s="144"/>
      <c r="FX36" s="144"/>
      <c r="FY36" s="144"/>
      <c r="FZ36" s="144"/>
      <c r="GA36" s="144"/>
      <c r="GF36" s="825"/>
      <c r="GG36" s="257" t="s">
        <v>1144</v>
      </c>
      <c r="GH36" s="756">
        <f>$AZ$21</f>
        <v>0.313</v>
      </c>
      <c r="GI36" s="756"/>
      <c r="GJ36" s="700" t="s">
        <v>849</v>
      </c>
      <c r="GK36" s="701"/>
      <c r="GL36" s="701"/>
      <c r="GM36" s="701"/>
      <c r="GN36" s="701"/>
      <c r="GO36" s="701"/>
      <c r="GP36" s="701"/>
      <c r="GQ36" s="701"/>
      <c r="GR36" s="701"/>
      <c r="GS36" s="702"/>
      <c r="GT36" s="1087">
        <f>GT20*GW44</f>
        <v>6.8860000000000005E-2</v>
      </c>
      <c r="GU36" s="1006"/>
      <c r="GV36" s="1211" t="s">
        <v>737</v>
      </c>
      <c r="GW36" s="1212"/>
      <c r="GX36" s="714"/>
      <c r="GY36" s="740" t="s">
        <v>850</v>
      </c>
      <c r="GZ36" s="742"/>
      <c r="HA36" s="746"/>
      <c r="HB36" s="767"/>
      <c r="HC36" s="767"/>
      <c r="HD36" s="767"/>
      <c r="HE36" s="767"/>
      <c r="HF36" s="767"/>
      <c r="HN36" s="144"/>
      <c r="HO36" s="144"/>
      <c r="HP36" s="144"/>
      <c r="HQ36" s="144"/>
      <c r="HR36" s="144"/>
      <c r="HS36" s="144"/>
      <c r="HT36" s="144"/>
      <c r="IR36" s="767"/>
      <c r="IS36" s="665" t="s">
        <v>880</v>
      </c>
      <c r="IT36" s="667"/>
      <c r="IU36" s="373"/>
      <c r="IV36" s="249" t="s">
        <v>1134</v>
      </c>
      <c r="IW36" s="677">
        <f>$AZ$86</f>
        <v>0.13</v>
      </c>
      <c r="IX36" s="677"/>
      <c r="IY36" s="150"/>
      <c r="IZ36" s="87"/>
      <c r="JA36" s="87"/>
      <c r="JB36" s="150"/>
      <c r="JC36" s="85" t="s">
        <v>467</v>
      </c>
      <c r="JD36" s="757" t="s">
        <v>461</v>
      </c>
      <c r="JE36" s="758"/>
      <c r="JF36" s="819" t="s">
        <v>126</v>
      </c>
      <c r="JG36" s="820"/>
      <c r="JH36" s="675" t="s">
        <v>731</v>
      </c>
      <c r="JI36" s="676"/>
      <c r="JJ36" s="821" t="s">
        <v>473</v>
      </c>
      <c r="JK36" s="822"/>
      <c r="JL36" s="822"/>
      <c r="JM36" s="823"/>
      <c r="JN36" s="769" t="s">
        <v>462</v>
      </c>
      <c r="JO36" s="769"/>
      <c r="JP36" s="769"/>
      <c r="JQ36" s="769"/>
      <c r="JU36" s="144"/>
      <c r="JV36" s="144"/>
      <c r="JW36" s="144"/>
      <c r="JX36" s="144"/>
      <c r="JY36" s="144"/>
      <c r="JZ36" s="144"/>
      <c r="KA36" s="144"/>
      <c r="KB36" s="144"/>
      <c r="KC36" s="144"/>
      <c r="KD36" s="144"/>
      <c r="KE36" s="144"/>
      <c r="KF36" s="144"/>
      <c r="KG36" s="144"/>
      <c r="KH36" s="144"/>
      <c r="KI36" s="144"/>
      <c r="KJ36" s="144"/>
      <c r="KK36" s="144"/>
      <c r="KL36" s="144"/>
      <c r="KM36" s="144"/>
      <c r="KN36" s="144"/>
      <c r="KO36" s="144"/>
      <c r="KP36" s="144"/>
      <c r="KQ36" s="144"/>
      <c r="KR36" s="144"/>
      <c r="KS36" s="229"/>
      <c r="LM36" s="144"/>
      <c r="LN36" s="144"/>
      <c r="LO36" s="144"/>
      <c r="LP36" s="144"/>
      <c r="LQ36" s="144"/>
      <c r="LR36" s="144"/>
      <c r="LZ36" s="827"/>
      <c r="MA36" s="253" t="s">
        <v>1336</v>
      </c>
      <c r="MB36" s="828">
        <f>$MN$43</f>
        <v>0.10323962069192513</v>
      </c>
      <c r="MC36" s="828"/>
      <c r="MD36" s="707"/>
      <c r="ME36" s="707"/>
      <c r="MF36" s="707"/>
      <c r="MG36" s="707"/>
      <c r="MH36" s="707"/>
      <c r="MI36" s="707"/>
      <c r="MJ36" s="707"/>
      <c r="MK36" s="707"/>
      <c r="ML36" s="707"/>
      <c r="MM36" s="708"/>
      <c r="MN36" s="765"/>
      <c r="MO36" s="766"/>
      <c r="MP36" s="1402"/>
      <c r="MQ36" s="1403"/>
      <c r="MR36" s="713"/>
      <c r="MS36" s="1566"/>
      <c r="MT36" s="1568"/>
      <c r="MU36" s="713"/>
      <c r="MV36" s="768"/>
      <c r="MW36" s="768"/>
      <c r="MX36" s="768"/>
      <c r="MY36" s="768"/>
      <c r="MZ36" s="768"/>
      <c r="PI36" s="933" t="s">
        <v>789</v>
      </c>
      <c r="PJ36" s="792" t="s">
        <v>1013</v>
      </c>
      <c r="PK36" s="793"/>
      <c r="PL36" s="794"/>
      <c r="PM36" s="825"/>
      <c r="PN36" s="695" t="s">
        <v>442</v>
      </c>
      <c r="PO36" s="695"/>
      <c r="PP36" s="504"/>
      <c r="PQ36" s="87"/>
      <c r="PR36" s="87"/>
      <c r="PS36" s="87"/>
      <c r="PT36" s="87"/>
      <c r="PU36" s="87"/>
      <c r="PV36" s="87"/>
      <c r="PW36" s="504"/>
      <c r="PX36" s="85" t="s">
        <v>467</v>
      </c>
      <c r="PY36" s="757" t="s">
        <v>461</v>
      </c>
      <c r="PZ36" s="899"/>
      <c r="QA36" s="819" t="s">
        <v>126</v>
      </c>
      <c r="QB36" s="820"/>
      <c r="QC36" s="675" t="s">
        <v>731</v>
      </c>
      <c r="QD36" s="676"/>
      <c r="QE36" s="821" t="s">
        <v>473</v>
      </c>
      <c r="QF36" s="822"/>
      <c r="QG36" s="822"/>
      <c r="QH36" s="823"/>
      <c r="QJ36" s="144"/>
      <c r="QK36" s="144"/>
      <c r="QL36" s="144"/>
      <c r="RC36" s="369">
        <v>18</v>
      </c>
      <c r="RD36" s="668">
        <v>1.7999999999999999E-2</v>
      </c>
      <c r="RE36" s="669"/>
      <c r="RF36" s="670">
        <f t="shared" si="30"/>
        <v>37.835096091710867</v>
      </c>
      <c r="RG36" s="670"/>
      <c r="RH36" s="670"/>
      <c r="RI36" s="670"/>
      <c r="RJ36" s="698">
        <f t="shared" si="12"/>
        <v>30</v>
      </c>
      <c r="RK36" s="699"/>
      <c r="RL36" s="726"/>
      <c r="RM36" s="670">
        <f t="shared" si="13"/>
        <v>38.023597261927314</v>
      </c>
      <c r="RN36" s="670"/>
      <c r="RO36" s="670"/>
      <c r="RP36" s="670"/>
      <c r="RQ36" s="670"/>
      <c r="RR36" s="670"/>
      <c r="RS36" s="671">
        <f t="shared" si="6"/>
        <v>1.560804663639157</v>
      </c>
      <c r="RT36" s="671"/>
      <c r="RU36" s="671"/>
      <c r="RV36" s="671"/>
      <c r="RW36" s="671"/>
      <c r="RX36" s="671"/>
      <c r="RY36" s="681">
        <f t="shared" si="14"/>
        <v>38.055617981255857</v>
      </c>
      <c r="RZ36" s="681"/>
      <c r="SA36" s="681"/>
      <c r="SB36" s="681"/>
      <c r="SC36" s="681">
        <f>'Вывод расчетов'!$AQ$6/RY36</f>
        <v>9.9853850799944297</v>
      </c>
      <c r="SD36" s="681"/>
      <c r="SE36" s="681"/>
      <c r="SF36" s="681"/>
      <c r="SG36" s="867">
        <f t="shared" si="28"/>
        <v>0.99915858101833177</v>
      </c>
      <c r="SH36" s="867"/>
      <c r="SI36" s="867"/>
      <c r="SJ36" s="867"/>
      <c r="SK36" s="874">
        <f t="shared" si="16"/>
        <v>4.1013777897600433E-2</v>
      </c>
      <c r="SL36" s="875"/>
      <c r="SM36" s="875"/>
      <c r="SN36" s="876"/>
      <c r="SO36" s="692">
        <f t="shared" si="26"/>
        <v>10.327305628580104</v>
      </c>
      <c r="SP36" s="693"/>
      <c r="SQ36" s="693"/>
      <c r="SR36" s="693"/>
      <c r="SS36" s="694"/>
      <c r="ST36" s="668">
        <f t="shared" si="24"/>
        <v>11.391615127888899</v>
      </c>
      <c r="SU36" s="678"/>
      <c r="SV36" s="678"/>
      <c r="SW36" s="678"/>
      <c r="SX36" s="678"/>
      <c r="SY36" s="669"/>
      <c r="SZ36" s="682">
        <f t="shared" si="19"/>
        <v>15.376024738795445</v>
      </c>
      <c r="TA36" s="683"/>
      <c r="TB36" s="683"/>
      <c r="TC36" s="683"/>
      <c r="TD36" s="683"/>
      <c r="TE36" s="684"/>
      <c r="TF36" s="682">
        <f>'Вывод расчетов'!$XC$174*SC36</f>
        <v>10.144408510644704</v>
      </c>
      <c r="TG36" s="683"/>
      <c r="TH36" s="684"/>
      <c r="TI36" s="681">
        <f t="shared" si="25"/>
        <v>11.773128416581319</v>
      </c>
      <c r="TJ36" s="681"/>
      <c r="TK36" s="681"/>
      <c r="TL36" s="681"/>
      <c r="TM36" s="685">
        <f t="shared" si="21"/>
        <v>0.13160170974983285</v>
      </c>
      <c r="TN36" s="686"/>
      <c r="TO36" s="686"/>
      <c r="TP36" s="687"/>
      <c r="TQ36" s="688">
        <f t="shared" si="22"/>
        <v>0.20371276183696121</v>
      </c>
      <c r="TR36" s="688"/>
      <c r="TS36" s="688"/>
      <c r="TT36" s="688"/>
      <c r="TU36" s="689">
        <f t="shared" si="27"/>
        <v>3.7331386386666505E-2</v>
      </c>
      <c r="TV36" s="690"/>
      <c r="TW36" s="690"/>
      <c r="TX36" s="690"/>
      <c r="TY36" s="690"/>
      <c r="TZ36" s="691"/>
      <c r="UA36" s="756">
        <v>1.7999999999999999E-2</v>
      </c>
      <c r="UB36" s="756"/>
      <c r="UC36" s="650">
        <v>0.18</v>
      </c>
      <c r="UD36" s="866">
        <f t="shared" si="7"/>
        <v>1.2529326738008739</v>
      </c>
      <c r="UE36" s="866"/>
      <c r="UF36" s="866"/>
      <c r="UG36" s="866"/>
      <c r="UH36" s="866"/>
      <c r="UI36" s="866"/>
      <c r="UJ36" s="866"/>
      <c r="UK36" s="670">
        <f t="shared" si="8"/>
        <v>10.520195742780444</v>
      </c>
      <c r="UL36" s="670"/>
      <c r="UM36" s="670"/>
      <c r="UN36" s="670"/>
      <c r="UO36" s="688">
        <f t="shared" si="9"/>
        <v>0.89357691265507322</v>
      </c>
      <c r="UP36" s="688"/>
      <c r="UQ36" s="688"/>
      <c r="UR36" s="688"/>
      <c r="US36" s="866">
        <f t="shared" si="10"/>
        <v>0.67164990977955097</v>
      </c>
      <c r="UT36" s="866"/>
      <c r="UU36" s="866"/>
      <c r="UV36" s="866"/>
      <c r="UW36" s="866"/>
      <c r="WC36" s="905"/>
      <c r="WD36" s="900"/>
      <c r="WE36" s="900"/>
      <c r="WF36" s="900"/>
      <c r="WG36" s="900"/>
      <c r="WH36" s="906"/>
      <c r="WI36" s="183"/>
      <c r="WJ36" s="184"/>
      <c r="WK36" s="184"/>
      <c r="WL36" s="184"/>
      <c r="WM36" s="184"/>
      <c r="WN36" s="186"/>
      <c r="WO36" s="880"/>
      <c r="WP36" s="880"/>
      <c r="WQ36" s="1033"/>
      <c r="WR36" s="1033"/>
      <c r="WS36" s="1034"/>
      <c r="WT36" s="1034"/>
      <c r="WU36" s="1034"/>
      <c r="WV36" s="1034"/>
      <c r="WW36" s="1034"/>
      <c r="WX36" s="1034"/>
      <c r="WY36" s="1034"/>
      <c r="WZ36" s="1034"/>
      <c r="XA36" s="1034"/>
      <c r="XB36" s="1034"/>
      <c r="XC36" s="1034"/>
      <c r="XD36" s="1034"/>
      <c r="XE36" s="183"/>
      <c r="XF36" s="184"/>
      <c r="XG36" s="184"/>
      <c r="XH36" s="186"/>
      <c r="XI36" s="180"/>
      <c r="YS36" s="480" t="s">
        <v>1224</v>
      </c>
      <c r="YT36" s="1074">
        <f>$CO$28</f>
        <v>33</v>
      </c>
      <c r="YU36" s="1074"/>
      <c r="YV36" s="144"/>
      <c r="YW36" s="696" t="s">
        <v>1125</v>
      </c>
      <c r="YX36" s="697"/>
      <c r="YY36" s="739">
        <f>$CL$40</f>
        <v>1.6231421212121216E-2</v>
      </c>
      <c r="YZ36" s="739"/>
      <c r="ZB36" s="144"/>
      <c r="ZC36" s="144"/>
      <c r="ZD36" s="144"/>
      <c r="ZE36" s="144"/>
      <c r="ZF36" s="144"/>
      <c r="ZG36" s="144"/>
      <c r="ZH36" s="144"/>
      <c r="ZI36" s="144"/>
      <c r="ZJ36" s="144"/>
      <c r="AAD36" s="947"/>
      <c r="AAE36" s="947"/>
      <c r="AAF36" s="947"/>
      <c r="AAG36" s="947"/>
      <c r="AAH36" s="465">
        <v>26</v>
      </c>
      <c r="AAI36" s="956"/>
      <c r="AAJ36" s="957"/>
      <c r="AAK36" s="956"/>
      <c r="AAL36" s="957"/>
      <c r="AAM36" s="958">
        <f t="shared" si="29"/>
        <v>0.34666666666666668</v>
      </c>
      <c r="AAN36" s="959"/>
      <c r="AAP36" s="947"/>
      <c r="AAQ36" s="947"/>
      <c r="AAR36" s="947"/>
      <c r="AAS36" s="947"/>
      <c r="AAT36" s="465">
        <v>86</v>
      </c>
      <c r="AAU36" s="956"/>
      <c r="AAV36" s="957"/>
      <c r="AAW36" s="956"/>
      <c r="AAX36" s="957"/>
      <c r="AAY36" s="958">
        <f t="shared" si="1"/>
        <v>1.1466666666666667</v>
      </c>
      <c r="AAZ36" s="959"/>
      <c r="ABB36" s="947"/>
      <c r="ABC36" s="947"/>
      <c r="ABD36" s="947"/>
      <c r="ABE36" s="947"/>
      <c r="ABF36" s="465">
        <v>146</v>
      </c>
      <c r="ABG36" s="956"/>
      <c r="ABH36" s="957"/>
      <c r="ABI36" s="956"/>
      <c r="ABJ36" s="957"/>
      <c r="ABK36" s="958">
        <f t="shared" si="2"/>
        <v>1.9466666666666668</v>
      </c>
      <c r="ABL36" s="959"/>
      <c r="ABN36" s="947"/>
      <c r="ABO36" s="947"/>
      <c r="ABP36" s="947"/>
      <c r="ABQ36" s="947"/>
      <c r="ABR36" s="465">
        <v>206</v>
      </c>
      <c r="ABS36" s="956"/>
      <c r="ABT36" s="957"/>
      <c r="ABU36" s="956"/>
      <c r="ABV36" s="957"/>
      <c r="ABW36" s="958">
        <f t="shared" si="3"/>
        <v>2.746666666666667</v>
      </c>
      <c r="ABX36" s="959"/>
      <c r="ABZ36" s="947"/>
      <c r="ACA36" s="947"/>
      <c r="ACB36" s="947"/>
      <c r="ACC36" s="947"/>
      <c r="ACD36" s="465">
        <v>266</v>
      </c>
      <c r="ACE36" s="956"/>
      <c r="ACF36" s="957"/>
      <c r="ACG36" s="956"/>
      <c r="ACH36" s="957"/>
      <c r="ACI36" s="958">
        <f t="shared" si="4"/>
        <v>3.5466666666666669</v>
      </c>
      <c r="ACJ36" s="959"/>
      <c r="ADB36" s="1039"/>
      <c r="ADC36" s="1040"/>
      <c r="ADD36" s="184"/>
      <c r="ADE36" s="184"/>
      <c r="ADF36" s="184"/>
      <c r="ADG36" s="184"/>
      <c r="ADH36" s="184"/>
      <c r="ADI36" s="186"/>
      <c r="ADJ36" s="1070"/>
      <c r="ADK36" s="1070"/>
      <c r="ADL36" s="1032"/>
      <c r="ADM36" s="1032"/>
      <c r="ADN36" s="1032"/>
      <c r="ADO36" s="1032"/>
      <c r="ADP36" s="1032"/>
      <c r="ADQ36" s="1032"/>
      <c r="ADR36" s="1032"/>
      <c r="ADS36" s="1032"/>
      <c r="ADT36" s="1032"/>
      <c r="ADU36" s="1032"/>
      <c r="ADV36" s="1032"/>
      <c r="ADW36" s="1032"/>
      <c r="ADX36" s="1049"/>
      <c r="ADY36" s="1049"/>
      <c r="ADZ36" s="1049"/>
      <c r="AEA36" s="1049"/>
      <c r="AEB36" s="1049"/>
      <c r="AEC36" s="1049"/>
      <c r="AED36" s="1049"/>
      <c r="AEE36" s="1049"/>
      <c r="AEF36" s="172"/>
      <c r="AEG36" s="172"/>
      <c r="AEH36" s="172"/>
      <c r="AEI36" s="172"/>
      <c r="AEJ36" s="172"/>
      <c r="AEK36" s="177"/>
      <c r="AFM36" s="144"/>
      <c r="AFN36" s="144"/>
      <c r="AFO36" s="144"/>
      <c r="AHO36" s="144"/>
    </row>
    <row r="37" spans="3:1022 1034:1055" ht="48" customHeight="1" thickBot="1">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I37" s="825"/>
      <c r="AJ37" s="681">
        <v>1.7</v>
      </c>
      <c r="AK37" s="681"/>
      <c r="AL37" s="68"/>
      <c r="AM37" s="69"/>
      <c r="AN37" s="69"/>
      <c r="AO37" s="69"/>
      <c r="AP37" s="69"/>
      <c r="AQ37" s="69"/>
      <c r="AR37" s="69"/>
      <c r="AS37" s="68"/>
      <c r="AT37" s="67" t="s">
        <v>467</v>
      </c>
      <c r="AU37" s="1504" t="s">
        <v>461</v>
      </c>
      <c r="AV37" s="1505"/>
      <c r="AW37" s="1130" t="s">
        <v>126</v>
      </c>
      <c r="AX37" s="1131"/>
      <c r="AY37" s="675" t="s">
        <v>731</v>
      </c>
      <c r="AZ37" s="676"/>
      <c r="BA37" s="821" t="s">
        <v>473</v>
      </c>
      <c r="BB37" s="822"/>
      <c r="BC37" s="822"/>
      <c r="BD37" s="823"/>
      <c r="BE37" s="769" t="s">
        <v>472</v>
      </c>
      <c r="BF37" s="769"/>
      <c r="BG37" s="769"/>
      <c r="BH37" s="769"/>
      <c r="BM37" s="139"/>
      <c r="BN37" s="139"/>
      <c r="BO37" s="144"/>
      <c r="BP37" s="144"/>
      <c r="BX37" s="827"/>
      <c r="BY37" s="734"/>
      <c r="BZ37" s="735"/>
      <c r="CA37" s="735"/>
      <c r="CB37" s="735"/>
      <c r="CC37" s="735"/>
      <c r="CD37" s="735"/>
      <c r="CE37" s="735"/>
      <c r="CF37" s="735"/>
      <c r="CG37" s="735"/>
      <c r="CH37" s="735"/>
      <c r="CI37" s="735"/>
      <c r="CJ37" s="735"/>
      <c r="CK37" s="735"/>
      <c r="CL37" s="1337"/>
      <c r="CM37" s="1338"/>
      <c r="CN37" s="851"/>
      <c r="CO37" s="852"/>
      <c r="CP37" s="713"/>
      <c r="CQ37" s="954"/>
      <c r="CR37" s="1152"/>
      <c r="CS37" s="955"/>
      <c r="CT37" s="747"/>
      <c r="CU37" s="768"/>
      <c r="CV37" s="768"/>
      <c r="CW37" s="768"/>
      <c r="CX37" s="768"/>
      <c r="DL37" s="144"/>
      <c r="DM37" s="144"/>
      <c r="DN37" s="144"/>
      <c r="DU37" s="144"/>
      <c r="DV37" s="144"/>
      <c r="DW37" s="144"/>
      <c r="DX37" s="144"/>
      <c r="DY37" s="144"/>
      <c r="DZ37" s="795"/>
      <c r="EA37" s="796"/>
      <c r="EB37" s="797"/>
      <c r="EC37" s="826"/>
      <c r="ED37" s="816" t="s">
        <v>828</v>
      </c>
      <c r="EE37" s="816"/>
      <c r="EF37" s="816"/>
      <c r="EG37" s="816"/>
      <c r="EH37" s="816"/>
      <c r="EI37" s="816"/>
      <c r="EJ37" s="816"/>
      <c r="EK37" s="816"/>
      <c r="EL37" s="816"/>
      <c r="EM37" s="816"/>
      <c r="EN37" s="816"/>
      <c r="EO37" s="816"/>
      <c r="EP37" s="685"/>
      <c r="EQ37" s="923">
        <v>0.97</v>
      </c>
      <c r="ER37" s="924"/>
      <c r="ES37" s="849" t="s">
        <v>762</v>
      </c>
      <c r="ET37" s="850"/>
      <c r="EU37" s="712"/>
      <c r="EV37" s="952" t="s">
        <v>1123</v>
      </c>
      <c r="EW37" s="717"/>
      <c r="EX37" s="746"/>
      <c r="GF37" s="827"/>
      <c r="GG37" s="258" t="s">
        <v>1182</v>
      </c>
      <c r="GH37" s="1268">
        <f>$GW$44</f>
        <v>0.22</v>
      </c>
      <c r="GI37" s="1268"/>
      <c r="GJ37" s="706"/>
      <c r="GK37" s="707"/>
      <c r="GL37" s="707"/>
      <c r="GM37" s="707"/>
      <c r="GN37" s="707"/>
      <c r="GO37" s="707"/>
      <c r="GP37" s="707"/>
      <c r="GQ37" s="707"/>
      <c r="GR37" s="707"/>
      <c r="GS37" s="708"/>
      <c r="GT37" s="1089"/>
      <c r="GU37" s="708"/>
      <c r="GV37" s="1215"/>
      <c r="GW37" s="1216"/>
      <c r="GX37" s="715"/>
      <c r="GY37" s="743"/>
      <c r="GZ37" s="745"/>
      <c r="HA37" s="747"/>
      <c r="HB37" s="768"/>
      <c r="HC37" s="768"/>
      <c r="HD37" s="768"/>
      <c r="HE37" s="768"/>
      <c r="HF37" s="768"/>
      <c r="HL37" s="144"/>
      <c r="HM37" s="144"/>
      <c r="HN37" s="144"/>
      <c r="HO37" s="144"/>
      <c r="HP37" s="144"/>
      <c r="HQ37" s="144"/>
      <c r="HR37" s="144"/>
      <c r="HS37" s="144"/>
      <c r="HT37" s="144"/>
      <c r="IR37" s="767"/>
      <c r="IS37" s="374" t="s">
        <v>806</v>
      </c>
      <c r="IT37" s="884">
        <f>$CL$88</f>
        <v>1.6841666110977177E-2</v>
      </c>
      <c r="IU37" s="884"/>
      <c r="IV37" s="246" t="s">
        <v>1124</v>
      </c>
      <c r="IW37" s="677">
        <f>$EQ$37</f>
        <v>0.97</v>
      </c>
      <c r="IX37" s="677"/>
      <c r="IY37" s="939" t="s">
        <v>69</v>
      </c>
      <c r="IZ37" s="940"/>
      <c r="JA37" s="940"/>
      <c r="JB37" s="940"/>
      <c r="JC37" s="940"/>
      <c r="JD37" s="940"/>
      <c r="JE37" s="1003"/>
      <c r="JF37" s="763">
        <f>(IT37*1000)/(2*IT38*IW36*IW37)</f>
        <v>1.5000000000000002</v>
      </c>
      <c r="JG37" s="764"/>
      <c r="JH37" s="759" t="s">
        <v>18</v>
      </c>
      <c r="JI37" s="760"/>
      <c r="JJ37" s="712"/>
      <c r="JK37" s="716" t="s">
        <v>1043</v>
      </c>
      <c r="JL37" s="717"/>
      <c r="JM37" s="746"/>
      <c r="JN37" s="890"/>
      <c r="JO37" s="841"/>
      <c r="JP37" s="841"/>
      <c r="JQ37" s="891"/>
      <c r="JU37" s="144"/>
      <c r="JV37" s="144"/>
      <c r="JW37" s="144"/>
      <c r="JX37" s="144"/>
      <c r="JY37" s="144"/>
      <c r="JZ37" s="144"/>
      <c r="KA37" s="144"/>
      <c r="KB37" s="144"/>
      <c r="KC37" s="144"/>
      <c r="KD37" s="144"/>
      <c r="KE37" s="144"/>
      <c r="KF37" s="144"/>
      <c r="KG37" s="144"/>
      <c r="KH37" s="144"/>
      <c r="KI37" s="144"/>
      <c r="KJ37" s="144"/>
      <c r="KK37" s="144"/>
      <c r="KL37" s="144"/>
      <c r="KM37" s="144"/>
      <c r="KN37" s="144"/>
      <c r="KO37" s="144"/>
      <c r="KP37" s="144"/>
      <c r="KQ37" s="144"/>
      <c r="KR37" s="144"/>
      <c r="KS37" s="229"/>
      <c r="LM37" s="144"/>
      <c r="LN37" s="144"/>
      <c r="LO37" s="144"/>
      <c r="LP37" s="144"/>
      <c r="LQ37" s="144"/>
      <c r="LR37" s="144"/>
      <c r="LS37" s="144"/>
      <c r="LT37" s="144"/>
      <c r="PI37" s="934"/>
      <c r="PJ37" s="795"/>
      <c r="PK37" s="796"/>
      <c r="PL37" s="797"/>
      <c r="PM37" s="826"/>
      <c r="PN37" s="700" t="s">
        <v>1695</v>
      </c>
      <c r="PO37" s="701"/>
      <c r="PP37" s="701"/>
      <c r="PQ37" s="701"/>
      <c r="PR37" s="701"/>
      <c r="PS37" s="701"/>
      <c r="PT37" s="701"/>
      <c r="PU37" s="701"/>
      <c r="PV37" s="701"/>
      <c r="PW37" s="701"/>
      <c r="PX37" s="701"/>
      <c r="PY37" s="701"/>
      <c r="PZ37" s="702"/>
      <c r="QA37" s="974">
        <v>1.6</v>
      </c>
      <c r="QB37" s="975"/>
      <c r="QC37" s="849" t="s">
        <v>762</v>
      </c>
      <c r="QD37" s="850"/>
      <c r="QE37" s="714"/>
      <c r="QF37" s="952" t="s">
        <v>1740</v>
      </c>
      <c r="QG37" s="953"/>
      <c r="QH37" s="746"/>
      <c r="QJ37" s="144"/>
      <c r="QK37" s="144"/>
      <c r="QL37" s="144"/>
      <c r="RC37" s="369">
        <v>19</v>
      </c>
      <c r="RD37" s="668">
        <v>1.9E-2</v>
      </c>
      <c r="RE37" s="669"/>
      <c r="RF37" s="670">
        <f t="shared" si="30"/>
        <v>35.843775244778712</v>
      </c>
      <c r="RG37" s="670"/>
      <c r="RH37" s="670"/>
      <c r="RI37" s="670"/>
      <c r="RJ37" s="698">
        <f t="shared" si="12"/>
        <v>30</v>
      </c>
      <c r="RK37" s="699"/>
      <c r="RL37" s="726"/>
      <c r="RM37" s="670">
        <f t="shared" si="13"/>
        <v>36.03227641499516</v>
      </c>
      <c r="RN37" s="670"/>
      <c r="RO37" s="670"/>
      <c r="RP37" s="670"/>
      <c r="RQ37" s="670"/>
      <c r="RR37" s="670"/>
      <c r="RS37" s="671">
        <f t="shared" si="6"/>
        <v>1.560804663639157</v>
      </c>
      <c r="RT37" s="671"/>
      <c r="RU37" s="671"/>
      <c r="RV37" s="671"/>
      <c r="RW37" s="671"/>
      <c r="RX37" s="671"/>
      <c r="RY37" s="681">
        <f t="shared" si="14"/>
        <v>36.066065142244923</v>
      </c>
      <c r="RZ37" s="681"/>
      <c r="SA37" s="681"/>
      <c r="SB37" s="681"/>
      <c r="SC37" s="681">
        <f>'Вывод расчетов'!$AQ$6/RY37</f>
        <v>10.53622008670134</v>
      </c>
      <c r="SD37" s="681"/>
      <c r="SE37" s="681"/>
      <c r="SF37" s="681"/>
      <c r="SG37" s="867">
        <f t="shared" si="28"/>
        <v>0.99906314350854464</v>
      </c>
      <c r="SH37" s="867"/>
      <c r="SI37" s="867"/>
      <c r="SJ37" s="867"/>
      <c r="SK37" s="874">
        <f t="shared" si="16"/>
        <v>4.3276266969610566E-2</v>
      </c>
      <c r="SL37" s="875"/>
      <c r="SM37" s="875"/>
      <c r="SN37" s="876"/>
      <c r="SO37" s="692">
        <f t="shared" si="26"/>
        <v>10.87667160164896</v>
      </c>
      <c r="SP37" s="693"/>
      <c r="SQ37" s="693"/>
      <c r="SR37" s="693"/>
      <c r="SS37" s="694"/>
      <c r="ST37" s="668">
        <f t="shared" si="24"/>
        <v>11.438045035318655</v>
      </c>
      <c r="SU37" s="678"/>
      <c r="SV37" s="678"/>
      <c r="SW37" s="678"/>
      <c r="SX37" s="678"/>
      <c r="SY37" s="669"/>
      <c r="SZ37" s="682">
        <f t="shared" si="19"/>
        <v>15.783879730918336</v>
      </c>
      <c r="TA37" s="683"/>
      <c r="TB37" s="683"/>
      <c r="TC37" s="683"/>
      <c r="TD37" s="683"/>
      <c r="TE37" s="684"/>
      <c r="TF37" s="682">
        <f>'Вывод расчетов'!$XC$174*SC37</f>
        <v>10.704015905375416</v>
      </c>
      <c r="TG37" s="683"/>
      <c r="TH37" s="684"/>
      <c r="TI37" s="681">
        <f t="shared" si="25"/>
        <v>12.399405625879814</v>
      </c>
      <c r="TJ37" s="681"/>
      <c r="TK37" s="681"/>
      <c r="TL37" s="681"/>
      <c r="TM37" s="685">
        <f t="shared" si="21"/>
        <v>0.13867587651235694</v>
      </c>
      <c r="TN37" s="686"/>
      <c r="TO37" s="686"/>
      <c r="TP37" s="687"/>
      <c r="TQ37" s="688">
        <f t="shared" si="22"/>
        <v>0.22680794769025289</v>
      </c>
      <c r="TR37" s="688"/>
      <c r="TS37" s="688"/>
      <c r="TT37" s="688"/>
      <c r="TU37" s="689">
        <f t="shared" si="27"/>
        <v>3.933811147616207E-2</v>
      </c>
      <c r="TV37" s="690"/>
      <c r="TW37" s="690"/>
      <c r="TX37" s="690"/>
      <c r="TY37" s="690"/>
      <c r="TZ37" s="691"/>
      <c r="UA37" s="679">
        <v>1.9E-2</v>
      </c>
      <c r="UB37" s="680"/>
      <c r="UC37" s="650">
        <v>0.19</v>
      </c>
      <c r="UD37" s="866">
        <f t="shared" si="7"/>
        <v>1.2851087515061856</v>
      </c>
      <c r="UE37" s="866"/>
      <c r="UF37" s="866"/>
      <c r="UG37" s="866"/>
      <c r="UH37" s="866"/>
      <c r="UI37" s="866"/>
      <c r="UJ37" s="866"/>
      <c r="UK37" s="670">
        <f t="shared" si="8"/>
        <v>11.114296874373627</v>
      </c>
      <c r="UL37" s="670"/>
      <c r="UM37" s="670"/>
      <c r="UN37" s="670"/>
      <c r="UO37" s="688">
        <f t="shared" si="9"/>
        <v>0.89635722950913632</v>
      </c>
      <c r="UP37" s="688"/>
      <c r="UQ37" s="688"/>
      <c r="UR37" s="688"/>
      <c r="US37" s="866">
        <f t="shared" si="10"/>
        <v>0.68910000500974</v>
      </c>
      <c r="UT37" s="866"/>
      <c r="UU37" s="866"/>
      <c r="UV37" s="866"/>
      <c r="UW37" s="866"/>
      <c r="WC37" s="905"/>
      <c r="WD37" s="900"/>
      <c r="WE37" s="900"/>
      <c r="WF37" s="900"/>
      <c r="WG37" s="900"/>
      <c r="WH37" s="906"/>
      <c r="WI37" s="181"/>
      <c r="WJ37" s="182"/>
      <c r="WK37" s="182"/>
      <c r="WL37" s="182"/>
      <c r="WM37" s="182"/>
      <c r="WN37" s="185"/>
      <c r="WO37" s="880">
        <v>9</v>
      </c>
      <c r="WP37" s="880"/>
      <c r="WQ37" s="1033" t="s">
        <v>35</v>
      </c>
      <c r="WR37" s="1033"/>
      <c r="WS37" s="1034">
        <f>'Вывод расчетов'!$XC$186+WS31*WS33</f>
        <v>10.876692078423384</v>
      </c>
      <c r="WT37" s="1034"/>
      <c r="WU37" s="1034">
        <f>'Вывод расчетов'!$XC$186+WU31*WU33</f>
        <v>2.1889886093787898</v>
      </c>
      <c r="WV37" s="1034"/>
      <c r="WW37" s="1034">
        <f>'Вывод расчетов'!$XC$186+WW31*WW33</f>
        <v>3.2813700811439364</v>
      </c>
      <c r="WX37" s="1034"/>
      <c r="WY37" s="1034">
        <f>'Вывод расчетов'!$XC$186+WY31*WY33</f>
        <v>41.606471608191264</v>
      </c>
      <c r="WZ37" s="1034"/>
      <c r="XA37" s="1034">
        <f>'Вывод расчетов'!$XC$186+XA31*XA33</f>
        <v>50.896090097437693</v>
      </c>
      <c r="XB37" s="1034"/>
      <c r="XC37" s="1034">
        <f>'Вывод расчетов'!$XC$186+XC31*XC33</f>
        <v>59.594155199850199</v>
      </c>
      <c r="XD37" s="1034"/>
      <c r="XE37" s="181"/>
      <c r="XF37" s="182"/>
      <c r="XG37" s="182"/>
      <c r="XH37" s="182"/>
      <c r="XI37" s="185"/>
      <c r="YS37" s="477" t="s">
        <v>1180</v>
      </c>
      <c r="YT37" s="756">
        <f>$GW$24</f>
        <v>58</v>
      </c>
      <c r="YU37" s="756"/>
      <c r="YV37" s="144"/>
      <c r="YW37" s="696" t="s">
        <v>1129</v>
      </c>
      <c r="YX37" s="697"/>
      <c r="YY37" s="739">
        <f>$GT$32</f>
        <v>9.0185672413793123E-3</v>
      </c>
      <c r="YZ37" s="739"/>
      <c r="ZB37" s="144"/>
      <c r="ZC37" s="144"/>
      <c r="ZD37" s="144"/>
      <c r="ZE37" s="144"/>
      <c r="ZF37" s="144"/>
      <c r="ZG37" s="144"/>
      <c r="ZH37" s="144"/>
      <c r="ZI37" s="144"/>
      <c r="ZJ37" s="144"/>
      <c r="AAD37" s="947"/>
      <c r="AAE37" s="947"/>
      <c r="AAF37" s="947"/>
      <c r="AAG37" s="947"/>
      <c r="AAH37" s="465">
        <v>27</v>
      </c>
      <c r="AAI37" s="956"/>
      <c r="AAJ37" s="957"/>
      <c r="AAK37" s="956"/>
      <c r="AAL37" s="957"/>
      <c r="AAM37" s="958">
        <f t="shared" si="29"/>
        <v>0.36000000000000004</v>
      </c>
      <c r="AAN37" s="959"/>
      <c r="AAP37" s="947"/>
      <c r="AAQ37" s="947"/>
      <c r="AAR37" s="947"/>
      <c r="AAS37" s="947"/>
      <c r="AAT37" s="465">
        <v>87</v>
      </c>
      <c r="AAU37" s="956"/>
      <c r="AAV37" s="957"/>
      <c r="AAW37" s="956"/>
      <c r="AAX37" s="957"/>
      <c r="AAY37" s="958">
        <f t="shared" si="1"/>
        <v>1.1600000000000001</v>
      </c>
      <c r="AAZ37" s="959"/>
      <c r="ABB37" s="947"/>
      <c r="ABC37" s="947"/>
      <c r="ABD37" s="947"/>
      <c r="ABE37" s="947"/>
      <c r="ABF37" s="465">
        <v>147</v>
      </c>
      <c r="ABG37" s="956"/>
      <c r="ABH37" s="957"/>
      <c r="ABI37" s="956"/>
      <c r="ABJ37" s="957"/>
      <c r="ABK37" s="958">
        <f t="shared" si="2"/>
        <v>1.9600000000000002</v>
      </c>
      <c r="ABL37" s="959"/>
      <c r="ABN37" s="947"/>
      <c r="ABO37" s="947"/>
      <c r="ABP37" s="947"/>
      <c r="ABQ37" s="947"/>
      <c r="ABR37" s="465">
        <v>207</v>
      </c>
      <c r="ABS37" s="956"/>
      <c r="ABT37" s="957"/>
      <c r="ABU37" s="956"/>
      <c r="ABV37" s="957"/>
      <c r="ABW37" s="958">
        <f t="shared" si="3"/>
        <v>2.7600000000000002</v>
      </c>
      <c r="ABX37" s="959"/>
      <c r="ABZ37" s="947"/>
      <c r="ACA37" s="947"/>
      <c r="ACB37" s="947"/>
      <c r="ACC37" s="947"/>
      <c r="ACD37" s="465">
        <v>267</v>
      </c>
      <c r="ACE37" s="956"/>
      <c r="ACF37" s="957"/>
      <c r="ACG37" s="956"/>
      <c r="ACH37" s="957"/>
      <c r="ACI37" s="958">
        <f t="shared" si="4"/>
        <v>3.56</v>
      </c>
      <c r="ACJ37" s="959"/>
      <c r="ADB37" s="1033">
        <v>7</v>
      </c>
      <c r="ADC37" s="1033"/>
      <c r="ADD37" s="863" t="s">
        <v>1369</v>
      </c>
      <c r="ADE37" s="863"/>
      <c r="ADF37" s="863"/>
      <c r="ADG37" s="863"/>
      <c r="ADH37" s="756">
        <f>$MN$86</f>
        <v>0.65984741945763259</v>
      </c>
      <c r="ADI37" s="756"/>
      <c r="ADJ37" s="1070" t="s">
        <v>415</v>
      </c>
      <c r="ADK37" s="1070"/>
      <c r="ADL37" s="1034">
        <f>ADL34*'Вывод расчетов'!$MN$86</f>
        <v>-0.23881684129159261</v>
      </c>
      <c r="ADM37" s="1034"/>
      <c r="ADN37" s="1034">
        <f>ADN34*'Вывод расчетов'!$MN$86</f>
        <v>-0.25380448339399081</v>
      </c>
      <c r="ADO37" s="1034"/>
      <c r="ADP37" s="1034">
        <f>ADP34*'Вывод расчетов'!$MN$86</f>
        <v>-0.26879212549638914</v>
      </c>
      <c r="ADQ37" s="1034"/>
      <c r="ADR37" s="1034">
        <f>ADR34*'Вывод расчетов'!$MN$86</f>
        <v>-0.29876740970118537</v>
      </c>
      <c r="ADS37" s="1034"/>
      <c r="ADT37" s="1034">
        <f>ADT34*'Вывод расчетов'!$MN$86</f>
        <v>-0.32874269390598193</v>
      </c>
      <c r="ADU37" s="1034"/>
      <c r="ADV37" s="1034">
        <f>ADV34*'Вывод расчетов'!$MN$86</f>
        <v>-0.25380448339399081</v>
      </c>
      <c r="ADW37" s="1034"/>
      <c r="ADX37" s="1049"/>
      <c r="ADY37" s="1049"/>
      <c r="ADZ37" s="1049"/>
      <c r="AEA37" s="1049"/>
      <c r="AEB37" s="1049"/>
      <c r="AEC37" s="1049"/>
      <c r="AED37" s="1049"/>
      <c r="AEE37" s="1049"/>
      <c r="AEF37" s="172"/>
      <c r="AEG37" s="172"/>
      <c r="AEH37" s="172"/>
      <c r="AEI37" s="172"/>
      <c r="AEJ37" s="172"/>
      <c r="AEK37" s="177"/>
      <c r="AFM37" s="144"/>
      <c r="AFN37" s="144"/>
      <c r="AFO37" s="144"/>
      <c r="AHO37" s="144"/>
      <c r="AIM37" s="825"/>
      <c r="AIN37" s="147" t="s">
        <v>442</v>
      </c>
      <c r="AIO37" s="148"/>
      <c r="AIP37" s="216"/>
      <c r="AIQ37" s="87"/>
      <c r="AIR37" s="87"/>
      <c r="AIS37" s="87"/>
      <c r="AIT37" s="87"/>
      <c r="AIU37" s="87"/>
      <c r="AIV37" s="87"/>
      <c r="AIW37" s="216"/>
      <c r="AIX37" s="85" t="s">
        <v>467</v>
      </c>
      <c r="AIY37" s="757" t="s">
        <v>461</v>
      </c>
      <c r="AIZ37" s="899"/>
      <c r="AJA37" s="819" t="s">
        <v>126</v>
      </c>
      <c r="AJB37" s="820"/>
      <c r="AJC37" s="675" t="s">
        <v>731</v>
      </c>
      <c r="AJD37" s="676"/>
      <c r="AJE37" s="821" t="s">
        <v>473</v>
      </c>
      <c r="AJF37" s="822"/>
      <c r="AJG37" s="822"/>
      <c r="AJH37" s="823"/>
      <c r="AJI37" s="821" t="s">
        <v>921</v>
      </c>
      <c r="AJJ37" s="822"/>
      <c r="AJK37" s="823"/>
    </row>
    <row r="38" spans="3:1022 1034:1055" ht="48" customHeight="1" thickBot="1">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I38" s="826"/>
      <c r="AJ38" s="1488" t="s">
        <v>14</v>
      </c>
      <c r="AK38" s="1489"/>
      <c r="AL38" s="1489"/>
      <c r="AM38" s="1489"/>
      <c r="AN38" s="1489"/>
      <c r="AO38" s="1489"/>
      <c r="AP38" s="1489"/>
      <c r="AQ38" s="1489"/>
      <c r="AR38" s="1489"/>
      <c r="AS38" s="1489"/>
      <c r="AT38" s="1489"/>
      <c r="AU38" s="1489"/>
      <c r="AV38" s="1490"/>
      <c r="AW38" s="1535">
        <f>(3.14*AW34)/AW16</f>
        <v>0.26781845000000004</v>
      </c>
      <c r="AX38" s="1536"/>
      <c r="AY38" s="1400" t="s">
        <v>737</v>
      </c>
      <c r="AZ38" s="1401"/>
      <c r="BA38" s="746"/>
      <c r="BB38" s="740" t="s">
        <v>456</v>
      </c>
      <c r="BC38" s="742"/>
      <c r="BD38" s="746"/>
      <c r="BE38" s="919"/>
      <c r="BF38" s="840"/>
      <c r="BG38" s="840"/>
      <c r="BH38" s="920"/>
      <c r="BN38" s="3"/>
      <c r="BO38" s="144"/>
      <c r="BP38" s="144"/>
      <c r="DL38" s="144"/>
      <c r="DM38" s="144"/>
      <c r="DN38" s="144"/>
      <c r="DR38" s="144"/>
      <c r="DS38" s="144"/>
      <c r="DT38" s="144"/>
      <c r="DU38" s="144"/>
      <c r="DV38" s="144"/>
      <c r="DW38" s="144"/>
      <c r="DX38" s="144"/>
      <c r="DY38" s="144"/>
      <c r="DZ38" s="798"/>
      <c r="EA38" s="799"/>
      <c r="EB38" s="800"/>
      <c r="EC38" s="827"/>
      <c r="ED38" s="818"/>
      <c r="EE38" s="818"/>
      <c r="EF38" s="818"/>
      <c r="EG38" s="818"/>
      <c r="EH38" s="818"/>
      <c r="EI38" s="818"/>
      <c r="EJ38" s="818"/>
      <c r="EK38" s="818"/>
      <c r="EL38" s="818"/>
      <c r="EM38" s="818"/>
      <c r="EN38" s="818"/>
      <c r="EO38" s="818"/>
      <c r="EP38" s="1106"/>
      <c r="EQ38" s="925"/>
      <c r="ER38" s="926"/>
      <c r="ES38" s="851"/>
      <c r="ET38" s="852"/>
      <c r="EU38" s="713"/>
      <c r="EV38" s="718"/>
      <c r="EW38" s="719"/>
      <c r="EX38" s="747"/>
      <c r="IR38" s="768"/>
      <c r="IS38" s="377" t="s">
        <v>1140</v>
      </c>
      <c r="IT38" s="828">
        <f>$JF$41</f>
        <v>44.51933944218127</v>
      </c>
      <c r="IU38" s="828"/>
      <c r="IV38" s="930"/>
      <c r="IW38" s="931"/>
      <c r="IX38" s="931"/>
      <c r="IY38" s="943"/>
      <c r="IZ38" s="944"/>
      <c r="JA38" s="944"/>
      <c r="JB38" s="944"/>
      <c r="JC38" s="944"/>
      <c r="JD38" s="944"/>
      <c r="JE38" s="1004"/>
      <c r="JF38" s="765"/>
      <c r="JG38" s="766"/>
      <c r="JH38" s="761"/>
      <c r="JI38" s="762"/>
      <c r="JJ38" s="713"/>
      <c r="JK38" s="718"/>
      <c r="JL38" s="719"/>
      <c r="JM38" s="747"/>
      <c r="JN38" s="892"/>
      <c r="JO38" s="893"/>
      <c r="JP38" s="893"/>
      <c r="JQ38" s="894"/>
      <c r="JU38" s="144"/>
      <c r="JV38" s="144"/>
      <c r="JW38" s="144"/>
      <c r="JX38" s="144"/>
      <c r="JY38" s="144"/>
      <c r="JZ38" s="144"/>
      <c r="KA38" s="144"/>
      <c r="KB38" s="144"/>
      <c r="KC38" s="144"/>
      <c r="KD38" s="144"/>
      <c r="KE38" s="144"/>
      <c r="KF38" s="144"/>
      <c r="KG38" s="144"/>
      <c r="KH38" s="144"/>
      <c r="KI38" s="144"/>
      <c r="KJ38" s="144"/>
      <c r="KK38" s="144"/>
      <c r="KL38" s="144"/>
      <c r="KM38" s="144"/>
      <c r="KN38" s="144"/>
      <c r="KO38" s="144"/>
      <c r="KP38" s="144"/>
      <c r="KQ38" s="144"/>
      <c r="KR38" s="144"/>
      <c r="KS38" s="229"/>
      <c r="LM38" s="144"/>
      <c r="LN38" s="144"/>
      <c r="LO38" s="144"/>
      <c r="LP38" s="144"/>
      <c r="LQ38" s="144"/>
      <c r="LR38" s="144"/>
      <c r="LS38" s="144"/>
      <c r="LT38" s="144"/>
      <c r="LZ38" s="933" t="s">
        <v>789</v>
      </c>
      <c r="MA38" s="825"/>
      <c r="MB38" s="665" t="s">
        <v>442</v>
      </c>
      <c r="MC38" s="666"/>
      <c r="MD38" s="370"/>
      <c r="ME38" s="87"/>
      <c r="MF38" s="87"/>
      <c r="MG38" s="87"/>
      <c r="MH38" s="87"/>
      <c r="MI38" s="87"/>
      <c r="MJ38" s="87"/>
      <c r="MK38" s="370"/>
      <c r="ML38" s="85" t="s">
        <v>467</v>
      </c>
      <c r="MM38" s="757" t="s">
        <v>461</v>
      </c>
      <c r="MN38" s="758"/>
      <c r="MO38" s="819" t="s">
        <v>126</v>
      </c>
      <c r="MP38" s="820"/>
      <c r="MQ38" s="675" t="s">
        <v>731</v>
      </c>
      <c r="MR38" s="676"/>
      <c r="MS38" s="821" t="s">
        <v>473</v>
      </c>
      <c r="MT38" s="1224"/>
      <c r="MU38" s="1224"/>
      <c r="MV38" s="823"/>
      <c r="NC38" s="144"/>
      <c r="ND38" s="144"/>
      <c r="NE38" s="144"/>
      <c r="NF38" s="144"/>
      <c r="NG38" s="144"/>
      <c r="NH38" s="144"/>
      <c r="NI38" s="144"/>
      <c r="PI38" s="935"/>
      <c r="PJ38" s="798"/>
      <c r="PK38" s="799"/>
      <c r="PL38" s="800"/>
      <c r="PM38" s="827"/>
      <c r="PN38" s="706"/>
      <c r="PO38" s="707"/>
      <c r="PP38" s="707"/>
      <c r="PQ38" s="707"/>
      <c r="PR38" s="707"/>
      <c r="PS38" s="707"/>
      <c r="PT38" s="707"/>
      <c r="PU38" s="707"/>
      <c r="PV38" s="707"/>
      <c r="PW38" s="707"/>
      <c r="PX38" s="707"/>
      <c r="PY38" s="707"/>
      <c r="PZ38" s="708"/>
      <c r="QA38" s="976"/>
      <c r="QB38" s="977"/>
      <c r="QC38" s="851"/>
      <c r="QD38" s="852"/>
      <c r="QE38" s="715"/>
      <c r="QF38" s="954"/>
      <c r="QG38" s="955"/>
      <c r="QH38" s="747"/>
      <c r="QJ38" s="144"/>
      <c r="QK38" s="144"/>
      <c r="QL38" s="144"/>
      <c r="RC38" s="369">
        <v>20</v>
      </c>
      <c r="RD38" s="668">
        <v>0.02</v>
      </c>
      <c r="RE38" s="669"/>
      <c r="RF38" s="670">
        <f t="shared" si="30"/>
        <v>34.051586482539776</v>
      </c>
      <c r="RG38" s="670"/>
      <c r="RH38" s="670"/>
      <c r="RI38" s="670"/>
      <c r="RJ38" s="698">
        <f t="shared" si="12"/>
        <v>30</v>
      </c>
      <c r="RK38" s="699"/>
      <c r="RL38" s="726"/>
      <c r="RM38" s="670">
        <f t="shared" si="13"/>
        <v>34.240087652756223</v>
      </c>
      <c r="RN38" s="670"/>
      <c r="RO38" s="670"/>
      <c r="RP38" s="670"/>
      <c r="RQ38" s="670"/>
      <c r="RR38" s="670"/>
      <c r="RS38" s="671">
        <f t="shared" si="6"/>
        <v>1.560804663639157</v>
      </c>
      <c r="RT38" s="671"/>
      <c r="RU38" s="671"/>
      <c r="RV38" s="671"/>
      <c r="RW38" s="671"/>
      <c r="RX38" s="671"/>
      <c r="RY38" s="681">
        <f t="shared" si="14"/>
        <v>34.275643154672778</v>
      </c>
      <c r="RZ38" s="681"/>
      <c r="SA38" s="681"/>
      <c r="SB38" s="681"/>
      <c r="SC38" s="681">
        <f>'Вывод расчетов'!$AQ$6/RY38</f>
        <v>11.08658992291425</v>
      </c>
      <c r="SD38" s="681"/>
      <c r="SE38" s="681"/>
      <c r="SF38" s="681"/>
      <c r="SG38" s="867">
        <f t="shared" si="28"/>
        <v>0.99896265981775723</v>
      </c>
      <c r="SH38" s="867"/>
      <c r="SI38" s="867"/>
      <c r="SJ38" s="867"/>
      <c r="SK38" s="874">
        <f t="shared" si="16"/>
        <v>4.5536845409314325E-2</v>
      </c>
      <c r="SL38" s="875"/>
      <c r="SM38" s="875"/>
      <c r="SN38" s="876"/>
      <c r="SO38" s="692">
        <f t="shared" si="26"/>
        <v>11.425411798834412</v>
      </c>
      <c r="SP38" s="693"/>
      <c r="SQ38" s="693"/>
      <c r="SR38" s="693"/>
      <c r="SS38" s="694"/>
      <c r="ST38" s="668">
        <f t="shared" si="24"/>
        <v>11.486925093432202</v>
      </c>
      <c r="SU38" s="678"/>
      <c r="SV38" s="678"/>
      <c r="SW38" s="678"/>
      <c r="SX38" s="678"/>
      <c r="SY38" s="669"/>
      <c r="SZ38" s="682">
        <f t="shared" si="19"/>
        <v>16.20152717724681</v>
      </c>
      <c r="TA38" s="683"/>
      <c r="TB38" s="683"/>
      <c r="TC38" s="683"/>
      <c r="TD38" s="683"/>
      <c r="TE38" s="684"/>
      <c r="TF38" s="682">
        <f>'Вывод расчетов'!$XC$174*SC38</f>
        <v>11.263150721484429</v>
      </c>
      <c r="TG38" s="683"/>
      <c r="TH38" s="684"/>
      <c r="TI38" s="681">
        <f t="shared" si="25"/>
        <v>13.024969450671229</v>
      </c>
      <c r="TJ38" s="681"/>
      <c r="TK38" s="681"/>
      <c r="TL38" s="681"/>
      <c r="TM38" s="685">
        <f t="shared" si="21"/>
        <v>0.1461118032766914</v>
      </c>
      <c r="TN38" s="686"/>
      <c r="TO38" s="686"/>
      <c r="TP38" s="687"/>
      <c r="TQ38" s="688">
        <f t="shared" si="22"/>
        <v>0.25112188862067564</v>
      </c>
      <c r="TR38" s="688"/>
      <c r="TS38" s="688"/>
      <c r="TT38" s="688"/>
      <c r="TU38" s="689">
        <f t="shared" si="27"/>
        <v>4.1447456831249112E-2</v>
      </c>
      <c r="TV38" s="690"/>
      <c r="TW38" s="690"/>
      <c r="TX38" s="690"/>
      <c r="TY38" s="690"/>
      <c r="TZ38" s="691"/>
      <c r="UA38" s="679">
        <v>0.02</v>
      </c>
      <c r="UB38" s="680"/>
      <c r="UC38" s="650">
        <v>0.2</v>
      </c>
      <c r="UD38" s="866">
        <f t="shared" si="7"/>
        <v>1.3189679645560297</v>
      </c>
      <c r="UE38" s="866"/>
      <c r="UF38" s="866"/>
      <c r="UG38" s="866"/>
      <c r="UH38" s="866"/>
      <c r="UI38" s="866"/>
      <c r="UJ38" s="866"/>
      <c r="UK38" s="670">
        <f t="shared" si="8"/>
        <v>11.706001486115198</v>
      </c>
      <c r="UL38" s="670"/>
      <c r="UM38" s="670"/>
      <c r="UN38" s="670"/>
      <c r="UO38" s="688">
        <f t="shared" si="9"/>
        <v>0.89873542739955847</v>
      </c>
      <c r="UP38" s="688"/>
      <c r="UQ38" s="688"/>
      <c r="UR38" s="688"/>
      <c r="US38" s="866">
        <f t="shared" si="10"/>
        <v>0.70520585336424924</v>
      </c>
      <c r="UT38" s="866"/>
      <c r="UU38" s="866"/>
      <c r="UV38" s="866"/>
      <c r="UW38" s="866"/>
      <c r="WC38" s="905"/>
      <c r="WD38" s="900"/>
      <c r="WE38" s="900"/>
      <c r="WF38" s="900"/>
      <c r="WG38" s="900"/>
      <c r="WH38" s="906"/>
      <c r="WI38" s="183"/>
      <c r="WJ38" s="184"/>
      <c r="WK38" s="184"/>
      <c r="WL38" s="184"/>
      <c r="WM38" s="184"/>
      <c r="WN38" s="186"/>
      <c r="WO38" s="880"/>
      <c r="WP38" s="880"/>
      <c r="WQ38" s="1033"/>
      <c r="WR38" s="1033"/>
      <c r="WS38" s="1034"/>
      <c r="WT38" s="1034"/>
      <c r="WU38" s="1034"/>
      <c r="WV38" s="1034"/>
      <c r="WW38" s="1034"/>
      <c r="WX38" s="1034"/>
      <c r="WY38" s="1034"/>
      <c r="WZ38" s="1034"/>
      <c r="XA38" s="1034"/>
      <c r="XB38" s="1034"/>
      <c r="XC38" s="1034"/>
      <c r="XD38" s="1034"/>
      <c r="XE38" s="183"/>
      <c r="XF38" s="184"/>
      <c r="XG38" s="184"/>
      <c r="XH38" s="184"/>
      <c r="XI38" s="186"/>
      <c r="XQ38" s="150"/>
      <c r="XR38" s="695" t="s">
        <v>925</v>
      </c>
      <c r="XS38" s="695"/>
      <c r="XT38" s="150"/>
      <c r="XU38" s="727" t="s">
        <v>1546</v>
      </c>
      <c r="XV38" s="727"/>
      <c r="XW38" s="727"/>
      <c r="XX38" s="727"/>
      <c r="XY38" s="727"/>
      <c r="XZ38" s="727"/>
      <c r="YA38" s="727"/>
      <c r="YB38" s="727"/>
      <c r="YC38" s="727"/>
      <c r="YD38" s="727"/>
      <c r="YE38" s="727"/>
      <c r="YF38" s="150"/>
      <c r="YS38" s="473" t="s">
        <v>1597</v>
      </c>
      <c r="YT38" s="916">
        <f>$WR$64</f>
        <v>0.91823398302505477</v>
      </c>
      <c r="YU38" s="916"/>
      <c r="YV38" s="144"/>
      <c r="YW38" s="696" t="s">
        <v>1171</v>
      </c>
      <c r="YX38" s="697"/>
      <c r="YY38" s="677">
        <f>$ER$45</f>
        <v>4</v>
      </c>
      <c r="YZ38" s="677"/>
      <c r="ZB38" s="144"/>
      <c r="ZF38" s="144"/>
      <c r="ZG38" s="144"/>
      <c r="ZH38" s="144"/>
      <c r="ZI38" s="144"/>
      <c r="ZJ38" s="144"/>
      <c r="AAD38" s="947"/>
      <c r="AAE38" s="947"/>
      <c r="AAF38" s="947"/>
      <c r="AAG38" s="947"/>
      <c r="AAH38" s="465">
        <v>28</v>
      </c>
      <c r="AAI38" s="956"/>
      <c r="AAJ38" s="957"/>
      <c r="AAK38" s="956"/>
      <c r="AAL38" s="957"/>
      <c r="AAM38" s="958">
        <f t="shared" si="29"/>
        <v>0.37333333333333335</v>
      </c>
      <c r="AAN38" s="959"/>
      <c r="AAP38" s="947"/>
      <c r="AAQ38" s="947"/>
      <c r="AAR38" s="947"/>
      <c r="AAS38" s="947"/>
      <c r="AAT38" s="465">
        <v>88</v>
      </c>
      <c r="AAU38" s="956"/>
      <c r="AAV38" s="957"/>
      <c r="AAW38" s="956"/>
      <c r="AAX38" s="957"/>
      <c r="AAY38" s="958">
        <f t="shared" si="1"/>
        <v>1.1733333333333333</v>
      </c>
      <c r="AAZ38" s="959"/>
      <c r="ABB38" s="947"/>
      <c r="ABC38" s="947"/>
      <c r="ABD38" s="947"/>
      <c r="ABE38" s="947"/>
      <c r="ABF38" s="465">
        <v>148</v>
      </c>
      <c r="ABG38" s="956"/>
      <c r="ABH38" s="957"/>
      <c r="ABI38" s="956"/>
      <c r="ABJ38" s="957"/>
      <c r="ABK38" s="958">
        <f t="shared" si="2"/>
        <v>1.9733333333333334</v>
      </c>
      <c r="ABL38" s="959"/>
      <c r="ABN38" s="947"/>
      <c r="ABO38" s="947"/>
      <c r="ABP38" s="947"/>
      <c r="ABQ38" s="947"/>
      <c r="ABR38" s="465">
        <v>208</v>
      </c>
      <c r="ABS38" s="956"/>
      <c r="ABT38" s="957"/>
      <c r="ABU38" s="956"/>
      <c r="ABV38" s="957"/>
      <c r="ABW38" s="958">
        <f t="shared" si="3"/>
        <v>2.7733333333333334</v>
      </c>
      <c r="ABX38" s="959"/>
      <c r="ABZ38" s="947"/>
      <c r="ACA38" s="947"/>
      <c r="ACB38" s="947"/>
      <c r="ACC38" s="947"/>
      <c r="ACD38" s="465">
        <v>268</v>
      </c>
      <c r="ACE38" s="956"/>
      <c r="ACF38" s="957"/>
      <c r="ACG38" s="956"/>
      <c r="ACH38" s="957"/>
      <c r="ACI38" s="958">
        <f t="shared" si="4"/>
        <v>3.5733333333333337</v>
      </c>
      <c r="ACJ38" s="959"/>
      <c r="ADB38" s="1033"/>
      <c r="ADC38" s="1033"/>
      <c r="ADD38" s="184"/>
      <c r="ADE38" s="184"/>
      <c r="ADF38" s="184"/>
      <c r="ADG38" s="184"/>
      <c r="ADH38" s="184"/>
      <c r="ADI38" s="186"/>
      <c r="ADJ38" s="1070"/>
      <c r="ADK38" s="1070"/>
      <c r="ADL38" s="1034"/>
      <c r="ADM38" s="1034"/>
      <c r="ADN38" s="1034"/>
      <c r="ADO38" s="1034"/>
      <c r="ADP38" s="1034"/>
      <c r="ADQ38" s="1034"/>
      <c r="ADR38" s="1034"/>
      <c r="ADS38" s="1034"/>
      <c r="ADT38" s="1034"/>
      <c r="ADU38" s="1034"/>
      <c r="ADV38" s="1034"/>
      <c r="ADW38" s="1034"/>
      <c r="ADX38" s="1049"/>
      <c r="ADY38" s="1049"/>
      <c r="ADZ38" s="1049"/>
      <c r="AEA38" s="1049"/>
      <c r="AEB38" s="1049"/>
      <c r="AEC38" s="1049"/>
      <c r="AED38" s="1049"/>
      <c r="AEE38" s="1049"/>
      <c r="AEF38" s="172"/>
      <c r="AEG38" s="172"/>
      <c r="AEH38" s="172"/>
      <c r="AEI38" s="172"/>
      <c r="AEJ38" s="172"/>
      <c r="AEK38" s="177"/>
      <c r="AFM38" s="144"/>
      <c r="AFN38" s="144"/>
      <c r="AFO38" s="144"/>
      <c r="AHO38" s="144"/>
      <c r="AIM38" s="826"/>
      <c r="AIN38" s="816" t="s">
        <v>405</v>
      </c>
      <c r="AIO38" s="816"/>
      <c r="AIP38" s="816"/>
      <c r="AIQ38" s="816"/>
      <c r="AIR38" s="816"/>
      <c r="AIS38" s="816"/>
      <c r="AIT38" s="816"/>
      <c r="AIU38" s="816"/>
      <c r="AIV38" s="816"/>
      <c r="AIW38" s="816"/>
      <c r="AIX38" s="816"/>
      <c r="AIY38" s="816"/>
      <c r="AIZ38" s="816"/>
      <c r="AJA38" s="1397">
        <f>AJA26</f>
        <v>1.1499999999999999</v>
      </c>
      <c r="AJB38" s="1398"/>
      <c r="AJC38" s="849" t="s">
        <v>762</v>
      </c>
      <c r="AJD38" s="850"/>
      <c r="AJE38" s="714"/>
      <c r="AJF38" s="740" t="s">
        <v>974</v>
      </c>
      <c r="AJG38" s="742"/>
      <c r="AJH38" s="746"/>
      <c r="AJI38" s="1066" t="s">
        <v>920</v>
      </c>
      <c r="AJJ38" s="1111"/>
      <c r="AJK38" s="1067"/>
    </row>
    <row r="39" spans="3:1022 1034:1055" ht="48" customHeight="1" thickBot="1">
      <c r="AI39" s="827"/>
      <c r="AJ39" s="1491"/>
      <c r="AK39" s="805"/>
      <c r="AL39" s="805"/>
      <c r="AM39" s="805"/>
      <c r="AN39" s="805"/>
      <c r="AO39" s="805"/>
      <c r="AP39" s="805"/>
      <c r="AQ39" s="805"/>
      <c r="AR39" s="805"/>
      <c r="AS39" s="805"/>
      <c r="AT39" s="805"/>
      <c r="AU39" s="805"/>
      <c r="AV39" s="1492"/>
      <c r="AW39" s="1537"/>
      <c r="AX39" s="1538"/>
      <c r="AY39" s="1402"/>
      <c r="AZ39" s="1403"/>
      <c r="BA39" s="747"/>
      <c r="BB39" s="743"/>
      <c r="BC39" s="745"/>
      <c r="BD39" s="747"/>
      <c r="BE39" s="892"/>
      <c r="BF39" s="893"/>
      <c r="BG39" s="893"/>
      <c r="BH39" s="894"/>
      <c r="BN39" s="3"/>
      <c r="BO39" s="144"/>
      <c r="BP39" s="144"/>
      <c r="BX39" s="825"/>
      <c r="BY39" s="665" t="s">
        <v>23</v>
      </c>
      <c r="BZ39" s="666"/>
      <c r="CA39" s="137"/>
      <c r="CB39" s="355" t="s">
        <v>863</v>
      </c>
      <c r="CC39" s="724">
        <f>$CM$32</f>
        <v>3</v>
      </c>
      <c r="CD39" s="724"/>
      <c r="CE39" s="87"/>
      <c r="CF39" s="87"/>
      <c r="CG39" s="87"/>
      <c r="CH39" s="137"/>
      <c r="CI39" s="85" t="s">
        <v>467</v>
      </c>
      <c r="CJ39" s="757" t="s">
        <v>461</v>
      </c>
      <c r="CK39" s="758"/>
      <c r="CL39" s="819" t="s">
        <v>126</v>
      </c>
      <c r="CM39" s="820"/>
      <c r="CN39" s="675" t="s">
        <v>731</v>
      </c>
      <c r="CO39" s="676"/>
      <c r="CP39" s="821" t="s">
        <v>473</v>
      </c>
      <c r="CQ39" s="822"/>
      <c r="CR39" s="822"/>
      <c r="CS39" s="823"/>
      <c r="CT39" s="769" t="s">
        <v>462</v>
      </c>
      <c r="CU39" s="769"/>
      <c r="CV39" s="769"/>
      <c r="CW39" s="769"/>
      <c r="DL39" s="144"/>
      <c r="DM39" s="144"/>
      <c r="DN39" s="144"/>
      <c r="GF39" s="777" t="s">
        <v>752</v>
      </c>
      <c r="GG39" s="778"/>
      <c r="GH39" s="779"/>
      <c r="GI39" s="85" t="s">
        <v>839</v>
      </c>
      <c r="GJ39" s="665" t="s">
        <v>442</v>
      </c>
      <c r="GK39" s="666"/>
      <c r="GL39" s="239"/>
      <c r="GM39" s="87"/>
      <c r="GN39" s="87"/>
      <c r="GO39" s="87"/>
      <c r="GP39" s="87"/>
      <c r="GQ39" s="87"/>
      <c r="GR39" s="87"/>
      <c r="GS39" s="239"/>
      <c r="GT39" s="85" t="s">
        <v>467</v>
      </c>
      <c r="GU39" s="757" t="s">
        <v>461</v>
      </c>
      <c r="GV39" s="758"/>
      <c r="GW39" s="819" t="s">
        <v>126</v>
      </c>
      <c r="GX39" s="820"/>
      <c r="GY39" s="675" t="s">
        <v>731</v>
      </c>
      <c r="GZ39" s="676"/>
      <c r="HA39" s="821" t="s">
        <v>473</v>
      </c>
      <c r="HB39" s="822"/>
      <c r="HC39" s="822"/>
      <c r="HD39" s="823"/>
      <c r="JU39" s="144"/>
      <c r="JV39" s="144"/>
      <c r="JW39" s="144"/>
      <c r="JX39" s="144"/>
      <c r="JY39" s="144"/>
      <c r="JZ39" s="144"/>
      <c r="KA39" s="144"/>
      <c r="KB39" s="144"/>
      <c r="KC39" s="144"/>
      <c r="KD39" s="144"/>
      <c r="KE39" s="144"/>
      <c r="KF39" s="144"/>
      <c r="KG39" s="144"/>
      <c r="KH39" s="144"/>
      <c r="KI39" s="144"/>
      <c r="KJ39" s="144"/>
      <c r="KK39" s="144"/>
      <c r="KL39" s="144"/>
      <c r="KM39" s="144"/>
      <c r="KN39" s="144"/>
      <c r="KO39" s="144"/>
      <c r="KP39" s="144"/>
      <c r="KQ39" s="144"/>
      <c r="KR39" s="144"/>
      <c r="KS39" s="229"/>
      <c r="LM39" s="144"/>
      <c r="LN39" s="144"/>
      <c r="LO39" s="144"/>
      <c r="LP39" s="144"/>
      <c r="LQ39" s="144"/>
      <c r="LR39" s="144"/>
      <c r="LS39" s="144"/>
      <c r="LT39" s="144"/>
      <c r="LZ39" s="934"/>
      <c r="MA39" s="826"/>
      <c r="MB39" s="700" t="s">
        <v>96</v>
      </c>
      <c r="MC39" s="701"/>
      <c r="MD39" s="701"/>
      <c r="ME39" s="701"/>
      <c r="MF39" s="701"/>
      <c r="MG39" s="701"/>
      <c r="MH39" s="701"/>
      <c r="MI39" s="701"/>
      <c r="MJ39" s="701"/>
      <c r="MK39" s="701"/>
      <c r="ML39" s="701"/>
      <c r="MM39" s="701"/>
      <c r="MN39" s="701"/>
      <c r="MO39" s="752">
        <v>0.01</v>
      </c>
      <c r="MP39" s="753"/>
      <c r="MQ39" s="1400" t="s">
        <v>737</v>
      </c>
      <c r="MR39" s="1401"/>
      <c r="MS39" s="712"/>
      <c r="MT39" s="1365" t="s">
        <v>1069</v>
      </c>
      <c r="MU39" s="1565"/>
      <c r="MV39" s="712"/>
      <c r="MZ39" s="144"/>
      <c r="NC39" s="825"/>
      <c r="ND39" s="147" t="s">
        <v>442</v>
      </c>
      <c r="NE39" s="148"/>
      <c r="NF39" s="450"/>
      <c r="NG39" s="87"/>
      <c r="NH39" s="87"/>
      <c r="NI39" s="87"/>
      <c r="NJ39" s="87"/>
      <c r="NK39" s="87"/>
      <c r="NL39" s="87"/>
      <c r="NM39" s="450"/>
      <c r="NN39" s="85" t="s">
        <v>467</v>
      </c>
      <c r="NO39" s="757" t="s">
        <v>461</v>
      </c>
      <c r="NP39" s="758"/>
      <c r="NQ39" s="819" t="s">
        <v>126</v>
      </c>
      <c r="NR39" s="820"/>
      <c r="NS39" s="675" t="s">
        <v>731</v>
      </c>
      <c r="NT39" s="676"/>
      <c r="NU39" s="821" t="s">
        <v>473</v>
      </c>
      <c r="NV39" s="822"/>
      <c r="NW39" s="822"/>
      <c r="NX39" s="823"/>
      <c r="NY39" s="144"/>
      <c r="QJ39" s="144"/>
      <c r="QK39" s="144"/>
      <c r="QL39" s="144"/>
      <c r="RC39" s="369">
        <v>21</v>
      </c>
      <c r="RD39" s="668">
        <v>2.1000000000000001E-2</v>
      </c>
      <c r="RE39" s="669"/>
      <c r="RF39" s="670">
        <f t="shared" si="30"/>
        <v>32.430082364323596</v>
      </c>
      <c r="RG39" s="670"/>
      <c r="RH39" s="670"/>
      <c r="RI39" s="670"/>
      <c r="RJ39" s="698">
        <f t="shared" si="12"/>
        <v>30</v>
      </c>
      <c r="RK39" s="699"/>
      <c r="RL39" s="726"/>
      <c r="RM39" s="670">
        <f t="shared" si="13"/>
        <v>32.618583534540043</v>
      </c>
      <c r="RN39" s="670"/>
      <c r="RO39" s="670"/>
      <c r="RP39" s="670"/>
      <c r="RQ39" s="670"/>
      <c r="RR39" s="670"/>
      <c r="RS39" s="671">
        <f t="shared" si="6"/>
        <v>1.560804663639157</v>
      </c>
      <c r="RT39" s="671"/>
      <c r="RU39" s="671"/>
      <c r="RV39" s="671"/>
      <c r="RW39" s="671"/>
      <c r="RX39" s="671"/>
      <c r="RY39" s="681">
        <f t="shared" si="14"/>
        <v>32.655904565603514</v>
      </c>
      <c r="RZ39" s="681"/>
      <c r="SA39" s="681"/>
      <c r="SB39" s="681"/>
      <c r="SC39" s="681">
        <f>'Вывод расчетов'!$AQ$6/RY39</f>
        <v>11.636486725902985</v>
      </c>
      <c r="SD39" s="681"/>
      <c r="SE39" s="681"/>
      <c r="SF39" s="681"/>
      <c r="SG39" s="867">
        <f t="shared" si="28"/>
        <v>0.9988571429406129</v>
      </c>
      <c r="SH39" s="867"/>
      <c r="SI39" s="867"/>
      <c r="SJ39" s="867"/>
      <c r="SK39" s="865">
        <f t="shared" si="16"/>
        <v>4.7795480921485591E-2</v>
      </c>
      <c r="SL39" s="865"/>
      <c r="SM39" s="865"/>
      <c r="SN39" s="865"/>
      <c r="SO39" s="692">
        <f t="shared" si="26"/>
        <v>11.973510326033072</v>
      </c>
      <c r="SP39" s="693"/>
      <c r="SQ39" s="693"/>
      <c r="SR39" s="693"/>
      <c r="SS39" s="694"/>
      <c r="ST39" s="668">
        <f t="shared" si="24"/>
        <v>11.53824824129701</v>
      </c>
      <c r="SU39" s="678"/>
      <c r="SV39" s="678"/>
      <c r="SW39" s="678"/>
      <c r="SX39" s="678"/>
      <c r="SY39" s="669"/>
      <c r="SZ39" s="682">
        <f t="shared" si="19"/>
        <v>16.62817253956111</v>
      </c>
      <c r="TA39" s="683"/>
      <c r="TB39" s="683"/>
      <c r="TC39" s="683"/>
      <c r="TD39" s="683"/>
      <c r="TE39" s="684"/>
      <c r="TF39" s="682">
        <f>'Вывод расчетов'!$XC$174*SC39</f>
        <v>11.821804971022731</v>
      </c>
      <c r="TG39" s="683"/>
      <c r="TH39" s="684"/>
      <c r="TI39" s="681">
        <f t="shared" si="25"/>
        <v>13.649801771677701</v>
      </c>
      <c r="TJ39" s="681"/>
      <c r="TK39" s="681"/>
      <c r="TL39" s="681"/>
      <c r="TM39" s="685">
        <f t="shared" si="21"/>
        <v>0.15390844060770001</v>
      </c>
      <c r="TN39" s="686"/>
      <c r="TO39" s="686"/>
      <c r="TP39" s="687"/>
      <c r="TQ39" s="688">
        <f t="shared" si="22"/>
        <v>0.27665107237593073</v>
      </c>
      <c r="TR39" s="688"/>
      <c r="TS39" s="688"/>
      <c r="TT39" s="688"/>
      <c r="TU39" s="689">
        <f t="shared" si="27"/>
        <v>4.3659124759225718E-2</v>
      </c>
      <c r="TV39" s="690"/>
      <c r="TW39" s="690"/>
      <c r="TX39" s="690"/>
      <c r="TY39" s="690"/>
      <c r="TZ39" s="691"/>
      <c r="UA39" s="756">
        <v>2.1000000000000001E-2</v>
      </c>
      <c r="UB39" s="756"/>
      <c r="UC39" s="650">
        <v>0.21</v>
      </c>
      <c r="UD39" s="866">
        <f t="shared" si="7"/>
        <v>1.3545054535702701</v>
      </c>
      <c r="UE39" s="866"/>
      <c r="UF39" s="866"/>
      <c r="UG39" s="866"/>
      <c r="UH39" s="866"/>
      <c r="UI39" s="866"/>
      <c r="UJ39" s="866"/>
      <c r="UK39" s="681">
        <f t="shared" si="8"/>
        <v>12.295296318107431</v>
      </c>
      <c r="UL39" s="681"/>
      <c r="UM39" s="681"/>
      <c r="UN39" s="681"/>
      <c r="UO39" s="816">
        <f t="shared" si="9"/>
        <v>0.90076739016234175</v>
      </c>
      <c r="UP39" s="816"/>
      <c r="UQ39" s="816"/>
      <c r="UR39" s="816"/>
      <c r="US39" s="866">
        <f t="shared" si="10"/>
        <v>0.72007373615748549</v>
      </c>
      <c r="UT39" s="866"/>
      <c r="UU39" s="866"/>
      <c r="UV39" s="866"/>
      <c r="UW39" s="866"/>
      <c r="WC39" s="905"/>
      <c r="WD39" s="900"/>
      <c r="WE39" s="900"/>
      <c r="WF39" s="900"/>
      <c r="WG39" s="900"/>
      <c r="WH39" s="906"/>
      <c r="WI39" s="181"/>
      <c r="WJ39" s="182"/>
      <c r="WK39" s="182"/>
      <c r="WL39" s="182"/>
      <c r="WM39" s="182"/>
      <c r="WN39" s="185"/>
      <c r="WO39" s="880">
        <v>10</v>
      </c>
      <c r="WP39" s="880"/>
      <c r="WQ39" s="1033" t="s">
        <v>35</v>
      </c>
      <c r="WR39" s="1033"/>
      <c r="WS39" s="1034">
        <f>'Вывод расчетов'!$XC$190+'Вывод расчетов'!$GT$48*WS35</f>
        <v>24.41076310169985</v>
      </c>
      <c r="WT39" s="1034"/>
      <c r="WU39" s="1034">
        <f>'Вывод расчетов'!$XC$190+'Вывод расчетов'!$GT$48*WU35</f>
        <v>13.682072393849655</v>
      </c>
      <c r="WV39" s="1034"/>
      <c r="WW39" s="1034">
        <f>'Вывод расчетов'!$XC$190+'Вывод расчетов'!$GT$48*WW35</f>
        <v>15.029668249734506</v>
      </c>
      <c r="WX39" s="1034"/>
      <c r="WY39" s="1034">
        <f>'Вывод расчетов'!$XC$190+'Вывод расчетов'!$GT$48*WY35</f>
        <v>63.089781815752957</v>
      </c>
      <c r="WZ39" s="1034"/>
      <c r="XA39" s="1034">
        <f>'Вывод расчетов'!$XC$190+'Вывод расчетов'!$GT$48*XA35</f>
        <v>75.245900642747756</v>
      </c>
      <c r="XB39" s="1034"/>
      <c r="XC39" s="1034">
        <f>'Вывод расчетов'!$XC$190+'Вывод расчетов'!$GT$48*XC35</f>
        <v>86.957081478683904</v>
      </c>
      <c r="XD39" s="1034"/>
      <c r="XE39" s="181"/>
      <c r="XF39" s="182"/>
      <c r="XG39" s="182"/>
      <c r="XH39" s="182"/>
      <c r="XI39" s="185"/>
      <c r="YW39" s="696" t="s">
        <v>1478</v>
      </c>
      <c r="YX39" s="697"/>
      <c r="YY39" s="677">
        <f>$GW$69</f>
        <v>1.5</v>
      </c>
      <c r="YZ39" s="677"/>
      <c r="ZB39" s="144"/>
      <c r="ZC39" s="144"/>
      <c r="ZD39" s="460" t="s">
        <v>1548</v>
      </c>
      <c r="ZE39" s="948"/>
      <c r="ZF39" s="965"/>
      <c r="ZG39" s="144"/>
      <c r="ZH39" s="144"/>
      <c r="ZI39" s="144"/>
      <c r="ZJ39" s="144"/>
      <c r="AAD39" s="947"/>
      <c r="AAE39" s="947"/>
      <c r="AAF39" s="947"/>
      <c r="AAG39" s="947"/>
      <c r="AAH39" s="465">
        <v>29</v>
      </c>
      <c r="AAI39" s="956"/>
      <c r="AAJ39" s="957"/>
      <c r="AAK39" s="956"/>
      <c r="AAL39" s="957"/>
      <c r="AAM39" s="958">
        <f t="shared" si="29"/>
        <v>0.38666666666666671</v>
      </c>
      <c r="AAN39" s="959"/>
      <c r="AAP39" s="947"/>
      <c r="AAQ39" s="947"/>
      <c r="AAR39" s="947"/>
      <c r="AAS39" s="947"/>
      <c r="AAT39" s="465">
        <v>89</v>
      </c>
      <c r="AAU39" s="956"/>
      <c r="AAV39" s="957"/>
      <c r="AAW39" s="956"/>
      <c r="AAX39" s="957"/>
      <c r="AAY39" s="958">
        <f t="shared" si="1"/>
        <v>1.1866666666666668</v>
      </c>
      <c r="AAZ39" s="959"/>
      <c r="ABB39" s="947"/>
      <c r="ABC39" s="947"/>
      <c r="ABD39" s="947"/>
      <c r="ABE39" s="947"/>
      <c r="ABF39" s="465">
        <v>149</v>
      </c>
      <c r="ABG39" s="956"/>
      <c r="ABH39" s="957"/>
      <c r="ABI39" s="956"/>
      <c r="ABJ39" s="957"/>
      <c r="ABK39" s="958">
        <f t="shared" si="2"/>
        <v>1.9866666666666668</v>
      </c>
      <c r="ABL39" s="959"/>
      <c r="ABN39" s="947"/>
      <c r="ABO39" s="947"/>
      <c r="ABP39" s="947"/>
      <c r="ABQ39" s="947"/>
      <c r="ABR39" s="465">
        <v>209</v>
      </c>
      <c r="ABS39" s="956"/>
      <c r="ABT39" s="957"/>
      <c r="ABU39" s="956"/>
      <c r="ABV39" s="957"/>
      <c r="ABW39" s="958">
        <f t="shared" si="3"/>
        <v>2.7866666666666666</v>
      </c>
      <c r="ABX39" s="959"/>
      <c r="ABZ39" s="947"/>
      <c r="ACA39" s="947"/>
      <c r="ACB39" s="947"/>
      <c r="ACC39" s="947"/>
      <c r="ACD39" s="465">
        <v>269</v>
      </c>
      <c r="ACE39" s="956"/>
      <c r="ACF39" s="957"/>
      <c r="ACG39" s="956"/>
      <c r="ACH39" s="957"/>
      <c r="ACI39" s="958">
        <f t="shared" si="4"/>
        <v>3.5866666666666669</v>
      </c>
      <c r="ACJ39" s="959"/>
      <c r="ADB39" s="1033">
        <v>8</v>
      </c>
      <c r="ADC39" s="1033"/>
      <c r="ADD39" s="182"/>
      <c r="ADE39" s="182"/>
      <c r="ADF39" s="182"/>
      <c r="ADG39" s="182"/>
      <c r="ADH39" s="182"/>
      <c r="ADI39" s="185"/>
      <c r="ADJ39" s="1071"/>
      <c r="ADK39" s="1071"/>
      <c r="ADL39" s="1052"/>
      <c r="ADM39" s="1052"/>
      <c r="ADN39" s="1052"/>
      <c r="ADO39" s="1052"/>
      <c r="ADP39" s="1052"/>
      <c r="ADQ39" s="1052"/>
      <c r="ADR39" s="1052"/>
      <c r="ADS39" s="1052"/>
      <c r="ADT39" s="1052"/>
      <c r="ADU39" s="1052"/>
      <c r="ADV39" s="1052"/>
      <c r="ADW39" s="1052"/>
      <c r="ADX39" s="857"/>
      <c r="ADY39" s="1015"/>
      <c r="ADZ39" s="1015"/>
      <c r="AEA39" s="1015"/>
      <c r="AEB39" s="1015"/>
      <c r="AEC39" s="1015"/>
      <c r="AED39" s="1015"/>
      <c r="AEE39" s="1015"/>
      <c r="AEF39" s="1015"/>
      <c r="AEG39" s="1015"/>
      <c r="AEH39" s="1015"/>
      <c r="AEI39" s="1015"/>
      <c r="AEJ39" s="1015"/>
      <c r="AEK39" s="858"/>
      <c r="AFM39" s="144"/>
      <c r="AFN39" s="144"/>
      <c r="AFO39" s="144"/>
      <c r="AHO39" s="144"/>
      <c r="AIM39" s="827"/>
      <c r="AIN39" s="818"/>
      <c r="AIO39" s="818"/>
      <c r="AIP39" s="818"/>
      <c r="AIQ39" s="818"/>
      <c r="AIR39" s="818"/>
      <c r="AIS39" s="818"/>
      <c r="AIT39" s="818"/>
      <c r="AIU39" s="818"/>
      <c r="AIV39" s="818"/>
      <c r="AIW39" s="818"/>
      <c r="AIX39" s="818"/>
      <c r="AIY39" s="818"/>
      <c r="AIZ39" s="818"/>
      <c r="AJA39" s="1399"/>
      <c r="AJB39" s="736"/>
      <c r="AJC39" s="851"/>
      <c r="AJD39" s="852"/>
      <c r="AJE39" s="715"/>
      <c r="AJF39" s="743"/>
      <c r="AJG39" s="745"/>
      <c r="AJH39" s="747"/>
      <c r="AJI39" s="1112"/>
      <c r="AJJ39" s="1113"/>
      <c r="AJK39" s="1114"/>
    </row>
    <row r="40" spans="3:1022 1034:1055" ht="48" customHeight="1" thickBot="1">
      <c r="BL40" s="144"/>
      <c r="BM40" s="144"/>
      <c r="BN40" s="144"/>
      <c r="BO40" s="144"/>
      <c r="BP40" s="144"/>
      <c r="BX40" s="826"/>
      <c r="BY40" s="1488" t="s">
        <v>809</v>
      </c>
      <c r="BZ40" s="1489"/>
      <c r="CA40" s="1489"/>
      <c r="CB40" s="1489"/>
      <c r="CC40" s="1489"/>
      <c r="CD40" s="1489"/>
      <c r="CE40" s="1489"/>
      <c r="CF40" s="1489"/>
      <c r="CG40" s="1489"/>
      <c r="CH40" s="1489"/>
      <c r="CI40" s="1489"/>
      <c r="CJ40" s="1489"/>
      <c r="CK40" s="1526"/>
      <c r="CL40" s="1087">
        <f>(3.14*AW34)/(AW16*CC39*CL36)</f>
        <v>1.6231421212121216E-2</v>
      </c>
      <c r="CM40" s="1006"/>
      <c r="CN40" s="1400" t="s">
        <v>737</v>
      </c>
      <c r="CO40" s="1401"/>
      <c r="CP40" s="712"/>
      <c r="CQ40" s="740" t="s">
        <v>812</v>
      </c>
      <c r="CR40" s="742"/>
      <c r="CS40" s="746"/>
      <c r="CT40" s="74"/>
      <c r="CU40" s="70"/>
      <c r="CV40" s="70"/>
      <c r="CW40" s="71"/>
      <c r="DJ40" s="144"/>
      <c r="DK40" s="144"/>
      <c r="DL40" s="144"/>
      <c r="DM40" s="144"/>
      <c r="DN40" s="144"/>
      <c r="DZ40" s="933" t="s">
        <v>789</v>
      </c>
      <c r="EA40" s="792" t="s">
        <v>1013</v>
      </c>
      <c r="EB40" s="793"/>
      <c r="EC40" s="794"/>
      <c r="ED40" s="85" t="s">
        <v>839</v>
      </c>
      <c r="EE40" s="665" t="s">
        <v>442</v>
      </c>
      <c r="EF40" s="666"/>
      <c r="EG40" s="152"/>
      <c r="EH40" s="87"/>
      <c r="EI40" s="87"/>
      <c r="EJ40" s="87"/>
      <c r="EK40" s="87"/>
      <c r="EL40" s="87"/>
      <c r="EM40" s="87"/>
      <c r="EN40" s="152"/>
      <c r="EO40" s="85" t="s">
        <v>467</v>
      </c>
      <c r="EP40" s="757" t="s">
        <v>461</v>
      </c>
      <c r="EQ40" s="758"/>
      <c r="ER40" s="819" t="s">
        <v>126</v>
      </c>
      <c r="ES40" s="820"/>
      <c r="ET40" s="675" t="s">
        <v>731</v>
      </c>
      <c r="EU40" s="676"/>
      <c r="EV40" s="821" t="s">
        <v>473</v>
      </c>
      <c r="EW40" s="822"/>
      <c r="EX40" s="822"/>
      <c r="EY40" s="822"/>
      <c r="EZ40" s="823"/>
      <c r="GF40" s="780"/>
      <c r="GG40" s="781"/>
      <c r="GH40" s="782"/>
      <c r="GI40" s="214" t="s">
        <v>899</v>
      </c>
      <c r="GJ40" s="816" t="s">
        <v>1798</v>
      </c>
      <c r="GK40" s="816"/>
      <c r="GL40" s="816"/>
      <c r="GM40" s="816"/>
      <c r="GN40" s="816"/>
      <c r="GO40" s="816"/>
      <c r="GP40" s="816"/>
      <c r="GQ40" s="816"/>
      <c r="GR40" s="816"/>
      <c r="GS40" s="816"/>
      <c r="GT40" s="816"/>
      <c r="GU40" s="816"/>
      <c r="GV40" s="816"/>
      <c r="GW40" s="752">
        <f>ROUND(GT36,2)</f>
        <v>7.0000000000000007E-2</v>
      </c>
      <c r="GX40" s="753"/>
      <c r="GY40" s="1211" t="s">
        <v>737</v>
      </c>
      <c r="GZ40" s="1212"/>
      <c r="HA40" s="714"/>
      <c r="HB40" s="740" t="s">
        <v>850</v>
      </c>
      <c r="HC40" s="742"/>
      <c r="HD40" s="746"/>
      <c r="IR40" s="825"/>
      <c r="IS40" s="665" t="s">
        <v>880</v>
      </c>
      <c r="IT40" s="667"/>
      <c r="IU40" s="245"/>
      <c r="IV40" s="249" t="s">
        <v>1143</v>
      </c>
      <c r="IW40" s="739">
        <f>$EN$49</f>
        <v>26.688160557818726</v>
      </c>
      <c r="IX40" s="739"/>
      <c r="IY40" s="150"/>
      <c r="IZ40" s="87"/>
      <c r="JA40" s="87"/>
      <c r="JB40" s="150"/>
      <c r="JC40" s="85" t="s">
        <v>467</v>
      </c>
      <c r="JD40" s="757" t="s">
        <v>461</v>
      </c>
      <c r="JE40" s="758"/>
      <c r="JF40" s="819" t="s">
        <v>126</v>
      </c>
      <c r="JG40" s="820"/>
      <c r="JH40" s="675" t="s">
        <v>731</v>
      </c>
      <c r="JI40" s="676"/>
      <c r="JJ40" s="821" t="s">
        <v>473</v>
      </c>
      <c r="JK40" s="822"/>
      <c r="JL40" s="822"/>
      <c r="JM40" s="823"/>
      <c r="JN40" s="769" t="s">
        <v>462</v>
      </c>
      <c r="JO40" s="769"/>
      <c r="JP40" s="769"/>
      <c r="JQ40" s="769"/>
      <c r="JX40" s="144"/>
      <c r="JY40" s="144"/>
      <c r="JZ40" s="144"/>
      <c r="KA40" s="144"/>
      <c r="KB40" s="144"/>
      <c r="KC40" s="144"/>
      <c r="KD40" s="144"/>
      <c r="KE40" s="144"/>
      <c r="KF40" s="144"/>
      <c r="KG40" s="144"/>
      <c r="KH40" s="144"/>
      <c r="KI40" s="144"/>
      <c r="KJ40" s="144"/>
      <c r="KK40" s="144"/>
      <c r="KL40" s="144"/>
      <c r="KM40" s="144"/>
      <c r="KN40" s="144"/>
      <c r="KO40" s="144"/>
      <c r="LM40" s="144"/>
      <c r="LQ40" s="144"/>
      <c r="LR40" s="144"/>
      <c r="LS40" s="144"/>
      <c r="LT40" s="144"/>
      <c r="LZ40" s="935"/>
      <c r="MA40" s="827"/>
      <c r="MB40" s="706"/>
      <c r="MC40" s="707"/>
      <c r="MD40" s="707"/>
      <c r="ME40" s="707"/>
      <c r="MF40" s="707"/>
      <c r="MG40" s="707"/>
      <c r="MH40" s="707"/>
      <c r="MI40" s="707"/>
      <c r="MJ40" s="707"/>
      <c r="MK40" s="707"/>
      <c r="ML40" s="707"/>
      <c r="MM40" s="707"/>
      <c r="MN40" s="707"/>
      <c r="MO40" s="754"/>
      <c r="MP40" s="755"/>
      <c r="MQ40" s="1402"/>
      <c r="MR40" s="1403"/>
      <c r="MS40" s="713"/>
      <c r="MT40" s="1566"/>
      <c r="MU40" s="1568"/>
      <c r="MV40" s="713"/>
      <c r="MZ40" s="144"/>
      <c r="NC40" s="826"/>
      <c r="ND40" s="451"/>
      <c r="NE40" s="739"/>
      <c r="NF40" s="739"/>
      <c r="NG40" s="701"/>
      <c r="NH40" s="701"/>
      <c r="NI40" s="701"/>
      <c r="NJ40" s="701"/>
      <c r="NK40" s="701"/>
      <c r="NL40" s="701"/>
      <c r="NM40" s="701"/>
      <c r="NN40" s="701"/>
      <c r="NO40" s="701"/>
      <c r="NP40" s="702"/>
      <c r="NQ40" s="763"/>
      <c r="NR40" s="764"/>
      <c r="NS40" s="1088"/>
      <c r="NT40" s="1006"/>
      <c r="NU40" s="714"/>
      <c r="NV40" s="716" t="s">
        <v>442</v>
      </c>
      <c r="NW40" s="717"/>
      <c r="NX40" s="746"/>
      <c r="NY40" s="144"/>
      <c r="PI40" s="933" t="s">
        <v>789</v>
      </c>
      <c r="PJ40" s="792" t="s">
        <v>1013</v>
      </c>
      <c r="PK40" s="793"/>
      <c r="PL40" s="794"/>
      <c r="PM40" s="825"/>
      <c r="PN40" s="695" t="s">
        <v>442</v>
      </c>
      <c r="PO40" s="695"/>
      <c r="PP40" s="504"/>
      <c r="PQ40" s="87"/>
      <c r="PR40" s="87"/>
      <c r="PS40" s="87"/>
      <c r="PT40" s="87"/>
      <c r="PU40" s="87"/>
      <c r="PV40" s="87"/>
      <c r="PW40" s="504"/>
      <c r="PX40" s="85" t="s">
        <v>467</v>
      </c>
      <c r="PY40" s="757" t="s">
        <v>461</v>
      </c>
      <c r="PZ40" s="899"/>
      <c r="QA40" s="819" t="s">
        <v>126</v>
      </c>
      <c r="QB40" s="820"/>
      <c r="QC40" s="675" t="s">
        <v>731</v>
      </c>
      <c r="QD40" s="676"/>
      <c r="QE40" s="821" t="s">
        <v>473</v>
      </c>
      <c r="QF40" s="822"/>
      <c r="QG40" s="822"/>
      <c r="QH40" s="823"/>
      <c r="QJ40" s="144"/>
      <c r="QK40" s="144"/>
      <c r="QL40" s="144"/>
      <c r="RC40" s="369">
        <v>22</v>
      </c>
      <c r="RD40" s="668">
        <v>2.1999999999999999E-2</v>
      </c>
      <c r="RE40" s="669"/>
      <c r="RF40" s="670">
        <f t="shared" si="30"/>
        <v>30.955987711399796</v>
      </c>
      <c r="RG40" s="670"/>
      <c r="RH40" s="670"/>
      <c r="RI40" s="670"/>
      <c r="RJ40" s="698">
        <f t="shared" si="12"/>
        <v>30</v>
      </c>
      <c r="RK40" s="699"/>
      <c r="RL40" s="726"/>
      <c r="RM40" s="670">
        <f t="shared" si="13"/>
        <v>31.14448888161624</v>
      </c>
      <c r="RN40" s="670"/>
      <c r="RO40" s="670"/>
      <c r="RP40" s="670"/>
      <c r="RQ40" s="670"/>
      <c r="RR40" s="670"/>
      <c r="RS40" s="671">
        <f t="shared" si="6"/>
        <v>1.560804663639157</v>
      </c>
      <c r="RT40" s="671"/>
      <c r="RU40" s="671"/>
      <c r="RV40" s="671"/>
      <c r="RW40" s="671"/>
      <c r="RX40" s="671"/>
      <c r="RY40" s="681">
        <f t="shared" si="14"/>
        <v>31.183574184098195</v>
      </c>
      <c r="RZ40" s="681"/>
      <c r="SA40" s="681"/>
      <c r="SB40" s="681"/>
      <c r="SC40" s="681">
        <f>'Вывод расчетов'!$AQ$6/RY40</f>
        <v>12.185902672881477</v>
      </c>
      <c r="SD40" s="681"/>
      <c r="SE40" s="681"/>
      <c r="SF40" s="681"/>
      <c r="SG40" s="867">
        <f t="shared" si="28"/>
        <v>0.99874660607372312</v>
      </c>
      <c r="SH40" s="867"/>
      <c r="SI40" s="867"/>
      <c r="SJ40" s="867"/>
      <c r="SK40" s="865">
        <f t="shared" si="16"/>
        <v>5.0052141374963888E-2</v>
      </c>
      <c r="SL40" s="865"/>
      <c r="SM40" s="865"/>
      <c r="SN40" s="865"/>
      <c r="SO40" s="692">
        <f t="shared" si="26"/>
        <v>12.520951377616335</v>
      </c>
      <c r="SP40" s="693"/>
      <c r="SQ40" s="693"/>
      <c r="SR40" s="693"/>
      <c r="SS40" s="694"/>
      <c r="ST40" s="668">
        <f t="shared" si="24"/>
        <v>11.592007285360609</v>
      </c>
      <c r="SU40" s="678"/>
      <c r="SV40" s="678"/>
      <c r="SW40" s="678"/>
      <c r="SX40" s="678"/>
      <c r="SY40" s="669"/>
      <c r="SZ40" s="682">
        <f t="shared" si="19"/>
        <v>17.063084606966168</v>
      </c>
      <c r="TA40" s="683"/>
      <c r="TB40" s="683"/>
      <c r="TC40" s="683"/>
      <c r="TD40" s="683"/>
      <c r="TE40" s="684"/>
      <c r="TF40" s="682">
        <f>'Вывод расчетов'!$XC$174*SC40</f>
        <v>12.379970706621547</v>
      </c>
      <c r="TG40" s="683"/>
      <c r="TH40" s="684"/>
      <c r="TI40" s="681">
        <f t="shared" si="25"/>
        <v>14.273884570482622</v>
      </c>
      <c r="TJ40" s="681"/>
      <c r="TK40" s="681"/>
      <c r="TL40" s="681"/>
      <c r="TM40" s="685">
        <f t="shared" si="21"/>
        <v>0.16206471951046492</v>
      </c>
      <c r="TN40" s="686"/>
      <c r="TO40" s="686"/>
      <c r="TP40" s="687"/>
      <c r="TQ40" s="688">
        <f t="shared" si="22"/>
        <v>0.3033919207358477</v>
      </c>
      <c r="TR40" s="688"/>
      <c r="TS40" s="688"/>
      <c r="TT40" s="688"/>
      <c r="TU40" s="689">
        <f t="shared" si="27"/>
        <v>4.5972812018877152E-2</v>
      </c>
      <c r="TV40" s="690"/>
      <c r="TW40" s="690"/>
      <c r="TX40" s="690"/>
      <c r="TY40" s="690"/>
      <c r="TZ40" s="691"/>
      <c r="UA40" s="679">
        <v>2.1999999999999999E-2</v>
      </c>
      <c r="UB40" s="680"/>
      <c r="UC40" s="650">
        <v>0.22</v>
      </c>
      <c r="UD40" s="866">
        <f t="shared" si="7"/>
        <v>1.3917162680926034</v>
      </c>
      <c r="UE40" s="866"/>
      <c r="UF40" s="866"/>
      <c r="UG40" s="866"/>
      <c r="UH40" s="866"/>
      <c r="UI40" s="866"/>
      <c r="UJ40" s="866"/>
      <c r="UK40" s="681">
        <f t="shared" si="8"/>
        <v>12.882168302390019</v>
      </c>
      <c r="UL40" s="681"/>
      <c r="UM40" s="681"/>
      <c r="UN40" s="681"/>
      <c r="UO40" s="816">
        <f t="shared" si="9"/>
        <v>0.90249912270058752</v>
      </c>
      <c r="UP40" s="816"/>
      <c r="UQ40" s="816"/>
      <c r="UR40" s="816"/>
      <c r="US40" s="866">
        <f t="shared" si="10"/>
        <v>0.73380351009362843</v>
      </c>
      <c r="UT40" s="866"/>
      <c r="UU40" s="866"/>
      <c r="UV40" s="866"/>
      <c r="UW40" s="866"/>
      <c r="WC40" s="905"/>
      <c r="WD40" s="900"/>
      <c r="WE40" s="900"/>
      <c r="WF40" s="900"/>
      <c r="WG40" s="900"/>
      <c r="WH40" s="906"/>
      <c r="WI40" s="183"/>
      <c r="WJ40" s="184"/>
      <c r="WK40" s="184"/>
      <c r="WL40" s="184"/>
      <c r="WM40" s="184"/>
      <c r="WN40" s="186"/>
      <c r="WO40" s="880"/>
      <c r="WP40" s="880"/>
      <c r="WQ40" s="1033"/>
      <c r="WR40" s="1033"/>
      <c r="WS40" s="1034"/>
      <c r="WT40" s="1034"/>
      <c r="WU40" s="1034"/>
      <c r="WV40" s="1034"/>
      <c r="WW40" s="1034"/>
      <c r="WX40" s="1034"/>
      <c r="WY40" s="1034"/>
      <c r="WZ40" s="1034"/>
      <c r="XA40" s="1034"/>
      <c r="XB40" s="1034"/>
      <c r="XC40" s="1034"/>
      <c r="XD40" s="1034"/>
      <c r="XE40" s="183"/>
      <c r="XF40" s="184"/>
      <c r="XG40" s="184"/>
      <c r="XH40" s="184"/>
      <c r="XI40" s="186"/>
      <c r="XO40" s="792" t="s">
        <v>1079</v>
      </c>
      <c r="XP40" s="793"/>
      <c r="XQ40" s="794"/>
      <c r="XR40" s="825"/>
      <c r="XS40" s="665" t="s">
        <v>442</v>
      </c>
      <c r="XT40" s="666"/>
      <c r="XU40" s="152"/>
      <c r="XV40" s="696" t="s">
        <v>1580</v>
      </c>
      <c r="XW40" s="720"/>
      <c r="XX40" s="697"/>
      <c r="XY40" s="948">
        <f>$YC$34</f>
        <v>0.59612250000000011</v>
      </c>
      <c r="XZ40" s="965"/>
      <c r="YA40" s="85" t="s">
        <v>729</v>
      </c>
      <c r="YB40" s="450"/>
      <c r="YC40" s="85" t="s">
        <v>467</v>
      </c>
      <c r="YD40" s="1333" t="s">
        <v>461</v>
      </c>
      <c r="YE40" s="1334"/>
      <c r="YF40" s="819" t="s">
        <v>126</v>
      </c>
      <c r="YG40" s="820"/>
      <c r="YH40" s="675" t="s">
        <v>731</v>
      </c>
      <c r="YI40" s="676"/>
      <c r="YJ40" s="821" t="s">
        <v>473</v>
      </c>
      <c r="YK40" s="822"/>
      <c r="YL40" s="822"/>
      <c r="YM40" s="823"/>
      <c r="YS40" s="473" t="s">
        <v>1593</v>
      </c>
      <c r="YT40" s="884">
        <f>$MN$23</f>
        <v>0.18554623176557763</v>
      </c>
      <c r="YU40" s="884"/>
      <c r="YW40" s="1060" t="s">
        <v>1454</v>
      </c>
      <c r="YX40" s="1060"/>
      <c r="YY40" s="677">
        <f>$NB$129</f>
        <v>0.4375</v>
      </c>
      <c r="YZ40" s="677"/>
      <c r="AAD40" s="947"/>
      <c r="AAE40" s="947"/>
      <c r="AAF40" s="947"/>
      <c r="AAG40" s="947"/>
      <c r="AAH40" s="465">
        <v>30</v>
      </c>
      <c r="AAI40" s="956"/>
      <c r="AAJ40" s="957"/>
      <c r="AAK40" s="956"/>
      <c r="AAL40" s="957"/>
      <c r="AAM40" s="958">
        <f t="shared" si="29"/>
        <v>0.4</v>
      </c>
      <c r="AAN40" s="959"/>
      <c r="AAP40" s="947"/>
      <c r="AAQ40" s="947"/>
      <c r="AAR40" s="947"/>
      <c r="AAS40" s="947"/>
      <c r="AAT40" s="465">
        <v>90</v>
      </c>
      <c r="AAU40" s="956"/>
      <c r="AAV40" s="957"/>
      <c r="AAW40" s="956"/>
      <c r="AAX40" s="957"/>
      <c r="AAY40" s="958">
        <f t="shared" si="1"/>
        <v>1.2000000000000002</v>
      </c>
      <c r="AAZ40" s="959"/>
      <c r="ABB40" s="947"/>
      <c r="ABC40" s="947"/>
      <c r="ABD40" s="947"/>
      <c r="ABE40" s="947"/>
      <c r="ABF40" s="465">
        <v>150</v>
      </c>
      <c r="ABG40" s="956"/>
      <c r="ABH40" s="957"/>
      <c r="ABI40" s="956"/>
      <c r="ABJ40" s="957"/>
      <c r="ABK40" s="958">
        <f t="shared" si="2"/>
        <v>2</v>
      </c>
      <c r="ABL40" s="959"/>
      <c r="ABN40" s="947"/>
      <c r="ABO40" s="947"/>
      <c r="ABP40" s="947"/>
      <c r="ABQ40" s="947"/>
      <c r="ABR40" s="465">
        <v>210</v>
      </c>
      <c r="ABS40" s="956"/>
      <c r="ABT40" s="957"/>
      <c r="ABU40" s="956"/>
      <c r="ABV40" s="957"/>
      <c r="ABW40" s="958">
        <f t="shared" si="3"/>
        <v>2.8000000000000003</v>
      </c>
      <c r="ABX40" s="959"/>
      <c r="ABZ40" s="947"/>
      <c r="ACA40" s="947"/>
      <c r="ACB40" s="947"/>
      <c r="ACC40" s="947"/>
      <c r="ACD40" s="465">
        <v>270</v>
      </c>
      <c r="ACE40" s="956"/>
      <c r="ACF40" s="957"/>
      <c r="ACG40" s="956"/>
      <c r="ACH40" s="957"/>
      <c r="ACI40" s="958">
        <f t="shared" si="4"/>
        <v>3.6</v>
      </c>
      <c r="ACJ40" s="959"/>
      <c r="ADB40" s="1033"/>
      <c r="ADC40" s="1033"/>
      <c r="ADD40" s="187"/>
      <c r="ADE40" s="187"/>
      <c r="ADF40" s="187"/>
      <c r="ADG40" s="187"/>
      <c r="ADH40" s="187"/>
      <c r="ADI40" s="188"/>
      <c r="ADJ40" s="1071"/>
      <c r="ADK40" s="1071"/>
      <c r="ADL40" s="1052"/>
      <c r="ADM40" s="1052"/>
      <c r="ADN40" s="1052"/>
      <c r="ADO40" s="1052"/>
      <c r="ADP40" s="1052"/>
      <c r="ADQ40" s="1052"/>
      <c r="ADR40" s="1052"/>
      <c r="ADS40" s="1052"/>
      <c r="ADT40" s="1052"/>
      <c r="ADU40" s="1052"/>
      <c r="ADV40" s="1052"/>
      <c r="ADW40" s="1052"/>
      <c r="ADX40" s="859"/>
      <c r="ADY40" s="1016"/>
      <c r="ADZ40" s="1016"/>
      <c r="AEA40" s="1016"/>
      <c r="AEB40" s="1016"/>
      <c r="AEC40" s="1016"/>
      <c r="AED40" s="1016"/>
      <c r="AEE40" s="1016"/>
      <c r="AEF40" s="1016"/>
      <c r="AEG40" s="1016"/>
      <c r="AEH40" s="1016"/>
      <c r="AEI40" s="1016"/>
      <c r="AEJ40" s="1016"/>
      <c r="AEK40" s="860"/>
      <c r="AFM40" s="144"/>
      <c r="AFN40" s="144"/>
      <c r="AFO40" s="144"/>
      <c r="AHO40" s="144"/>
      <c r="AIM40" s="825"/>
      <c r="AIN40" s="147" t="s">
        <v>442</v>
      </c>
      <c r="AIO40" s="148"/>
      <c r="AIP40" s="216"/>
      <c r="AIQ40" s="87"/>
      <c r="AIR40" s="87"/>
      <c r="AIS40" s="87"/>
      <c r="AIT40" s="87"/>
      <c r="AIU40" s="87"/>
      <c r="AIV40" s="87"/>
      <c r="AIW40" s="216"/>
      <c r="AIX40" s="85" t="s">
        <v>467</v>
      </c>
      <c r="AIY40" s="757" t="s">
        <v>461</v>
      </c>
      <c r="AIZ40" s="899"/>
      <c r="AJA40" s="819" t="s">
        <v>126</v>
      </c>
      <c r="AJB40" s="820"/>
      <c r="AJC40" s="675" t="s">
        <v>731</v>
      </c>
      <c r="AJD40" s="676"/>
      <c r="AJE40" s="821" t="s">
        <v>473</v>
      </c>
      <c r="AJF40" s="822"/>
      <c r="AJG40" s="822"/>
      <c r="AJH40" s="823"/>
      <c r="AJI40" s="821" t="s">
        <v>462</v>
      </c>
      <c r="AJJ40" s="822"/>
      <c r="AJK40" s="822"/>
      <c r="AJL40" s="822"/>
      <c r="AJM40" s="823"/>
    </row>
    <row r="41" spans="3:1022 1034:1055" ht="48" customHeight="1" thickBot="1">
      <c r="AI41" s="825"/>
      <c r="AJ41" s="681">
        <v>2.5</v>
      </c>
      <c r="AK41" s="681"/>
      <c r="AL41" s="129"/>
      <c r="AM41" s="529" t="s">
        <v>1737</v>
      </c>
      <c r="AN41" s="698">
        <f>$AQ$4</f>
        <v>30000</v>
      </c>
      <c r="AO41" s="699"/>
      <c r="AP41" s="726"/>
      <c r="AQ41" s="87"/>
      <c r="AR41" s="87"/>
      <c r="AS41" s="129"/>
      <c r="AT41" s="85" t="s">
        <v>467</v>
      </c>
      <c r="AU41" s="1504" t="s">
        <v>461</v>
      </c>
      <c r="AV41" s="1505"/>
      <c r="AW41" s="1130" t="s">
        <v>126</v>
      </c>
      <c r="AX41" s="1131"/>
      <c r="AY41" s="675" t="s">
        <v>731</v>
      </c>
      <c r="AZ41" s="676"/>
      <c r="BA41" s="821" t="s">
        <v>473</v>
      </c>
      <c r="BB41" s="822"/>
      <c r="BC41" s="822"/>
      <c r="BD41" s="823"/>
      <c r="BE41" s="821" t="s">
        <v>472</v>
      </c>
      <c r="BF41" s="822"/>
      <c r="BG41" s="822"/>
      <c r="BH41" s="822"/>
      <c r="BI41" s="823"/>
      <c r="BO41" s="144"/>
      <c r="BP41" s="144"/>
      <c r="BX41" s="827"/>
      <c r="BY41" s="1491"/>
      <c r="BZ41" s="805"/>
      <c r="CA41" s="805"/>
      <c r="CB41" s="805"/>
      <c r="CC41" s="805"/>
      <c r="CD41" s="805"/>
      <c r="CE41" s="805"/>
      <c r="CF41" s="805"/>
      <c r="CG41" s="805"/>
      <c r="CH41" s="805"/>
      <c r="CI41" s="805"/>
      <c r="CJ41" s="805"/>
      <c r="CK41" s="806"/>
      <c r="CL41" s="1089"/>
      <c r="CM41" s="708"/>
      <c r="CN41" s="1402"/>
      <c r="CO41" s="1403"/>
      <c r="CP41" s="713"/>
      <c r="CQ41" s="743"/>
      <c r="CR41" s="745"/>
      <c r="CS41" s="747"/>
      <c r="CT41" s="90"/>
      <c r="CU41" s="88"/>
      <c r="CV41" s="88"/>
      <c r="CW41" s="89"/>
      <c r="DJ41" s="144"/>
      <c r="DK41" s="144"/>
      <c r="DL41" s="144"/>
      <c r="DM41" s="144"/>
      <c r="DN41" s="144"/>
      <c r="DZ41" s="934"/>
      <c r="EA41" s="795"/>
      <c r="EB41" s="796"/>
      <c r="EC41" s="797"/>
      <c r="ED41" s="825"/>
      <c r="EE41" s="727" t="s">
        <v>1102</v>
      </c>
      <c r="EF41" s="816"/>
      <c r="EG41" s="816"/>
      <c r="EH41" s="816"/>
      <c r="EI41" s="816"/>
      <c r="EJ41" s="816"/>
      <c r="EK41" s="816"/>
      <c r="EL41" s="816"/>
      <c r="EM41" s="816"/>
      <c r="EN41" s="816"/>
      <c r="EO41" s="816"/>
      <c r="EP41" s="816"/>
      <c r="EQ41" s="685"/>
      <c r="ER41" s="923">
        <v>1</v>
      </c>
      <c r="ES41" s="924"/>
      <c r="ET41" s="759" t="s">
        <v>50</v>
      </c>
      <c r="EU41" s="760"/>
      <c r="EV41" s="712"/>
      <c r="EW41" s="740" t="s">
        <v>1105</v>
      </c>
      <c r="EX41" s="741"/>
      <c r="EY41" s="742"/>
      <c r="EZ41" s="746"/>
      <c r="GF41" s="783"/>
      <c r="GG41" s="784"/>
      <c r="GH41" s="785"/>
      <c r="GI41" s="240" t="s">
        <v>703</v>
      </c>
      <c r="GJ41" s="818"/>
      <c r="GK41" s="818"/>
      <c r="GL41" s="818"/>
      <c r="GM41" s="818"/>
      <c r="GN41" s="818"/>
      <c r="GO41" s="818"/>
      <c r="GP41" s="818"/>
      <c r="GQ41" s="818"/>
      <c r="GR41" s="818"/>
      <c r="GS41" s="818"/>
      <c r="GT41" s="818"/>
      <c r="GU41" s="818"/>
      <c r="GV41" s="818"/>
      <c r="GW41" s="754"/>
      <c r="GX41" s="755"/>
      <c r="GY41" s="1215"/>
      <c r="GZ41" s="1216"/>
      <c r="HA41" s="715"/>
      <c r="HB41" s="743"/>
      <c r="HC41" s="745"/>
      <c r="HD41" s="747"/>
      <c r="IR41" s="826"/>
      <c r="IS41" s="246" t="s">
        <v>1144</v>
      </c>
      <c r="IT41" s="756">
        <f>$AZ$21</f>
        <v>0.313</v>
      </c>
      <c r="IU41" s="756"/>
      <c r="IV41" s="939" t="s">
        <v>70</v>
      </c>
      <c r="IW41" s="940"/>
      <c r="IX41" s="940"/>
      <c r="IY41" s="940"/>
      <c r="IZ41" s="940"/>
      <c r="JA41" s="940"/>
      <c r="JB41" s="940"/>
      <c r="JC41" s="940"/>
      <c r="JD41" s="940"/>
      <c r="JE41" s="1003"/>
      <c r="JF41" s="763">
        <f>((IT41-IT42)*1000/2)-IW40</f>
        <v>44.51933944218127</v>
      </c>
      <c r="JG41" s="764"/>
      <c r="JH41" s="759" t="s">
        <v>50</v>
      </c>
      <c r="JI41" s="760"/>
      <c r="JJ41" s="712"/>
      <c r="JK41" s="716" t="s">
        <v>1155</v>
      </c>
      <c r="JL41" s="717"/>
      <c r="JM41" s="746"/>
      <c r="JN41" s="890"/>
      <c r="JO41" s="841"/>
      <c r="JP41" s="841"/>
      <c r="JQ41" s="891"/>
      <c r="JX41" s="144"/>
      <c r="JY41" s="144"/>
      <c r="JZ41" s="144"/>
      <c r="KA41" s="144"/>
      <c r="KB41" s="144"/>
      <c r="KC41" s="144"/>
      <c r="KD41" s="144"/>
      <c r="KE41" s="144"/>
      <c r="KF41" s="144"/>
      <c r="KG41" s="144"/>
      <c r="KH41" s="144"/>
      <c r="KI41" s="144"/>
      <c r="KJ41" s="144"/>
      <c r="KK41" s="144"/>
      <c r="KL41" s="144"/>
      <c r="KM41" s="144"/>
      <c r="KN41" s="144"/>
      <c r="KO41" s="144"/>
      <c r="MZ41" s="144"/>
      <c r="NC41" s="827"/>
      <c r="ND41" s="452"/>
      <c r="NE41" s="828"/>
      <c r="NF41" s="828"/>
      <c r="NG41" s="707"/>
      <c r="NH41" s="707"/>
      <c r="NI41" s="707"/>
      <c r="NJ41" s="707"/>
      <c r="NK41" s="707"/>
      <c r="NL41" s="707"/>
      <c r="NM41" s="707"/>
      <c r="NN41" s="707"/>
      <c r="NO41" s="707"/>
      <c r="NP41" s="708"/>
      <c r="NQ41" s="765"/>
      <c r="NR41" s="766"/>
      <c r="NS41" s="707"/>
      <c r="NT41" s="708"/>
      <c r="NU41" s="715"/>
      <c r="NV41" s="718"/>
      <c r="NW41" s="719"/>
      <c r="NX41" s="747"/>
      <c r="NY41" s="144"/>
      <c r="PI41" s="934"/>
      <c r="PJ41" s="795"/>
      <c r="PK41" s="796"/>
      <c r="PL41" s="797"/>
      <c r="PM41" s="826"/>
      <c r="PN41" s="700" t="s">
        <v>1693</v>
      </c>
      <c r="PO41" s="701"/>
      <c r="PP41" s="701"/>
      <c r="PQ41" s="701"/>
      <c r="PR41" s="701"/>
      <c r="PS41" s="701"/>
      <c r="PT41" s="701"/>
      <c r="PU41" s="701"/>
      <c r="PV41" s="701"/>
      <c r="PW41" s="701"/>
      <c r="PX41" s="701"/>
      <c r="PY41" s="701"/>
      <c r="PZ41" s="702"/>
      <c r="QA41" s="974">
        <v>1.8</v>
      </c>
      <c r="QB41" s="975"/>
      <c r="QC41" s="849" t="s">
        <v>762</v>
      </c>
      <c r="QD41" s="850"/>
      <c r="QE41" s="714"/>
      <c r="QF41" s="952" t="s">
        <v>1739</v>
      </c>
      <c r="QG41" s="953"/>
      <c r="QH41" s="746"/>
      <c r="RC41" s="369">
        <v>23</v>
      </c>
      <c r="RD41" s="668">
        <v>2.3E-2</v>
      </c>
      <c r="RE41" s="669"/>
      <c r="RF41" s="670">
        <f t="shared" si="30"/>
        <v>29.610075202208499</v>
      </c>
      <c r="RG41" s="670"/>
      <c r="RH41" s="670"/>
      <c r="RI41" s="670"/>
      <c r="RJ41" s="698">
        <f t="shared" si="12"/>
        <v>30</v>
      </c>
      <c r="RK41" s="699"/>
      <c r="RL41" s="726"/>
      <c r="RM41" s="670">
        <f t="shared" si="13"/>
        <v>29.798576372424943</v>
      </c>
      <c r="RN41" s="670"/>
      <c r="RO41" s="670"/>
      <c r="RP41" s="670"/>
      <c r="RQ41" s="670"/>
      <c r="RR41" s="670"/>
      <c r="RS41" s="671">
        <f t="shared" si="6"/>
        <v>1.560804663639157</v>
      </c>
      <c r="RT41" s="671"/>
      <c r="RU41" s="671"/>
      <c r="RV41" s="671"/>
      <c r="RW41" s="671"/>
      <c r="RX41" s="671"/>
      <c r="RY41" s="681">
        <f t="shared" si="14"/>
        <v>29.839424676445756</v>
      </c>
      <c r="RZ41" s="681"/>
      <c r="SA41" s="681"/>
      <c r="SB41" s="681"/>
      <c r="SC41" s="681">
        <f>'Вывод расчетов'!$AQ$6/RY41</f>
        <v>12.734829981489533</v>
      </c>
      <c r="SD41" s="681"/>
      <c r="SE41" s="681"/>
      <c r="SF41" s="681"/>
      <c r="SG41" s="867">
        <f t="shared" si="28"/>
        <v>0.99863106261384937</v>
      </c>
      <c r="SH41" s="867"/>
      <c r="SI41" s="867"/>
      <c r="SJ41" s="867"/>
      <c r="SK41" s="865">
        <f t="shared" si="16"/>
        <v>5.2306794804633218E-2</v>
      </c>
      <c r="SL41" s="865"/>
      <c r="SM41" s="865"/>
      <c r="SN41" s="865"/>
      <c r="SO41" s="692">
        <f t="shared" si="26"/>
        <v>13.067719237752849</v>
      </c>
      <c r="SP41" s="693"/>
      <c r="SQ41" s="693"/>
      <c r="SR41" s="693"/>
      <c r="SS41" s="694"/>
      <c r="ST41" s="668">
        <f t="shared" si="24"/>
        <v>11.648194900709658</v>
      </c>
      <c r="SU41" s="678"/>
      <c r="SV41" s="678"/>
      <c r="SW41" s="678"/>
      <c r="SX41" s="678"/>
      <c r="SY41" s="669"/>
      <c r="SZ41" s="682">
        <f t="shared" si="19"/>
        <v>17.505591407366229</v>
      </c>
      <c r="TA41" s="683"/>
      <c r="TB41" s="683"/>
      <c r="TC41" s="683"/>
      <c r="TD41" s="683"/>
      <c r="TE41" s="684"/>
      <c r="TF41" s="682">
        <f>'Вывод расчетов'!$XC$174*SC41</f>
        <v>12.937640021981787</v>
      </c>
      <c r="TG41" s="683"/>
      <c r="TH41" s="684"/>
      <c r="TI41" s="681">
        <f t="shared" si="25"/>
        <v>14.897199931038248</v>
      </c>
      <c r="TJ41" s="681"/>
      <c r="TK41" s="681"/>
      <c r="TL41" s="681"/>
      <c r="TM41" s="685">
        <f t="shared" si="21"/>
        <v>0.17057955161682786</v>
      </c>
      <c r="TN41" s="686"/>
      <c r="TO41" s="686"/>
      <c r="TP41" s="687"/>
      <c r="TQ41" s="688">
        <f t="shared" si="22"/>
        <v>0.33134079013867429</v>
      </c>
      <c r="TR41" s="688"/>
      <c r="TS41" s="688"/>
      <c r="TT41" s="688"/>
      <c r="TU41" s="689">
        <f t="shared" si="27"/>
        <v>4.8388209873391971E-2</v>
      </c>
      <c r="TV41" s="690"/>
      <c r="TW41" s="690"/>
      <c r="TX41" s="690"/>
      <c r="TY41" s="690"/>
      <c r="TZ41" s="691"/>
      <c r="UA41" s="679">
        <v>2.3E-2</v>
      </c>
      <c r="UB41" s="680"/>
      <c r="UC41" s="650">
        <v>0.23</v>
      </c>
      <c r="UD41" s="866">
        <f t="shared" si="7"/>
        <v>1.4305953674563074</v>
      </c>
      <c r="UE41" s="866"/>
      <c r="UF41" s="866"/>
      <c r="UG41" s="866"/>
      <c r="UH41" s="866"/>
      <c r="UI41" s="866"/>
      <c r="UJ41" s="866"/>
      <c r="UK41" s="681">
        <f t="shared" si="8"/>
        <v>13.46660456358194</v>
      </c>
      <c r="UL41" s="681"/>
      <c r="UM41" s="681"/>
      <c r="UN41" s="681"/>
      <c r="UO41" s="816">
        <f t="shared" si="9"/>
        <v>0.90396884152197832</v>
      </c>
      <c r="UP41" s="816"/>
      <c r="UQ41" s="816"/>
      <c r="UR41" s="816"/>
      <c r="US41" s="866">
        <f t="shared" si="10"/>
        <v>0.74648830386010523</v>
      </c>
      <c r="UT41" s="866"/>
      <c r="UU41" s="866"/>
      <c r="UV41" s="866"/>
      <c r="UW41" s="866"/>
      <c r="WC41" s="905"/>
      <c r="WD41" s="900"/>
      <c r="WE41" s="900"/>
      <c r="WF41" s="900"/>
      <c r="WG41" s="900"/>
      <c r="WH41" s="906"/>
      <c r="WI41" s="181"/>
      <c r="WJ41" s="182"/>
      <c r="WK41" s="182"/>
      <c r="WL41" s="182"/>
      <c r="WM41" s="182"/>
      <c r="WN41" s="185"/>
      <c r="WO41" s="880">
        <v>11</v>
      </c>
      <c r="WP41" s="880"/>
      <c r="WQ41" s="1033" t="s">
        <v>35</v>
      </c>
      <c r="WR41" s="1033"/>
      <c r="WS41" s="1034">
        <f>(WS37^2+WS39^2)^0.5</f>
        <v>26.72429205378786</v>
      </c>
      <c r="WT41" s="1034"/>
      <c r="WU41" s="1034">
        <f>(WU37^2+WU39^2)^0.5</f>
        <v>13.856073618544789</v>
      </c>
      <c r="WV41" s="1034"/>
      <c r="WW41" s="1034">
        <f>(WW37^2+WW39^2)^0.5</f>
        <v>15.383702977713268</v>
      </c>
      <c r="WX41" s="1034"/>
      <c r="WY41" s="1034">
        <f>(WY37^2+WY39^2)^0.5</f>
        <v>75.573931016207823</v>
      </c>
      <c r="WZ41" s="1034"/>
      <c r="XA41" s="1034">
        <f>(XA37^2+XA39^2)^0.5</f>
        <v>90.842487585626813</v>
      </c>
      <c r="XB41" s="1034"/>
      <c r="XC41" s="1034">
        <f>(XC37^2+XC39^2)^0.5</f>
        <v>105.41820219143516</v>
      </c>
      <c r="XD41" s="1034"/>
      <c r="XE41" s="181"/>
      <c r="XF41" s="182"/>
      <c r="XG41" s="182"/>
      <c r="XH41" s="185"/>
      <c r="XI41" s="175"/>
      <c r="XO41" s="795"/>
      <c r="XP41" s="796"/>
      <c r="XQ41" s="797"/>
      <c r="XR41" s="826"/>
      <c r="XS41" s="816" t="s">
        <v>1603</v>
      </c>
      <c r="XT41" s="816"/>
      <c r="XU41" s="816"/>
      <c r="XV41" s="816"/>
      <c r="XW41" s="816"/>
      <c r="XX41" s="816"/>
      <c r="XY41" s="816"/>
      <c r="XZ41" s="816"/>
      <c r="YA41" s="816"/>
      <c r="YB41" s="816"/>
      <c r="YC41" s="816"/>
      <c r="YD41" s="816"/>
      <c r="YE41" s="816"/>
      <c r="YF41" s="974">
        <f>0.66</f>
        <v>0.66</v>
      </c>
      <c r="YG41" s="975"/>
      <c r="YH41" s="1115" t="s">
        <v>762</v>
      </c>
      <c r="YI41" s="1116"/>
      <c r="YJ41" s="712"/>
      <c r="YK41" s="740" t="s">
        <v>458</v>
      </c>
      <c r="YL41" s="742"/>
      <c r="YM41" s="746"/>
      <c r="YS41" s="473" t="s">
        <v>1341</v>
      </c>
      <c r="YT41" s="884">
        <f>$MN$69</f>
        <v>1.5573482713531094E-4</v>
      </c>
      <c r="YU41" s="884"/>
      <c r="YW41" s="863" t="s">
        <v>1619</v>
      </c>
      <c r="YX41" s="863"/>
      <c r="YY41" s="739">
        <f>$YC$114</f>
        <v>0.97314501241552853</v>
      </c>
      <c r="YZ41" s="739"/>
      <c r="ZA41" s="144"/>
      <c r="ZB41" s="144"/>
      <c r="ZC41" s="144"/>
      <c r="ZD41" s="144"/>
      <c r="ZE41" s="144"/>
      <c r="ZF41" s="144"/>
      <c r="ZG41" s="144"/>
      <c r="ZH41" s="144"/>
      <c r="ZI41" s="144"/>
      <c r="ZN41" s="144"/>
      <c r="ZO41" s="144"/>
      <c r="ZP41" s="144"/>
      <c r="ZQ41" s="144"/>
      <c r="ZR41" s="144"/>
      <c r="ZS41" s="144"/>
      <c r="ZT41" s="144"/>
      <c r="ZU41" s="144"/>
      <c r="ZV41" s="144"/>
      <c r="ZW41" s="144"/>
      <c r="ZX41" s="144"/>
      <c r="ZY41" s="144"/>
      <c r="AAD41" s="947"/>
      <c r="AAE41" s="947"/>
      <c r="AAF41" s="947"/>
      <c r="AAG41" s="947"/>
      <c r="AAH41" s="465">
        <v>31</v>
      </c>
      <c r="AAI41" s="956"/>
      <c r="AAJ41" s="957"/>
      <c r="AAK41" s="956"/>
      <c r="AAL41" s="957"/>
      <c r="AAM41" s="958">
        <f t="shared" si="29"/>
        <v>0.41333333333333339</v>
      </c>
      <c r="AAN41" s="959"/>
      <c r="AAP41" s="947"/>
      <c r="AAQ41" s="947"/>
      <c r="AAR41" s="947"/>
      <c r="AAS41" s="947"/>
      <c r="AAT41" s="465">
        <v>91</v>
      </c>
      <c r="AAU41" s="956"/>
      <c r="AAV41" s="957"/>
      <c r="AAW41" s="956"/>
      <c r="AAX41" s="957"/>
      <c r="AAY41" s="958">
        <f t="shared" si="1"/>
        <v>1.2133333333333334</v>
      </c>
      <c r="AAZ41" s="959"/>
      <c r="ABB41" s="947"/>
      <c r="ABC41" s="947"/>
      <c r="ABD41" s="947"/>
      <c r="ABE41" s="947"/>
      <c r="ABF41" s="465">
        <v>151</v>
      </c>
      <c r="ABG41" s="956"/>
      <c r="ABH41" s="957"/>
      <c r="ABI41" s="956"/>
      <c r="ABJ41" s="957"/>
      <c r="ABK41" s="958">
        <f t="shared" si="2"/>
        <v>2.0133333333333336</v>
      </c>
      <c r="ABL41" s="959"/>
      <c r="ABN41" s="947"/>
      <c r="ABO41" s="947"/>
      <c r="ABP41" s="947"/>
      <c r="ABQ41" s="947"/>
      <c r="ABR41" s="465">
        <v>211</v>
      </c>
      <c r="ABS41" s="956"/>
      <c r="ABT41" s="957"/>
      <c r="ABU41" s="956"/>
      <c r="ABV41" s="957"/>
      <c r="ABW41" s="958">
        <f t="shared" si="3"/>
        <v>2.8133333333333335</v>
      </c>
      <c r="ABX41" s="959"/>
      <c r="ABZ41" s="947"/>
      <c r="ACA41" s="947"/>
      <c r="ACB41" s="947"/>
      <c r="ACC41" s="947"/>
      <c r="ACD41" s="465">
        <v>271</v>
      </c>
      <c r="ACE41" s="956"/>
      <c r="ACF41" s="957"/>
      <c r="ACG41" s="956"/>
      <c r="ACH41" s="957"/>
      <c r="ACI41" s="958">
        <f t="shared" si="4"/>
        <v>3.6133333333333337</v>
      </c>
      <c r="ACJ41" s="959"/>
      <c r="ADB41" s="1033"/>
      <c r="ADC41" s="1033"/>
      <c r="ADD41" s="187"/>
      <c r="ADE41" s="187"/>
      <c r="ADF41" s="187"/>
      <c r="ADG41" s="187"/>
      <c r="ADH41" s="187"/>
      <c r="ADI41" s="188"/>
      <c r="ADJ41" s="1071"/>
      <c r="ADK41" s="1071"/>
      <c r="ADL41" s="1052"/>
      <c r="ADM41" s="1052"/>
      <c r="ADN41" s="1052"/>
      <c r="ADO41" s="1052"/>
      <c r="ADP41" s="1052"/>
      <c r="ADQ41" s="1052"/>
      <c r="ADR41" s="1052"/>
      <c r="ADS41" s="1052"/>
      <c r="ADT41" s="1052"/>
      <c r="ADU41" s="1052"/>
      <c r="ADV41" s="1052"/>
      <c r="ADW41" s="1052"/>
      <c r="ADX41" s="859"/>
      <c r="ADY41" s="1016"/>
      <c r="ADZ41" s="1016"/>
      <c r="AEA41" s="1016"/>
      <c r="AEB41" s="1016"/>
      <c r="AEC41" s="1016"/>
      <c r="AED41" s="1016"/>
      <c r="AEE41" s="1016"/>
      <c r="AEF41" s="1016"/>
      <c r="AEG41" s="1016"/>
      <c r="AEH41" s="1016"/>
      <c r="AEI41" s="1016"/>
      <c r="AEJ41" s="1016"/>
      <c r="AEK41" s="860"/>
      <c r="AFM41" s="144"/>
      <c r="AFN41" s="144"/>
      <c r="AFO41" s="144"/>
      <c r="AHO41" s="144"/>
      <c r="AIM41" s="826"/>
      <c r="AIN41" s="700" t="s">
        <v>976</v>
      </c>
      <c r="AIO41" s="701"/>
      <c r="AIP41" s="701"/>
      <c r="AIQ41" s="701"/>
      <c r="AIR41" s="701"/>
      <c r="AIS41" s="701"/>
      <c r="AIT41" s="701"/>
      <c r="AIU41" s="701"/>
      <c r="AIV41" s="701"/>
      <c r="AIW41" s="701"/>
      <c r="AIX41" s="701"/>
      <c r="AIY41" s="701"/>
      <c r="AIZ41" s="701"/>
      <c r="AJA41" s="1087">
        <f>CM32*CL52^2*MN23</f>
        <v>587.53827314253579</v>
      </c>
      <c r="AJB41" s="1006"/>
      <c r="AJC41" s="1380" t="s">
        <v>3</v>
      </c>
      <c r="AJD41" s="1381"/>
      <c r="AJE41" s="714"/>
      <c r="AJF41" s="716" t="s">
        <v>442</v>
      </c>
      <c r="AJG41" s="717"/>
      <c r="AJH41" s="746"/>
      <c r="AJI41" s="919"/>
      <c r="AJJ41" s="840"/>
      <c r="AJK41" s="840"/>
      <c r="AJL41" s="840"/>
      <c r="AJM41" s="920"/>
      <c r="AJZ41" s="759" t="s">
        <v>50</v>
      </c>
      <c r="AKA41" s="760"/>
    </row>
    <row r="42" spans="3:1022 1034:1055" ht="48" customHeight="1" thickBot="1">
      <c r="H42" s="144"/>
      <c r="I42" s="144"/>
      <c r="K42" s="157"/>
      <c r="L42" s="157"/>
      <c r="M42" s="157"/>
      <c r="N42" s="157"/>
      <c r="O42" s="157"/>
      <c r="AI42" s="826"/>
      <c r="AJ42" s="1339" t="s">
        <v>460</v>
      </c>
      <c r="AK42" s="1525"/>
      <c r="AL42" s="677">
        <f>$AZ$50</f>
        <v>0.9</v>
      </c>
      <c r="AM42" s="677"/>
      <c r="AN42" s="1489" t="s">
        <v>15</v>
      </c>
      <c r="AO42" s="1489"/>
      <c r="AP42" s="1489"/>
      <c r="AQ42" s="1489"/>
      <c r="AR42" s="1489"/>
      <c r="AS42" s="1489"/>
      <c r="AT42" s="1489"/>
      <c r="AU42" s="1489"/>
      <c r="AV42" s="1526"/>
      <c r="AW42" s="1530">
        <f>(AQ4*AZ54)/(AZ46*AZ50)</f>
        <v>36481.481481481482</v>
      </c>
      <c r="AX42" s="1531"/>
      <c r="AY42" s="759" t="s">
        <v>3</v>
      </c>
      <c r="AZ42" s="760"/>
      <c r="BA42" s="746"/>
      <c r="BB42" s="740" t="s">
        <v>735</v>
      </c>
      <c r="BC42" s="742"/>
      <c r="BD42" s="746"/>
      <c r="BE42" s="919"/>
      <c r="BF42" s="840"/>
      <c r="BG42" s="840"/>
      <c r="BH42" s="840"/>
      <c r="BI42" s="920"/>
      <c r="BL42" s="144"/>
      <c r="BM42" s="144"/>
      <c r="BN42" s="144"/>
      <c r="BO42" s="144"/>
      <c r="BP42" s="144"/>
      <c r="DJ42" s="144"/>
      <c r="DK42" s="144"/>
      <c r="DL42" s="144"/>
      <c r="DM42" s="144"/>
      <c r="DN42" s="144"/>
      <c r="DZ42" s="935"/>
      <c r="EA42" s="798"/>
      <c r="EB42" s="799"/>
      <c r="EC42" s="800"/>
      <c r="ED42" s="827"/>
      <c r="EE42" s="818"/>
      <c r="EF42" s="818"/>
      <c r="EG42" s="818"/>
      <c r="EH42" s="818"/>
      <c r="EI42" s="818"/>
      <c r="EJ42" s="818"/>
      <c r="EK42" s="818"/>
      <c r="EL42" s="818"/>
      <c r="EM42" s="818"/>
      <c r="EN42" s="818"/>
      <c r="EO42" s="818"/>
      <c r="EP42" s="818"/>
      <c r="EQ42" s="1106"/>
      <c r="ER42" s="925"/>
      <c r="ES42" s="926"/>
      <c r="ET42" s="761"/>
      <c r="EU42" s="762"/>
      <c r="EV42" s="713"/>
      <c r="EW42" s="743"/>
      <c r="EX42" s="744"/>
      <c r="EY42" s="745"/>
      <c r="EZ42" s="747"/>
      <c r="IR42" s="827"/>
      <c r="IS42" s="247" t="s">
        <v>470</v>
      </c>
      <c r="IT42" s="883">
        <f>$AW$34</f>
        <v>0.17058500000000001</v>
      </c>
      <c r="IU42" s="883"/>
      <c r="IV42" s="943"/>
      <c r="IW42" s="944"/>
      <c r="IX42" s="944"/>
      <c r="IY42" s="944"/>
      <c r="IZ42" s="944"/>
      <c r="JA42" s="944"/>
      <c r="JB42" s="944"/>
      <c r="JC42" s="944"/>
      <c r="JD42" s="944"/>
      <c r="JE42" s="1004"/>
      <c r="JF42" s="765"/>
      <c r="JG42" s="766"/>
      <c r="JH42" s="761"/>
      <c r="JI42" s="762"/>
      <c r="JJ42" s="713"/>
      <c r="JK42" s="718"/>
      <c r="JL42" s="719"/>
      <c r="JM42" s="747"/>
      <c r="JN42" s="892"/>
      <c r="JO42" s="893"/>
      <c r="JP42" s="893"/>
      <c r="JQ42" s="894"/>
      <c r="LZ42" s="825"/>
      <c r="MA42" s="665" t="s">
        <v>442</v>
      </c>
      <c r="MB42" s="666"/>
      <c r="MC42" s="370"/>
      <c r="MD42" s="371" t="s">
        <v>428</v>
      </c>
      <c r="ME42" s="677">
        <f>$AW$16</f>
        <v>2</v>
      </c>
      <c r="MF42" s="677"/>
      <c r="MG42" s="396" t="s">
        <v>451</v>
      </c>
      <c r="MH42" s="677">
        <f>$MQ$111</f>
        <v>0.33333333333333331</v>
      </c>
      <c r="MI42" s="677"/>
      <c r="MJ42" s="370"/>
      <c r="MK42" s="85" t="s">
        <v>467</v>
      </c>
      <c r="ML42" s="757" t="s">
        <v>461</v>
      </c>
      <c r="MM42" s="758"/>
      <c r="MN42" s="819" t="s">
        <v>126</v>
      </c>
      <c r="MO42" s="820"/>
      <c r="MP42" s="675" t="s">
        <v>731</v>
      </c>
      <c r="MQ42" s="676"/>
      <c r="MR42" s="821" t="s">
        <v>473</v>
      </c>
      <c r="MS42" s="822"/>
      <c r="MT42" s="822"/>
      <c r="MU42" s="823"/>
      <c r="MV42" s="769" t="s">
        <v>462</v>
      </c>
      <c r="MW42" s="769"/>
      <c r="MX42" s="769"/>
      <c r="MY42" s="769"/>
      <c r="MZ42" s="769"/>
      <c r="NA42" s="769"/>
      <c r="ND42" s="144"/>
      <c r="NE42" s="144"/>
      <c r="NF42" s="144"/>
      <c r="NG42" s="144"/>
      <c r="NH42" s="144"/>
      <c r="NI42" s="144"/>
      <c r="NJ42" s="144"/>
      <c r="NK42" s="144"/>
      <c r="NL42" s="144"/>
      <c r="NM42" s="144"/>
      <c r="NN42" s="144"/>
      <c r="NO42" s="144"/>
      <c r="NP42" s="144"/>
      <c r="NQ42" s="144"/>
      <c r="NR42" s="144"/>
      <c r="NS42" s="144"/>
      <c r="NT42" s="144"/>
      <c r="NU42" s="144"/>
      <c r="NV42" s="144"/>
      <c r="NW42" s="144"/>
      <c r="NX42" s="144"/>
      <c r="NY42" s="144"/>
      <c r="PI42" s="935"/>
      <c r="PJ42" s="798"/>
      <c r="PK42" s="799"/>
      <c r="PL42" s="800"/>
      <c r="PM42" s="827"/>
      <c r="PN42" s="706"/>
      <c r="PO42" s="707"/>
      <c r="PP42" s="707"/>
      <c r="PQ42" s="707"/>
      <c r="PR42" s="707"/>
      <c r="PS42" s="707"/>
      <c r="PT42" s="707"/>
      <c r="PU42" s="707"/>
      <c r="PV42" s="707"/>
      <c r="PW42" s="707"/>
      <c r="PX42" s="707"/>
      <c r="PY42" s="707"/>
      <c r="PZ42" s="708"/>
      <c r="QA42" s="976"/>
      <c r="QB42" s="977"/>
      <c r="QC42" s="851"/>
      <c r="QD42" s="852"/>
      <c r="QE42" s="715"/>
      <c r="QF42" s="954"/>
      <c r="QG42" s="955"/>
      <c r="QH42" s="747"/>
      <c r="RC42" s="369">
        <v>24</v>
      </c>
      <c r="RD42" s="668">
        <v>2.4E-2</v>
      </c>
      <c r="RE42" s="669"/>
      <c r="RF42" s="670">
        <f t="shared" si="30"/>
        <v>28.376322068783146</v>
      </c>
      <c r="RG42" s="670"/>
      <c r="RH42" s="670"/>
      <c r="RI42" s="670"/>
      <c r="RJ42" s="698">
        <f t="shared" si="12"/>
        <v>30</v>
      </c>
      <c r="RK42" s="699"/>
      <c r="RL42" s="726"/>
      <c r="RM42" s="670">
        <f t="shared" si="13"/>
        <v>28.56482323899959</v>
      </c>
      <c r="RN42" s="670"/>
      <c r="RO42" s="670"/>
      <c r="RP42" s="670"/>
      <c r="RQ42" s="670"/>
      <c r="RR42" s="670"/>
      <c r="RS42" s="671">
        <f t="shared" si="6"/>
        <v>1.560804663639157</v>
      </c>
      <c r="RT42" s="671"/>
      <c r="RU42" s="671"/>
      <c r="RV42" s="671"/>
      <c r="RW42" s="671"/>
      <c r="RX42" s="671"/>
      <c r="RY42" s="681">
        <f t="shared" si="14"/>
        <v>28.607433262586298</v>
      </c>
      <c r="RZ42" s="681"/>
      <c r="SA42" s="681"/>
      <c r="SB42" s="681"/>
      <c r="SC42" s="681">
        <f>'Вывод расчетов'!$AQ$6/RY42</f>
        <v>13.283260910267542</v>
      </c>
      <c r="SD42" s="681"/>
      <c r="SE42" s="681"/>
      <c r="SF42" s="681"/>
      <c r="SG42" s="867">
        <f t="shared" ref="SG42:SG83" si="31">RM42/RY42</f>
        <v>0.99851052615606606</v>
      </c>
      <c r="SH42" s="867"/>
      <c r="SI42" s="867"/>
      <c r="SJ42" s="867"/>
      <c r="SK42" s="865">
        <f t="shared" si="16"/>
        <v>5.4559409413371819E-2</v>
      </c>
      <c r="SL42" s="865"/>
      <c r="SM42" s="865"/>
      <c r="SN42" s="865"/>
      <c r="SO42" s="692">
        <f t="shared" si="26"/>
        <v>13.613798281710798</v>
      </c>
      <c r="SP42" s="693"/>
      <c r="SQ42" s="693"/>
      <c r="SR42" s="693"/>
      <c r="SS42" s="694"/>
      <c r="ST42" s="668">
        <f t="shared" si="24"/>
        <v>11.70680363234392</v>
      </c>
      <c r="SU42" s="678"/>
      <c r="SV42" s="678"/>
      <c r="SW42" s="678"/>
      <c r="SX42" s="678"/>
      <c r="SY42" s="669"/>
      <c r="SZ42" s="682">
        <f t="shared" si="19"/>
        <v>17.955076021598256</v>
      </c>
      <c r="TA42" s="683"/>
      <c r="TB42" s="683"/>
      <c r="TC42" s="683"/>
      <c r="TD42" s="683"/>
      <c r="TE42" s="684"/>
      <c r="TF42" s="682">
        <f>'Вывод расчетов'!$XC$174*SC42</f>
        <v>13.494805052356311</v>
      </c>
      <c r="TG42" s="683"/>
      <c r="TH42" s="684"/>
      <c r="TI42" s="681">
        <f t="shared" si="25"/>
        <v>15.519730041150309</v>
      </c>
      <c r="TJ42" s="681"/>
      <c r="TK42" s="681"/>
      <c r="TL42" s="681"/>
      <c r="TM42" s="685">
        <f t="shared" si="21"/>
        <v>0.17945182937412263</v>
      </c>
      <c r="TN42" s="686"/>
      <c r="TO42" s="686"/>
      <c r="TP42" s="687"/>
      <c r="TQ42" s="688">
        <f t="shared" si="22"/>
        <v>0.36049397231477037</v>
      </c>
      <c r="TR42" s="688"/>
      <c r="TS42" s="688"/>
      <c r="TT42" s="688"/>
      <c r="TU42" s="689">
        <f t="shared" si="27"/>
        <v>5.0905004143899667E-2</v>
      </c>
      <c r="TV42" s="690"/>
      <c r="TW42" s="690"/>
      <c r="TX42" s="690"/>
      <c r="TY42" s="690"/>
      <c r="TZ42" s="691"/>
      <c r="UA42" s="756">
        <v>2.4E-2</v>
      </c>
      <c r="UB42" s="756"/>
      <c r="UC42" s="650">
        <v>0.24</v>
      </c>
      <c r="UD42" s="866">
        <f t="shared" si="7"/>
        <v>1.4711376216602063</v>
      </c>
      <c r="UE42" s="866"/>
      <c r="UF42" s="866"/>
      <c r="UG42" s="866"/>
      <c r="UH42" s="866"/>
      <c r="UI42" s="866"/>
      <c r="UJ42" s="866"/>
      <c r="UK42" s="681">
        <f t="shared" si="8"/>
        <v>14.048592419490102</v>
      </c>
      <c r="UL42" s="681"/>
      <c r="UM42" s="681"/>
      <c r="UN42" s="681"/>
      <c r="UO42" s="816">
        <f t="shared" si="9"/>
        <v>0.90520855596331196</v>
      </c>
      <c r="UP42" s="816"/>
      <c r="UQ42" s="816"/>
      <c r="UR42" s="816"/>
      <c r="US42" s="866">
        <f t="shared" si="10"/>
        <v>0.7582144606536162</v>
      </c>
      <c r="UT42" s="866"/>
      <c r="UU42" s="866"/>
      <c r="UV42" s="866"/>
      <c r="UW42" s="866"/>
      <c r="WC42" s="905"/>
      <c r="WD42" s="900"/>
      <c r="WE42" s="900"/>
      <c r="WF42" s="900"/>
      <c r="WG42" s="900"/>
      <c r="WH42" s="906"/>
      <c r="WI42" s="183"/>
      <c r="WJ42" s="184"/>
      <c r="WK42" s="184"/>
      <c r="WL42" s="184"/>
      <c r="WM42" s="184"/>
      <c r="WN42" s="186"/>
      <c r="WO42" s="880"/>
      <c r="WP42" s="880"/>
      <c r="WQ42" s="1033"/>
      <c r="WR42" s="1033"/>
      <c r="WS42" s="1034"/>
      <c r="WT42" s="1034"/>
      <c r="WU42" s="1034"/>
      <c r="WV42" s="1034"/>
      <c r="WW42" s="1034"/>
      <c r="WX42" s="1034"/>
      <c r="WY42" s="1034"/>
      <c r="WZ42" s="1034"/>
      <c r="XA42" s="1034"/>
      <c r="XB42" s="1034"/>
      <c r="XC42" s="1034"/>
      <c r="XD42" s="1034"/>
      <c r="XE42" s="183"/>
      <c r="XF42" s="184"/>
      <c r="XG42" s="184"/>
      <c r="XH42" s="186"/>
      <c r="XI42" s="177"/>
      <c r="XO42" s="798"/>
      <c r="XP42" s="799"/>
      <c r="XQ42" s="800"/>
      <c r="XR42" s="827"/>
      <c r="XS42" s="818"/>
      <c r="XT42" s="818"/>
      <c r="XU42" s="818"/>
      <c r="XV42" s="818"/>
      <c r="XW42" s="818"/>
      <c r="XX42" s="818"/>
      <c r="XY42" s="818"/>
      <c r="XZ42" s="818"/>
      <c r="YA42" s="818"/>
      <c r="YB42" s="818"/>
      <c r="YC42" s="818"/>
      <c r="YD42" s="818"/>
      <c r="YE42" s="818"/>
      <c r="YF42" s="976"/>
      <c r="YG42" s="977"/>
      <c r="YH42" s="1117"/>
      <c r="YI42" s="1118"/>
      <c r="YJ42" s="713"/>
      <c r="YK42" s="743"/>
      <c r="YL42" s="745"/>
      <c r="YM42" s="747"/>
      <c r="YS42" s="471" t="s">
        <v>1480</v>
      </c>
      <c r="YT42" s="948">
        <f>$YF$104</f>
        <v>0.85</v>
      </c>
      <c r="YU42" s="965"/>
      <c r="ZC42" s="144"/>
      <c r="ZD42" s="420" t="s">
        <v>1468</v>
      </c>
      <c r="ZE42" s="756">
        <f>$MN$98</f>
        <v>0.55105560251025065</v>
      </c>
      <c r="ZF42" s="756"/>
      <c r="ZG42" s="144"/>
      <c r="ZH42" s="144"/>
      <c r="ZI42" s="144"/>
      <c r="ZN42" s="144"/>
      <c r="ZO42" s="144"/>
      <c r="ZP42" s="144"/>
      <c r="ZQ42" s="144"/>
      <c r="ZR42" s="144"/>
      <c r="ZS42" s="144"/>
      <c r="ZT42" s="144"/>
      <c r="ZU42" s="144"/>
      <c r="ZV42" s="144"/>
      <c r="ZW42" s="144"/>
      <c r="ZX42" s="144"/>
      <c r="ZY42" s="144"/>
      <c r="AAD42" s="947"/>
      <c r="AAE42" s="947"/>
      <c r="AAF42" s="947"/>
      <c r="AAG42" s="947"/>
      <c r="AAH42" s="465">
        <v>32</v>
      </c>
      <c r="AAI42" s="956"/>
      <c r="AAJ42" s="957"/>
      <c r="AAK42" s="956"/>
      <c r="AAL42" s="957"/>
      <c r="AAM42" s="958">
        <f t="shared" si="29"/>
        <v>0.42666666666666669</v>
      </c>
      <c r="AAN42" s="959"/>
      <c r="AAP42" s="947"/>
      <c r="AAQ42" s="947"/>
      <c r="AAR42" s="947"/>
      <c r="AAS42" s="947"/>
      <c r="AAT42" s="465">
        <v>92</v>
      </c>
      <c r="AAU42" s="956"/>
      <c r="AAV42" s="957"/>
      <c r="AAW42" s="956"/>
      <c r="AAX42" s="957"/>
      <c r="AAY42" s="958">
        <f t="shared" si="1"/>
        <v>1.2266666666666668</v>
      </c>
      <c r="AAZ42" s="959"/>
      <c r="ABB42" s="947"/>
      <c r="ABC42" s="947"/>
      <c r="ABD42" s="947"/>
      <c r="ABE42" s="947"/>
      <c r="ABF42" s="465">
        <v>152</v>
      </c>
      <c r="ABG42" s="956"/>
      <c r="ABH42" s="957"/>
      <c r="ABI42" s="956"/>
      <c r="ABJ42" s="957"/>
      <c r="ABK42" s="958">
        <f t="shared" si="2"/>
        <v>2.0266666666666668</v>
      </c>
      <c r="ABL42" s="959"/>
      <c r="ABN42" s="947"/>
      <c r="ABO42" s="947"/>
      <c r="ABP42" s="947"/>
      <c r="ABQ42" s="947"/>
      <c r="ABR42" s="465">
        <v>212</v>
      </c>
      <c r="ABS42" s="956"/>
      <c r="ABT42" s="957"/>
      <c r="ABU42" s="956"/>
      <c r="ABV42" s="957"/>
      <c r="ABW42" s="958">
        <f t="shared" si="3"/>
        <v>2.8266666666666667</v>
      </c>
      <c r="ABX42" s="959"/>
      <c r="ABZ42" s="947"/>
      <c r="ACA42" s="947"/>
      <c r="ACB42" s="947"/>
      <c r="ACC42" s="947"/>
      <c r="ACD42" s="465">
        <v>272</v>
      </c>
      <c r="ACE42" s="956"/>
      <c r="ACF42" s="957"/>
      <c r="ACG42" s="956"/>
      <c r="ACH42" s="957"/>
      <c r="ACI42" s="958">
        <f t="shared" si="4"/>
        <v>3.6266666666666669</v>
      </c>
      <c r="ACJ42" s="959"/>
      <c r="ADB42" s="1033"/>
      <c r="ADC42" s="1033"/>
      <c r="ADD42" s="187"/>
      <c r="ADE42" s="187"/>
      <c r="ADF42" s="187"/>
      <c r="ADG42" s="187"/>
      <c r="ADH42" s="187"/>
      <c r="ADI42" s="188"/>
      <c r="ADJ42" s="1071"/>
      <c r="ADK42" s="1071"/>
      <c r="ADL42" s="1052"/>
      <c r="ADM42" s="1052"/>
      <c r="ADN42" s="1052"/>
      <c r="ADO42" s="1052"/>
      <c r="ADP42" s="1052"/>
      <c r="ADQ42" s="1052"/>
      <c r="ADR42" s="1052"/>
      <c r="ADS42" s="1052"/>
      <c r="ADT42" s="1052"/>
      <c r="ADU42" s="1052"/>
      <c r="ADV42" s="1052"/>
      <c r="ADW42" s="1052"/>
      <c r="ADX42" s="859"/>
      <c r="ADY42" s="1016"/>
      <c r="ADZ42" s="1016"/>
      <c r="AEA42" s="1016"/>
      <c r="AEB42" s="1016"/>
      <c r="AEC42" s="1016"/>
      <c r="AED42" s="1016"/>
      <c r="AEE42" s="1016"/>
      <c r="AEF42" s="1016"/>
      <c r="AEG42" s="1016"/>
      <c r="AEH42" s="1016"/>
      <c r="AEI42" s="1016"/>
      <c r="AEJ42" s="1016"/>
      <c r="AEK42" s="860"/>
      <c r="AFM42" s="144"/>
      <c r="AFN42" s="144"/>
      <c r="AFO42" s="144"/>
      <c r="AHO42" s="144"/>
      <c r="AIM42" s="827"/>
      <c r="AIN42" s="706"/>
      <c r="AIO42" s="707"/>
      <c r="AIP42" s="707"/>
      <c r="AIQ42" s="707"/>
      <c r="AIR42" s="707"/>
      <c r="AIS42" s="707"/>
      <c r="AIT42" s="707"/>
      <c r="AIU42" s="707"/>
      <c r="AIV42" s="707"/>
      <c r="AIW42" s="707"/>
      <c r="AIX42" s="707"/>
      <c r="AIY42" s="707"/>
      <c r="AIZ42" s="707"/>
      <c r="AJA42" s="1089"/>
      <c r="AJB42" s="708"/>
      <c r="AJC42" s="1124"/>
      <c r="AJD42" s="1330"/>
      <c r="AJE42" s="715"/>
      <c r="AJF42" s="718"/>
      <c r="AJG42" s="719"/>
      <c r="AJH42" s="747"/>
      <c r="AJI42" s="892"/>
      <c r="AJJ42" s="893"/>
      <c r="AJK42" s="893"/>
      <c r="AJL42" s="893"/>
      <c r="AJM42" s="894"/>
      <c r="AJZ42" s="761"/>
      <c r="AKA42" s="762"/>
    </row>
    <row r="43" spans="3:1022 1034:1055" ht="48" customHeight="1" thickBot="1">
      <c r="H43" s="144"/>
      <c r="I43" s="144"/>
      <c r="V43" s="224"/>
      <c r="AI43" s="827"/>
      <c r="AJ43" s="1198" t="s">
        <v>454</v>
      </c>
      <c r="AK43" s="1199"/>
      <c r="AL43" s="672">
        <f>$AZ$46</f>
        <v>0.9</v>
      </c>
      <c r="AM43" s="672"/>
      <c r="AN43" s="805"/>
      <c r="AO43" s="805"/>
      <c r="AP43" s="805"/>
      <c r="AQ43" s="805"/>
      <c r="AR43" s="805"/>
      <c r="AS43" s="805"/>
      <c r="AT43" s="805"/>
      <c r="AU43" s="805"/>
      <c r="AV43" s="806"/>
      <c r="AW43" s="1532"/>
      <c r="AX43" s="1533"/>
      <c r="AY43" s="761"/>
      <c r="AZ43" s="762"/>
      <c r="BA43" s="747"/>
      <c r="BB43" s="743"/>
      <c r="BC43" s="745"/>
      <c r="BD43" s="747"/>
      <c r="BE43" s="892"/>
      <c r="BF43" s="893"/>
      <c r="BG43" s="893"/>
      <c r="BH43" s="893"/>
      <c r="BI43" s="894"/>
      <c r="BL43" s="144"/>
      <c r="BM43" s="144"/>
      <c r="BN43" s="144"/>
      <c r="BO43" s="6"/>
      <c r="BX43" s="777" t="s">
        <v>752</v>
      </c>
      <c r="BY43" s="778"/>
      <c r="BZ43" s="779"/>
      <c r="CA43" s="85" t="s">
        <v>839</v>
      </c>
      <c r="CB43" s="695" t="s">
        <v>442</v>
      </c>
      <c r="CC43" s="695"/>
      <c r="CD43" s="152"/>
      <c r="CE43" s="87"/>
      <c r="CF43" s="87"/>
      <c r="CG43" s="87"/>
      <c r="CH43" s="87"/>
      <c r="CI43" s="87"/>
      <c r="CJ43" s="87"/>
      <c r="CK43" s="152"/>
      <c r="CL43" s="85" t="s">
        <v>467</v>
      </c>
      <c r="CM43" s="757" t="s">
        <v>461</v>
      </c>
      <c r="CN43" s="758"/>
      <c r="CO43" s="819" t="s">
        <v>126</v>
      </c>
      <c r="CP43" s="820"/>
      <c r="CQ43" s="675" t="s">
        <v>731</v>
      </c>
      <c r="CR43" s="676"/>
      <c r="CS43" s="821" t="s">
        <v>473</v>
      </c>
      <c r="CT43" s="822"/>
      <c r="CU43" s="822"/>
      <c r="CV43" s="823"/>
      <c r="FA43" s="144"/>
      <c r="FB43" s="144"/>
      <c r="GF43" s="792" t="s">
        <v>1078</v>
      </c>
      <c r="GG43" s="793"/>
      <c r="GH43" s="794"/>
      <c r="GI43" s="825"/>
      <c r="GJ43" s="665" t="s">
        <v>442</v>
      </c>
      <c r="GK43" s="666"/>
      <c r="GL43" s="152"/>
      <c r="GM43" s="87"/>
      <c r="GN43" s="87"/>
      <c r="GO43" s="87"/>
      <c r="GP43" s="87"/>
      <c r="GQ43" s="216"/>
      <c r="GR43" s="84" t="s">
        <v>477</v>
      </c>
      <c r="GS43" s="152"/>
      <c r="GT43" s="85" t="s">
        <v>467</v>
      </c>
      <c r="GU43" s="757" t="s">
        <v>461</v>
      </c>
      <c r="GV43" s="899"/>
      <c r="GW43" s="1130" t="s">
        <v>126</v>
      </c>
      <c r="GX43" s="1131"/>
      <c r="GY43" s="675" t="s">
        <v>731</v>
      </c>
      <c r="GZ43" s="676"/>
      <c r="HA43" s="821" t="s">
        <v>473</v>
      </c>
      <c r="HB43" s="822"/>
      <c r="HC43" s="822"/>
      <c r="HD43" s="823"/>
      <c r="LZ43" s="826"/>
      <c r="MA43" s="673" t="s">
        <v>470</v>
      </c>
      <c r="MB43" s="674"/>
      <c r="MC43" s="756">
        <f>$AW$34</f>
        <v>0.17058500000000001</v>
      </c>
      <c r="MD43" s="756"/>
      <c r="ME43" s="701" t="s">
        <v>88</v>
      </c>
      <c r="MF43" s="701"/>
      <c r="MG43" s="701"/>
      <c r="MH43" s="701"/>
      <c r="MI43" s="701"/>
      <c r="MJ43" s="701"/>
      <c r="MK43" s="701"/>
      <c r="ML43" s="701"/>
      <c r="MM43" s="702"/>
      <c r="MN43" s="763">
        <f>((3.14*(MC43+MC44/1000))/ME42)*MH42</f>
        <v>0.10323962069192513</v>
      </c>
      <c r="MO43" s="764"/>
      <c r="MP43" s="1400" t="s">
        <v>737</v>
      </c>
      <c r="MQ43" s="1401"/>
      <c r="MR43" s="712"/>
      <c r="MS43" s="952" t="s">
        <v>1330</v>
      </c>
      <c r="MT43" s="953"/>
      <c r="MU43" s="746"/>
      <c r="MV43" s="767"/>
      <c r="MW43" s="767"/>
      <c r="MX43" s="767"/>
      <c r="MY43" s="767"/>
      <c r="MZ43" s="767"/>
      <c r="NA43" s="767"/>
      <c r="NB43" s="144"/>
      <c r="NC43" s="144"/>
      <c r="ND43" s="144"/>
      <c r="NE43" s="144"/>
      <c r="NF43" s="144"/>
      <c r="NG43" s="144"/>
      <c r="NH43" s="144"/>
      <c r="NI43" s="144"/>
      <c r="NJ43" s="144"/>
      <c r="NK43" s="144"/>
      <c r="NL43" s="144"/>
      <c r="NM43" s="144"/>
      <c r="NN43" s="144"/>
      <c r="NO43" s="144"/>
      <c r="NP43" s="144"/>
      <c r="NQ43" s="144"/>
      <c r="NR43" s="144"/>
      <c r="NS43" s="144"/>
      <c r="NT43" s="144"/>
      <c r="NU43" s="144"/>
      <c r="NV43" s="144"/>
      <c r="NW43" s="144"/>
      <c r="NX43" s="144"/>
      <c r="NY43" s="144"/>
      <c r="RC43" s="369">
        <v>25</v>
      </c>
      <c r="RD43" s="668">
        <v>2.5000000000000001E-2</v>
      </c>
      <c r="RE43" s="669"/>
      <c r="RF43" s="670">
        <f t="shared" si="30"/>
        <v>27.241269186031818</v>
      </c>
      <c r="RG43" s="670"/>
      <c r="RH43" s="670"/>
      <c r="RI43" s="670"/>
      <c r="RJ43" s="698">
        <f t="shared" si="12"/>
        <v>30</v>
      </c>
      <c r="RK43" s="699"/>
      <c r="RL43" s="726"/>
      <c r="RM43" s="670">
        <f t="shared" si="13"/>
        <v>27.429770356248262</v>
      </c>
      <c r="RN43" s="670"/>
      <c r="RO43" s="670"/>
      <c r="RP43" s="670"/>
      <c r="RQ43" s="670"/>
      <c r="RR43" s="670"/>
      <c r="RS43" s="671">
        <f t="shared" si="6"/>
        <v>1.560804663639157</v>
      </c>
      <c r="RT43" s="671"/>
      <c r="RU43" s="671"/>
      <c r="RV43" s="671"/>
      <c r="RW43" s="671"/>
      <c r="RX43" s="671"/>
      <c r="RY43" s="681">
        <f t="shared" si="14"/>
        <v>27.474140805392871</v>
      </c>
      <c r="RZ43" s="681"/>
      <c r="SA43" s="681"/>
      <c r="SB43" s="681"/>
      <c r="SC43" s="681">
        <f>'Вывод расчетов'!$AQ$6/RY43</f>
        <v>13.831187759124035</v>
      </c>
      <c r="SD43" s="681"/>
      <c r="SE43" s="681"/>
      <c r="SF43" s="681"/>
      <c r="SG43" s="867">
        <f t="shared" si="31"/>
        <v>0.99838501049190598</v>
      </c>
      <c r="SH43" s="867"/>
      <c r="SI43" s="867"/>
      <c r="SJ43" s="867"/>
      <c r="SK43" s="865">
        <f t="shared" si="16"/>
        <v>5.6809953573972671E-2</v>
      </c>
      <c r="SL43" s="865"/>
      <c r="SM43" s="865"/>
      <c r="SN43" s="865"/>
      <c r="SO43" s="692">
        <f t="shared" si="26"/>
        <v>14.15917297713982</v>
      </c>
      <c r="SP43" s="693"/>
      <c r="SQ43" s="693"/>
      <c r="SR43" s="693"/>
      <c r="SS43" s="694"/>
      <c r="ST43" s="668">
        <f t="shared" si="24"/>
        <v>11.76782589646473</v>
      </c>
      <c r="SU43" s="678"/>
      <c r="SV43" s="678"/>
      <c r="SW43" s="678"/>
      <c r="SX43" s="678"/>
      <c r="SY43" s="669"/>
      <c r="SZ43" s="682">
        <f t="shared" si="19"/>
        <v>18.41097242749748</v>
      </c>
      <c r="TA43" s="683"/>
      <c r="TB43" s="683"/>
      <c r="TC43" s="683"/>
      <c r="TD43" s="683"/>
      <c r="TE43" s="684"/>
      <c r="TF43" s="682">
        <f>'Вывод расчетов'!$XC$174*SC43</f>
        <v>14.051457975024931</v>
      </c>
      <c r="TG43" s="683"/>
      <c r="TH43" s="684"/>
      <c r="TI43" s="681">
        <f t="shared" si="25"/>
        <v>16.141457193939395</v>
      </c>
      <c r="TJ43" s="681"/>
      <c r="TK43" s="681"/>
      <c r="TL43" s="681"/>
      <c r="TM43" s="685">
        <f t="shared" si="21"/>
        <v>0.18868042623604578</v>
      </c>
      <c r="TN43" s="686"/>
      <c r="TO43" s="686"/>
      <c r="TP43" s="687"/>
      <c r="TQ43" s="688">
        <f t="shared" si="22"/>
        <v>0.39084769492752697</v>
      </c>
      <c r="TR43" s="688"/>
      <c r="TS43" s="688"/>
      <c r="TT43" s="688"/>
      <c r="TU43" s="689">
        <f t="shared" si="27"/>
        <v>5.3522875263614884E-2</v>
      </c>
      <c r="TV43" s="690"/>
      <c r="TW43" s="690"/>
      <c r="TX43" s="690"/>
      <c r="TY43" s="690"/>
      <c r="TZ43" s="691"/>
      <c r="UA43" s="679">
        <v>2.5000000000000001E-2</v>
      </c>
      <c r="UB43" s="680"/>
      <c r="UC43" s="650">
        <v>0.25</v>
      </c>
      <c r="UD43" s="866">
        <f t="shared" si="7"/>
        <v>1.5133378122546013</v>
      </c>
      <c r="UE43" s="866"/>
      <c r="UF43" s="866"/>
      <c r="UG43" s="866"/>
      <c r="UH43" s="866"/>
      <c r="UI43" s="866"/>
      <c r="UJ43" s="866"/>
      <c r="UK43" s="681">
        <f t="shared" si="8"/>
        <v>14.628119381684794</v>
      </c>
      <c r="UL43" s="681"/>
      <c r="UM43" s="681"/>
      <c r="UN43" s="681"/>
      <c r="UO43" s="816">
        <f t="shared" si="9"/>
        <v>0.90624527921662412</v>
      </c>
      <c r="UP43" s="816"/>
      <c r="UQ43" s="816"/>
      <c r="UR43" s="816"/>
      <c r="US43" s="866">
        <f t="shared" si="10"/>
        <v>0.76906165781838676</v>
      </c>
      <c r="UT43" s="866"/>
      <c r="UU43" s="866"/>
      <c r="UV43" s="866"/>
      <c r="UW43" s="866"/>
      <c r="WC43" s="905"/>
      <c r="WD43" s="900"/>
      <c r="WE43" s="900"/>
      <c r="WF43" s="900"/>
      <c r="WG43" s="900"/>
      <c r="WH43" s="906"/>
      <c r="WI43" s="181"/>
      <c r="WJ43" s="182"/>
      <c r="WK43" s="182"/>
      <c r="WL43" s="182"/>
      <c r="WM43" s="182"/>
      <c r="WN43" s="185"/>
      <c r="WO43" s="880">
        <v>12</v>
      </c>
      <c r="WP43" s="880"/>
      <c r="WQ43" s="1033" t="s">
        <v>35</v>
      </c>
      <c r="WR43" s="1033"/>
      <c r="WS43" s="1034">
        <f>'Вывод расчетов'!$XC$174*WS31</f>
        <v>11.060975691786849</v>
      </c>
      <c r="WT43" s="1034"/>
      <c r="WU43" s="1034">
        <f>'Вывод расчетов'!$XC$174*WU31</f>
        <v>2.223939505055311</v>
      </c>
      <c r="WV43" s="1034"/>
      <c r="WW43" s="1034">
        <f>'Вывод расчетов'!$XC$174*WW31</f>
        <v>3.3339308048166365</v>
      </c>
      <c r="WX43" s="1034"/>
      <c r="WY43" s="1034">
        <f>'Вывод расчетов'!$XC$174*WY31</f>
        <v>42.920211580957599</v>
      </c>
      <c r="WZ43" s="1034"/>
      <c r="XA43" s="1034">
        <f>'Вывод расчетов'!$XC$174*XA31</f>
        <v>52.932995516070889</v>
      </c>
      <c r="XB43" s="1034"/>
      <c r="XC43" s="1034">
        <f>'Вывод расчетов'!$XC$174*XC31</f>
        <v>62.579291756188923</v>
      </c>
      <c r="XD43" s="1034"/>
      <c r="XE43" s="181"/>
      <c r="XF43" s="182"/>
      <c r="XG43" s="185"/>
      <c r="XH43" s="172"/>
      <c r="XI43" s="177"/>
      <c r="YS43" s="483" t="s">
        <v>1323</v>
      </c>
      <c r="YT43" s="698">
        <f>$ZJ$16</f>
        <v>1</v>
      </c>
      <c r="YU43" s="726"/>
      <c r="ZB43" s="144"/>
      <c r="ZC43" s="144"/>
      <c r="ZD43" s="144"/>
      <c r="ZE43" s="144"/>
      <c r="ZF43" s="144"/>
      <c r="ZG43" s="144"/>
      <c r="ZH43" s="144"/>
      <c r="ZI43" s="144"/>
      <c r="ZO43" s="144"/>
      <c r="ZP43" s="144"/>
      <c r="ZQ43" s="144"/>
      <c r="ZR43" s="144"/>
      <c r="ZS43" s="144"/>
      <c r="ZT43" s="144"/>
      <c r="ZU43" s="144"/>
      <c r="ZV43" s="144"/>
      <c r="ZW43" s="144"/>
      <c r="ZX43" s="144"/>
      <c r="ZY43" s="144"/>
      <c r="AAD43" s="947"/>
      <c r="AAE43" s="947"/>
      <c r="AAF43" s="947"/>
      <c r="AAG43" s="947"/>
      <c r="AAH43" s="465">
        <v>33</v>
      </c>
      <c r="AAI43" s="956"/>
      <c r="AAJ43" s="957"/>
      <c r="AAK43" s="956"/>
      <c r="AAL43" s="957"/>
      <c r="AAM43" s="958">
        <f t="shared" si="29"/>
        <v>0.44</v>
      </c>
      <c r="AAN43" s="959"/>
      <c r="AAP43" s="947"/>
      <c r="AAQ43" s="947"/>
      <c r="AAR43" s="947"/>
      <c r="AAS43" s="947"/>
      <c r="AAT43" s="465">
        <v>93</v>
      </c>
      <c r="AAU43" s="956"/>
      <c r="AAV43" s="957"/>
      <c r="AAW43" s="956"/>
      <c r="AAX43" s="957"/>
      <c r="AAY43" s="958">
        <f t="shared" si="1"/>
        <v>1.24</v>
      </c>
      <c r="AAZ43" s="959"/>
      <c r="ABB43" s="947"/>
      <c r="ABC43" s="947"/>
      <c r="ABD43" s="947"/>
      <c r="ABE43" s="947"/>
      <c r="ABF43" s="465">
        <v>153</v>
      </c>
      <c r="ABG43" s="956"/>
      <c r="ABH43" s="957"/>
      <c r="ABI43" s="956"/>
      <c r="ABJ43" s="957"/>
      <c r="ABK43" s="958">
        <f t="shared" si="2"/>
        <v>2.04</v>
      </c>
      <c r="ABL43" s="959"/>
      <c r="ABN43" s="947"/>
      <c r="ABO43" s="947"/>
      <c r="ABP43" s="947"/>
      <c r="ABQ43" s="947"/>
      <c r="ABR43" s="465">
        <v>213</v>
      </c>
      <c r="ABS43" s="956"/>
      <c r="ABT43" s="957"/>
      <c r="ABU43" s="956"/>
      <c r="ABV43" s="957"/>
      <c r="ABW43" s="958">
        <f t="shared" si="3"/>
        <v>2.8400000000000003</v>
      </c>
      <c r="ABX43" s="959"/>
      <c r="ABZ43" s="947"/>
      <c r="ACA43" s="947"/>
      <c r="ACB43" s="947"/>
      <c r="ACC43" s="947"/>
      <c r="ACD43" s="465">
        <v>273</v>
      </c>
      <c r="ACE43" s="956"/>
      <c r="ACF43" s="957"/>
      <c r="ACG43" s="956"/>
      <c r="ACH43" s="957"/>
      <c r="ACI43" s="958">
        <f t="shared" si="4"/>
        <v>3.64</v>
      </c>
      <c r="ACJ43" s="959"/>
      <c r="ADB43" s="1033"/>
      <c r="ADC43" s="1033"/>
      <c r="ADD43" s="184"/>
      <c r="ADE43" s="184"/>
      <c r="ADF43" s="184"/>
      <c r="ADG43" s="184"/>
      <c r="ADH43" s="184"/>
      <c r="ADI43" s="186"/>
      <c r="ADJ43" s="1071"/>
      <c r="ADK43" s="1071"/>
      <c r="ADL43" s="1052"/>
      <c r="ADM43" s="1052"/>
      <c r="ADN43" s="1052"/>
      <c r="ADO43" s="1052"/>
      <c r="ADP43" s="1052"/>
      <c r="ADQ43" s="1052"/>
      <c r="ADR43" s="1052"/>
      <c r="ADS43" s="1052"/>
      <c r="ADT43" s="1052"/>
      <c r="ADU43" s="1052"/>
      <c r="ADV43" s="1052"/>
      <c r="ADW43" s="1052"/>
      <c r="ADX43" s="861"/>
      <c r="ADY43" s="1017"/>
      <c r="ADZ43" s="1017"/>
      <c r="AEA43" s="1017"/>
      <c r="AEB43" s="1017"/>
      <c r="AEC43" s="1017"/>
      <c r="AED43" s="1017"/>
      <c r="AEE43" s="1017"/>
      <c r="AEF43" s="1017"/>
      <c r="AEG43" s="1017"/>
      <c r="AEH43" s="1017"/>
      <c r="AEI43" s="1017"/>
      <c r="AEJ43" s="1017"/>
      <c r="AEK43" s="862"/>
      <c r="AFM43" s="144"/>
      <c r="AFN43" s="144"/>
      <c r="AFO43" s="144"/>
      <c r="AHO43" s="144"/>
      <c r="AJZ43" s="1400" t="s">
        <v>737</v>
      </c>
      <c r="AKA43" s="1401"/>
    </row>
    <row r="44" spans="3:1022 1034:1055" ht="48" customHeight="1" thickBot="1">
      <c r="C44" s="173"/>
      <c r="D44" s="174"/>
      <c r="E44" s="174"/>
      <c r="F44" s="174"/>
      <c r="G44" s="174"/>
      <c r="H44" s="174"/>
      <c r="I44" s="174"/>
      <c r="J44" s="174"/>
      <c r="K44" s="174"/>
      <c r="L44" s="174"/>
      <c r="M44" s="174"/>
      <c r="N44" s="175"/>
      <c r="O44" s="1000" t="s">
        <v>965</v>
      </c>
      <c r="P44" s="1001"/>
      <c r="Q44" s="1001"/>
      <c r="R44" s="1002"/>
      <c r="BL44" s="144"/>
      <c r="BM44" s="144"/>
      <c r="BN44" s="144"/>
      <c r="BX44" s="780"/>
      <c r="BY44" s="781"/>
      <c r="BZ44" s="782"/>
      <c r="CA44" s="214" t="s">
        <v>899</v>
      </c>
      <c r="CB44" s="727" t="s">
        <v>809</v>
      </c>
      <c r="CC44" s="816"/>
      <c r="CD44" s="816"/>
      <c r="CE44" s="816"/>
      <c r="CF44" s="816"/>
      <c r="CG44" s="816"/>
      <c r="CH44" s="816"/>
      <c r="CI44" s="816"/>
      <c r="CJ44" s="816"/>
      <c r="CK44" s="816"/>
      <c r="CL44" s="816"/>
      <c r="CM44" s="816"/>
      <c r="CN44" s="817"/>
      <c r="CO44" s="748">
        <f>ROUND(CL40*1000,0)</f>
        <v>16</v>
      </c>
      <c r="CP44" s="749"/>
      <c r="CQ44" s="1400" t="s">
        <v>50</v>
      </c>
      <c r="CR44" s="1401"/>
      <c r="CS44" s="712"/>
      <c r="CT44" s="740" t="s">
        <v>812</v>
      </c>
      <c r="CU44" s="742"/>
      <c r="CV44" s="746"/>
      <c r="DZ44" s="933" t="s">
        <v>789</v>
      </c>
      <c r="EA44" s="792" t="s">
        <v>1013</v>
      </c>
      <c r="EB44" s="793"/>
      <c r="EC44" s="794"/>
      <c r="ED44" s="85" t="s">
        <v>839</v>
      </c>
      <c r="EE44" s="665" t="s">
        <v>442</v>
      </c>
      <c r="EF44" s="666"/>
      <c r="EG44" s="152"/>
      <c r="EH44" s="87"/>
      <c r="EI44" s="87"/>
      <c r="EJ44" s="87"/>
      <c r="EK44" s="87"/>
      <c r="EL44" s="87"/>
      <c r="EM44" s="87"/>
      <c r="EN44" s="152"/>
      <c r="EO44" s="85" t="s">
        <v>467</v>
      </c>
      <c r="EP44" s="757" t="s">
        <v>461</v>
      </c>
      <c r="EQ44" s="758"/>
      <c r="ER44" s="819" t="s">
        <v>126</v>
      </c>
      <c r="ES44" s="820"/>
      <c r="ET44" s="675" t="s">
        <v>731</v>
      </c>
      <c r="EU44" s="676"/>
      <c r="EV44" s="821" t="s">
        <v>473</v>
      </c>
      <c r="EW44" s="822"/>
      <c r="EX44" s="822"/>
      <c r="EY44" s="822"/>
      <c r="EZ44" s="823"/>
      <c r="GF44" s="795"/>
      <c r="GG44" s="796"/>
      <c r="GH44" s="797"/>
      <c r="GI44" s="826"/>
      <c r="GJ44" s="700" t="s">
        <v>58</v>
      </c>
      <c r="GK44" s="701"/>
      <c r="GL44" s="701"/>
      <c r="GM44" s="701"/>
      <c r="GN44" s="701"/>
      <c r="GO44" s="701"/>
      <c r="GP44" s="701"/>
      <c r="GQ44" s="701"/>
      <c r="GR44" s="701"/>
      <c r="GS44" s="701"/>
      <c r="GT44" s="701"/>
      <c r="GU44" s="701"/>
      <c r="GV44" s="701"/>
      <c r="GW44" s="808">
        <v>0.22</v>
      </c>
      <c r="GX44" s="809"/>
      <c r="GY44" s="849" t="s">
        <v>762</v>
      </c>
      <c r="GZ44" s="850"/>
      <c r="HA44" s="714"/>
      <c r="HB44" s="952" t="s">
        <v>1781</v>
      </c>
      <c r="HC44" s="953"/>
      <c r="HD44" s="746"/>
      <c r="HK44" s="144"/>
      <c r="HL44" s="144"/>
      <c r="HM44" s="144"/>
      <c r="HN44" s="144"/>
      <c r="HO44" s="144"/>
      <c r="HP44" s="144"/>
      <c r="HQ44" s="144"/>
      <c r="IT44" s="202"/>
      <c r="IU44" s="665" t="s">
        <v>884</v>
      </c>
      <c r="IV44" s="667"/>
      <c r="IW44" s="202"/>
      <c r="IX44" s="685" t="s">
        <v>76</v>
      </c>
      <c r="IY44" s="686"/>
      <c r="IZ44" s="686"/>
      <c r="JA44" s="686"/>
      <c r="JB44" s="686"/>
      <c r="JC44" s="686"/>
      <c r="JD44" s="686"/>
      <c r="JE44" s="686"/>
      <c r="JF44" s="686"/>
      <c r="JG44" s="686"/>
      <c r="JH44" s="687"/>
      <c r="JI44" s="202"/>
      <c r="LZ44" s="827"/>
      <c r="MA44" s="987" t="s">
        <v>1337</v>
      </c>
      <c r="MB44" s="988"/>
      <c r="MC44" s="672">
        <f>$EN$49</f>
        <v>26.688160557818726</v>
      </c>
      <c r="MD44" s="672"/>
      <c r="ME44" s="707"/>
      <c r="MF44" s="707"/>
      <c r="MG44" s="707"/>
      <c r="MH44" s="707"/>
      <c r="MI44" s="707"/>
      <c r="MJ44" s="707"/>
      <c r="MK44" s="707"/>
      <c r="ML44" s="707"/>
      <c r="MM44" s="708"/>
      <c r="MN44" s="765"/>
      <c r="MO44" s="766"/>
      <c r="MP44" s="1402"/>
      <c r="MQ44" s="1403"/>
      <c r="MR44" s="713"/>
      <c r="MS44" s="954"/>
      <c r="MT44" s="955"/>
      <c r="MU44" s="747"/>
      <c r="MV44" s="768"/>
      <c r="MW44" s="768"/>
      <c r="MX44" s="768"/>
      <c r="MY44" s="768"/>
      <c r="MZ44" s="768"/>
      <c r="NA44" s="768"/>
      <c r="NB44" s="144"/>
      <c r="NC44" s="144"/>
      <c r="ND44" s="144"/>
      <c r="NE44" s="144"/>
      <c r="NF44" s="144"/>
      <c r="NG44" s="144"/>
      <c r="NH44" s="144"/>
      <c r="NI44" s="144"/>
      <c r="NJ44" s="144"/>
      <c r="NK44" s="144"/>
      <c r="NL44" s="144"/>
      <c r="NM44" s="144"/>
      <c r="NN44" s="144"/>
      <c r="NO44" s="144"/>
      <c r="PJ44" s="933" t="s">
        <v>789</v>
      </c>
      <c r="PK44" s="825"/>
      <c r="PL44" s="695" t="s">
        <v>442</v>
      </c>
      <c r="PM44" s="695"/>
      <c r="PN44" s="504"/>
      <c r="PO44" s="87"/>
      <c r="PP44" s="87"/>
      <c r="PQ44" s="87"/>
      <c r="PR44" s="87"/>
      <c r="PS44" s="87"/>
      <c r="PT44" s="87"/>
      <c r="PU44" s="504"/>
      <c r="PV44" s="85" t="s">
        <v>467</v>
      </c>
      <c r="PW44" s="757" t="s">
        <v>461</v>
      </c>
      <c r="PX44" s="899"/>
      <c r="PY44" s="819" t="s">
        <v>126</v>
      </c>
      <c r="PZ44" s="820"/>
      <c r="QA44" s="675" t="s">
        <v>731</v>
      </c>
      <c r="QB44" s="676"/>
      <c r="QC44" s="821" t="s">
        <v>473</v>
      </c>
      <c r="QD44" s="822"/>
      <c r="QE44" s="822"/>
      <c r="QF44" s="823"/>
      <c r="RC44" s="369">
        <v>26</v>
      </c>
      <c r="RD44" s="668">
        <v>2.5999999999999999E-2</v>
      </c>
      <c r="RE44" s="669"/>
      <c r="RF44" s="670">
        <f t="shared" si="30"/>
        <v>26.193528063492135</v>
      </c>
      <c r="RG44" s="670"/>
      <c r="RH44" s="670"/>
      <c r="RI44" s="670"/>
      <c r="RJ44" s="698">
        <f t="shared" si="12"/>
        <v>30</v>
      </c>
      <c r="RK44" s="699"/>
      <c r="RL44" s="726"/>
      <c r="RM44" s="670">
        <f t="shared" si="13"/>
        <v>26.382029233708579</v>
      </c>
      <c r="RN44" s="670"/>
      <c r="RO44" s="670"/>
      <c r="RP44" s="670"/>
      <c r="RQ44" s="670"/>
      <c r="RR44" s="670"/>
      <c r="RS44" s="671">
        <f t="shared" si="6"/>
        <v>1.560804663639157</v>
      </c>
      <c r="RT44" s="671"/>
      <c r="RU44" s="671"/>
      <c r="RV44" s="671"/>
      <c r="RW44" s="671"/>
      <c r="RX44" s="671"/>
      <c r="RY44" s="681">
        <f t="shared" si="14"/>
        <v>26.42815880242685</v>
      </c>
      <c r="RZ44" s="681"/>
      <c r="SA44" s="681"/>
      <c r="SB44" s="681"/>
      <c r="SC44" s="681">
        <f>'Вывод расчетов'!$AQ$6/RY44</f>
        <v>14.378602869796033</v>
      </c>
      <c r="SD44" s="681"/>
      <c r="SE44" s="681"/>
      <c r="SF44" s="681"/>
      <c r="SG44" s="867">
        <f t="shared" si="31"/>
        <v>0.99825452960748684</v>
      </c>
      <c r="SH44" s="867"/>
      <c r="SI44" s="867"/>
      <c r="SJ44" s="867"/>
      <c r="SK44" s="865">
        <f t="shared" si="16"/>
        <v>5.9058395831034255E-2</v>
      </c>
      <c r="SL44" s="865"/>
      <c r="SM44" s="865"/>
      <c r="SN44" s="865"/>
      <c r="SO44" s="692">
        <f t="shared" si="26"/>
        <v>14.703827885332348</v>
      </c>
      <c r="SP44" s="693"/>
      <c r="SQ44" s="693"/>
      <c r="SR44" s="693"/>
      <c r="SS44" s="694"/>
      <c r="ST44" s="668">
        <f t="shared" si="24"/>
        <v>11.831253981777653</v>
      </c>
      <c r="SU44" s="678"/>
      <c r="SV44" s="678"/>
      <c r="SW44" s="678"/>
      <c r="SX44" s="678"/>
      <c r="SY44" s="669"/>
      <c r="SZ44" s="682">
        <f t="shared" si="19"/>
        <v>18.872761463622826</v>
      </c>
      <c r="TA44" s="683"/>
      <c r="TB44" s="683"/>
      <c r="TC44" s="683"/>
      <c r="TD44" s="683"/>
      <c r="TE44" s="684"/>
      <c r="TF44" s="682">
        <f>'Вывод расчетов'!$XC$174*SC44</f>
        <v>14.6075910097621</v>
      </c>
      <c r="TG44" s="683"/>
      <c r="TH44" s="684"/>
      <c r="TI44" s="681">
        <f t="shared" si="25"/>
        <v>16.762363789278876</v>
      </c>
      <c r="TJ44" s="681"/>
      <c r="TK44" s="681"/>
      <c r="TL44" s="681"/>
      <c r="TM44" s="685">
        <f t="shared" si="21"/>
        <v>0.19826419685561097</v>
      </c>
      <c r="TN44" s="686"/>
      <c r="TO44" s="686"/>
      <c r="TP44" s="687"/>
      <c r="TQ44" s="688">
        <f t="shared" si="22"/>
        <v>0.42239812222132783</v>
      </c>
      <c r="TR44" s="688"/>
      <c r="TS44" s="688"/>
      <c r="TT44" s="688"/>
      <c r="TU44" s="689">
        <f t="shared" si="27"/>
        <v>5.6241498332572575E-2</v>
      </c>
      <c r="TV44" s="690"/>
      <c r="TW44" s="690"/>
      <c r="TX44" s="690"/>
      <c r="TY44" s="690"/>
      <c r="TZ44" s="691"/>
      <c r="UA44" s="679">
        <v>2.5999999999999999E-2</v>
      </c>
      <c r="UB44" s="680"/>
      <c r="UC44" s="650">
        <v>0.26</v>
      </c>
      <c r="UD44" s="866">
        <f t="shared" si="7"/>
        <v>1.5571906332369247</v>
      </c>
      <c r="UE44" s="866"/>
      <c r="UF44" s="866"/>
      <c r="UG44" s="866"/>
      <c r="UH44" s="866"/>
      <c r="UI44" s="866"/>
      <c r="UJ44" s="866"/>
      <c r="UK44" s="681">
        <f t="shared" si="8"/>
        <v>15.205173156041951</v>
      </c>
      <c r="UL44" s="681"/>
      <c r="UM44" s="681"/>
      <c r="UN44" s="681"/>
      <c r="UO44" s="816">
        <f t="shared" si="9"/>
        <v>0.9071019664760589</v>
      </c>
      <c r="UP44" s="816"/>
      <c r="UQ44" s="816"/>
      <c r="UR44" s="816"/>
      <c r="US44" s="866">
        <f t="shared" si="10"/>
        <v>0.77910314893100929</v>
      </c>
      <c r="UT44" s="866"/>
      <c r="UU44" s="866"/>
      <c r="UV44" s="866"/>
      <c r="UW44" s="866"/>
      <c r="WC44" s="905"/>
      <c r="WD44" s="900"/>
      <c r="WE44" s="900"/>
      <c r="WF44" s="900"/>
      <c r="WG44" s="900"/>
      <c r="WH44" s="906"/>
      <c r="WI44" s="183"/>
      <c r="WJ44" s="184"/>
      <c r="WK44" s="184"/>
      <c r="WL44" s="184"/>
      <c r="WM44" s="184"/>
      <c r="WN44" s="186"/>
      <c r="WO44" s="880"/>
      <c r="WP44" s="880"/>
      <c r="WQ44" s="1033"/>
      <c r="WR44" s="1033"/>
      <c r="WS44" s="1034"/>
      <c r="WT44" s="1034"/>
      <c r="WU44" s="1034"/>
      <c r="WV44" s="1034"/>
      <c r="WW44" s="1034"/>
      <c r="WX44" s="1034"/>
      <c r="WY44" s="1034"/>
      <c r="WZ44" s="1034"/>
      <c r="XA44" s="1034"/>
      <c r="XB44" s="1034"/>
      <c r="XC44" s="1034"/>
      <c r="XD44" s="1034"/>
      <c r="XE44" s="183"/>
      <c r="XF44" s="184"/>
      <c r="XG44" s="186"/>
      <c r="XH44" s="172"/>
      <c r="XI44" s="177"/>
      <c r="XO44" s="792" t="s">
        <v>1079</v>
      </c>
      <c r="XP44" s="793"/>
      <c r="XQ44" s="794"/>
      <c r="XR44" s="825"/>
      <c r="XS44" s="665" t="s">
        <v>442</v>
      </c>
      <c r="XT44" s="666"/>
      <c r="XU44" s="450"/>
      <c r="XV44" s="696" t="s">
        <v>1580</v>
      </c>
      <c r="XW44" s="720"/>
      <c r="XX44" s="697"/>
      <c r="XY44" s="948">
        <f>$YC$34</f>
        <v>0.59612250000000011</v>
      </c>
      <c r="XZ44" s="965"/>
      <c r="YA44" s="85" t="s">
        <v>729</v>
      </c>
      <c r="YB44" s="450"/>
      <c r="YC44" s="85" t="s">
        <v>467</v>
      </c>
      <c r="YD44" s="1333" t="s">
        <v>461</v>
      </c>
      <c r="YE44" s="1334"/>
      <c r="YF44" s="819" t="s">
        <v>126</v>
      </c>
      <c r="YG44" s="820"/>
      <c r="YH44" s="675" t="s">
        <v>731</v>
      </c>
      <c r="YI44" s="676"/>
      <c r="YJ44" s="821" t="s">
        <v>473</v>
      </c>
      <c r="YK44" s="822"/>
      <c r="YL44" s="822"/>
      <c r="YM44" s="823"/>
      <c r="AAD44" s="947"/>
      <c r="AAE44" s="947"/>
      <c r="AAF44" s="947"/>
      <c r="AAG44" s="947"/>
      <c r="AAH44" s="465">
        <v>34</v>
      </c>
      <c r="AAI44" s="956"/>
      <c r="AAJ44" s="957"/>
      <c r="AAK44" s="956"/>
      <c r="AAL44" s="957"/>
      <c r="AAM44" s="958">
        <f t="shared" si="29"/>
        <v>0.45333333333333337</v>
      </c>
      <c r="AAN44" s="959"/>
      <c r="AAP44" s="947"/>
      <c r="AAQ44" s="947"/>
      <c r="AAR44" s="947"/>
      <c r="AAS44" s="947"/>
      <c r="AAT44" s="465">
        <v>94</v>
      </c>
      <c r="AAU44" s="956"/>
      <c r="AAV44" s="957"/>
      <c r="AAW44" s="956"/>
      <c r="AAX44" s="957"/>
      <c r="AAY44" s="958">
        <f t="shared" si="1"/>
        <v>1.2533333333333334</v>
      </c>
      <c r="AAZ44" s="959"/>
      <c r="ABB44" s="947"/>
      <c r="ABC44" s="947"/>
      <c r="ABD44" s="947"/>
      <c r="ABE44" s="947"/>
      <c r="ABF44" s="465">
        <v>154</v>
      </c>
      <c r="ABG44" s="956"/>
      <c r="ABH44" s="957"/>
      <c r="ABI44" s="956"/>
      <c r="ABJ44" s="957"/>
      <c r="ABK44" s="958">
        <f t="shared" si="2"/>
        <v>2.0533333333333337</v>
      </c>
      <c r="ABL44" s="959"/>
      <c r="ABN44" s="947"/>
      <c r="ABO44" s="947"/>
      <c r="ABP44" s="947"/>
      <c r="ABQ44" s="947"/>
      <c r="ABR44" s="465">
        <v>214</v>
      </c>
      <c r="ABS44" s="956"/>
      <c r="ABT44" s="957"/>
      <c r="ABU44" s="956"/>
      <c r="ABV44" s="957"/>
      <c r="ABW44" s="958">
        <f t="shared" si="3"/>
        <v>2.8533333333333335</v>
      </c>
      <c r="ABX44" s="959"/>
      <c r="ABZ44" s="947"/>
      <c r="ACA44" s="947"/>
      <c r="ACB44" s="947"/>
      <c r="ACC44" s="947"/>
      <c r="ACD44" s="465">
        <v>274</v>
      </c>
      <c r="ACE44" s="956"/>
      <c r="ACF44" s="957"/>
      <c r="ACG44" s="956"/>
      <c r="ACH44" s="957"/>
      <c r="ACI44" s="958">
        <f t="shared" si="4"/>
        <v>3.6533333333333338</v>
      </c>
      <c r="ACJ44" s="959"/>
      <c r="ADB44" s="1033"/>
      <c r="ADC44" s="1033"/>
      <c r="ADD44" s="182"/>
      <c r="ADE44" s="182"/>
      <c r="ADF44" s="182"/>
      <c r="ADG44" s="182"/>
      <c r="ADH44" s="1066" t="s">
        <v>1816</v>
      </c>
      <c r="ADI44" s="1067"/>
      <c r="ADJ44" s="1070" t="s">
        <v>762</v>
      </c>
      <c r="ADK44" s="1070"/>
      <c r="ADL44" s="1050">
        <f>ADL26</f>
        <v>0.5</v>
      </c>
      <c r="ADM44" s="1051"/>
      <c r="ADN44" s="1050">
        <f>ADN26</f>
        <v>0.45</v>
      </c>
      <c r="ADO44" s="1051"/>
      <c r="ADP44" s="1050">
        <f>ADP26</f>
        <v>0.4</v>
      </c>
      <c r="ADQ44" s="1051"/>
      <c r="ADR44" s="1050">
        <f>ADR26</f>
        <v>0.3</v>
      </c>
      <c r="ADS44" s="1051"/>
      <c r="ADT44" s="1050">
        <f>ADT26</f>
        <v>0.2</v>
      </c>
      <c r="ADU44" s="1051"/>
      <c r="ADV44" s="1050">
        <f>ADV26</f>
        <v>0.45</v>
      </c>
      <c r="ADW44" s="1051"/>
      <c r="ADX44" s="857"/>
      <c r="ADY44" s="1015"/>
      <c r="ADZ44" s="1015"/>
      <c r="AEA44" s="1015"/>
      <c r="AEB44" s="1015"/>
      <c r="AEC44" s="1015"/>
      <c r="AED44" s="1015"/>
      <c r="AEE44" s="1015"/>
      <c r="AEF44" s="858"/>
      <c r="AEG44" s="172"/>
      <c r="AEH44" s="172"/>
      <c r="AEI44" s="172"/>
      <c r="AEJ44" s="172"/>
      <c r="AEK44" s="177"/>
      <c r="AEP44" s="816" t="s">
        <v>1736</v>
      </c>
      <c r="AEQ44" s="816"/>
      <c r="AER44" s="816" t="s">
        <v>877</v>
      </c>
      <c r="AES44" s="816"/>
      <c r="AET44" s="538" t="s">
        <v>436</v>
      </c>
      <c r="AEU44" s="956" t="s">
        <v>1817</v>
      </c>
      <c r="AEV44" s="957"/>
      <c r="AEW44" s="960" t="s">
        <v>1818</v>
      </c>
      <c r="AEX44" s="961"/>
      <c r="AEZ44" s="816" t="s">
        <v>1736</v>
      </c>
      <c r="AFA44" s="816"/>
      <c r="AFB44" s="816" t="s">
        <v>877</v>
      </c>
      <c r="AFC44" s="816"/>
      <c r="AFD44" s="538" t="s">
        <v>436</v>
      </c>
      <c r="AFE44" s="956" t="s">
        <v>1817</v>
      </c>
      <c r="AFF44" s="957"/>
      <c r="AFG44" s="960" t="s">
        <v>1577</v>
      </c>
      <c r="AFH44" s="961"/>
      <c r="AFJ44" s="816" t="s">
        <v>1736</v>
      </c>
      <c r="AFK44" s="816"/>
      <c r="AFL44" s="816" t="s">
        <v>877</v>
      </c>
      <c r="AFM44" s="816"/>
      <c r="AFN44" s="538" t="s">
        <v>436</v>
      </c>
      <c r="AFO44" s="956" t="s">
        <v>1817</v>
      </c>
      <c r="AFP44" s="957"/>
      <c r="AFQ44" s="960" t="s">
        <v>1577</v>
      </c>
      <c r="AFR44" s="961"/>
      <c r="AFT44" s="816" t="s">
        <v>1736</v>
      </c>
      <c r="AFU44" s="816"/>
      <c r="AFV44" s="816" t="s">
        <v>877</v>
      </c>
      <c r="AFW44" s="816"/>
      <c r="AFX44" s="538" t="s">
        <v>436</v>
      </c>
      <c r="AFY44" s="956" t="s">
        <v>1817</v>
      </c>
      <c r="AFZ44" s="957"/>
      <c r="AGA44" s="960" t="s">
        <v>1577</v>
      </c>
      <c r="AGB44" s="961"/>
      <c r="AGD44" s="816" t="s">
        <v>1736</v>
      </c>
      <c r="AGE44" s="816"/>
      <c r="AGF44" s="816" t="s">
        <v>877</v>
      </c>
      <c r="AGG44" s="816"/>
      <c r="AGH44" s="538" t="s">
        <v>436</v>
      </c>
      <c r="AGI44" s="956" t="s">
        <v>1817</v>
      </c>
      <c r="AGJ44" s="957"/>
      <c r="AGK44" s="960" t="s">
        <v>1577</v>
      </c>
      <c r="AGL44" s="961"/>
      <c r="AHO44" s="144"/>
      <c r="AIM44" s="825"/>
      <c r="AIN44" s="147" t="s">
        <v>442</v>
      </c>
      <c r="AIO44" s="148"/>
      <c r="AIP44" s="152"/>
      <c r="AIQ44" s="87"/>
      <c r="AIR44" s="87"/>
      <c r="AIS44" s="87"/>
      <c r="AIT44" s="87"/>
      <c r="AIU44" s="87"/>
      <c r="AIV44" s="87"/>
      <c r="AIW44" s="152"/>
      <c r="AIX44" s="85" t="s">
        <v>467</v>
      </c>
      <c r="AIY44" s="757" t="s">
        <v>461</v>
      </c>
      <c r="AIZ44" s="899"/>
      <c r="AJA44" s="1130" t="s">
        <v>126</v>
      </c>
      <c r="AJB44" s="1131"/>
      <c r="AJC44" s="675" t="s">
        <v>731</v>
      </c>
      <c r="AJD44" s="676"/>
      <c r="AJE44" s="821" t="s">
        <v>473</v>
      </c>
      <c r="AJF44" s="822"/>
      <c r="AJG44" s="822"/>
      <c r="AJH44" s="823"/>
      <c r="AJZ44" s="1402"/>
      <c r="AKA44" s="1403"/>
    </row>
    <row r="45" spans="3:1022 1034:1055" ht="48" customHeight="1" thickBot="1">
      <c r="C45" s="178"/>
      <c r="D45" s="179"/>
      <c r="E45" s="179"/>
      <c r="F45" s="179"/>
      <c r="G45" s="179"/>
      <c r="H45" s="179"/>
      <c r="I45" s="179"/>
      <c r="J45" s="179"/>
      <c r="K45" s="179"/>
      <c r="L45" s="179"/>
      <c r="M45" s="179"/>
      <c r="N45" s="180"/>
      <c r="O45" s="1487" t="s">
        <v>482</v>
      </c>
      <c r="P45" s="1487"/>
      <c r="Q45" s="1487" t="s">
        <v>483</v>
      </c>
      <c r="R45" s="1487"/>
      <c r="AI45" s="792" t="s">
        <v>1079</v>
      </c>
      <c r="AJ45" s="793"/>
      <c r="AK45" s="794"/>
      <c r="AL45" s="825"/>
      <c r="AM45" s="695" t="s">
        <v>732</v>
      </c>
      <c r="AN45" s="695"/>
      <c r="AO45" s="129"/>
      <c r="AP45" s="87"/>
      <c r="AQ45" s="87"/>
      <c r="AR45" s="87"/>
      <c r="AS45" s="87"/>
      <c r="AT45" s="129"/>
      <c r="AU45" s="84" t="s">
        <v>729</v>
      </c>
      <c r="AV45" s="129"/>
      <c r="AW45" s="85" t="s">
        <v>467</v>
      </c>
      <c r="AX45" s="1504" t="s">
        <v>461</v>
      </c>
      <c r="AY45" s="1505"/>
      <c r="AZ45" s="819" t="s">
        <v>126</v>
      </c>
      <c r="BA45" s="820"/>
      <c r="BB45" s="675" t="s">
        <v>731</v>
      </c>
      <c r="BC45" s="676"/>
      <c r="BD45" s="821" t="s">
        <v>473</v>
      </c>
      <c r="BE45" s="822"/>
      <c r="BF45" s="822"/>
      <c r="BG45" s="823"/>
      <c r="BL45" s="144"/>
      <c r="BM45" s="144"/>
      <c r="BN45" s="144"/>
      <c r="BQ45" s="144"/>
      <c r="BR45" s="144"/>
      <c r="BS45" s="144"/>
      <c r="BX45" s="783"/>
      <c r="BY45" s="784"/>
      <c r="BZ45" s="785"/>
      <c r="CA45" s="240" t="s">
        <v>703</v>
      </c>
      <c r="CB45" s="818"/>
      <c r="CC45" s="818"/>
      <c r="CD45" s="818"/>
      <c r="CE45" s="818"/>
      <c r="CF45" s="818"/>
      <c r="CG45" s="818"/>
      <c r="CH45" s="818"/>
      <c r="CI45" s="818"/>
      <c r="CJ45" s="818"/>
      <c r="CK45" s="818"/>
      <c r="CL45" s="818"/>
      <c r="CM45" s="818"/>
      <c r="CN45" s="766"/>
      <c r="CO45" s="750"/>
      <c r="CP45" s="751"/>
      <c r="CQ45" s="1402"/>
      <c r="CR45" s="1403"/>
      <c r="CS45" s="713"/>
      <c r="CT45" s="743"/>
      <c r="CU45" s="745"/>
      <c r="CV45" s="747"/>
      <c r="DZ45" s="934"/>
      <c r="EA45" s="795"/>
      <c r="EB45" s="796"/>
      <c r="EC45" s="797"/>
      <c r="ED45" s="825"/>
      <c r="EE45" s="727" t="s">
        <v>1103</v>
      </c>
      <c r="EF45" s="816"/>
      <c r="EG45" s="816"/>
      <c r="EH45" s="816"/>
      <c r="EI45" s="816"/>
      <c r="EJ45" s="816"/>
      <c r="EK45" s="816"/>
      <c r="EL45" s="816"/>
      <c r="EM45" s="816"/>
      <c r="EN45" s="816"/>
      <c r="EO45" s="816"/>
      <c r="EP45" s="816"/>
      <c r="EQ45" s="685"/>
      <c r="ER45" s="923">
        <v>4</v>
      </c>
      <c r="ES45" s="924"/>
      <c r="ET45" s="759" t="s">
        <v>50</v>
      </c>
      <c r="EU45" s="760"/>
      <c r="EV45" s="712"/>
      <c r="EW45" s="740" t="s">
        <v>1104</v>
      </c>
      <c r="EX45" s="741"/>
      <c r="EY45" s="742"/>
      <c r="EZ45" s="746"/>
      <c r="GF45" s="798"/>
      <c r="GG45" s="799"/>
      <c r="GH45" s="800"/>
      <c r="GI45" s="827"/>
      <c r="GJ45" s="706"/>
      <c r="GK45" s="707"/>
      <c r="GL45" s="707"/>
      <c r="GM45" s="707"/>
      <c r="GN45" s="707"/>
      <c r="GO45" s="707"/>
      <c r="GP45" s="707"/>
      <c r="GQ45" s="707"/>
      <c r="GR45" s="707"/>
      <c r="GS45" s="707"/>
      <c r="GT45" s="707"/>
      <c r="GU45" s="707"/>
      <c r="GV45" s="707"/>
      <c r="GW45" s="810"/>
      <c r="GX45" s="811"/>
      <c r="GY45" s="851"/>
      <c r="GZ45" s="852"/>
      <c r="HA45" s="715"/>
      <c r="HB45" s="954"/>
      <c r="HC45" s="955"/>
      <c r="HD45" s="747"/>
      <c r="HK45" s="144"/>
      <c r="HL45" s="144"/>
      <c r="HM45" s="144"/>
      <c r="HN45" s="144"/>
      <c r="HO45" s="144"/>
      <c r="HP45" s="144"/>
      <c r="HQ45" s="144"/>
      <c r="NB45" s="144"/>
      <c r="NC45" s="144"/>
      <c r="ND45" s="144"/>
      <c r="NE45" s="144"/>
      <c r="NF45" s="144"/>
      <c r="NG45" s="144"/>
      <c r="NH45" s="144"/>
      <c r="NI45" s="144"/>
      <c r="PJ45" s="934"/>
      <c r="PK45" s="826"/>
      <c r="PL45" s="966" t="s">
        <v>1694</v>
      </c>
      <c r="PM45" s="1121"/>
      <c r="PN45" s="1121"/>
      <c r="PO45" s="1121"/>
      <c r="PP45" s="1121"/>
      <c r="PQ45" s="1121"/>
      <c r="PR45" s="1121"/>
      <c r="PS45" s="1121"/>
      <c r="PT45" s="1121"/>
      <c r="PU45" s="1121"/>
      <c r="PV45" s="1121"/>
      <c r="PW45" s="1121"/>
      <c r="PX45" s="1254"/>
      <c r="PY45" s="752">
        <f>7.8*10^3</f>
        <v>7800</v>
      </c>
      <c r="PZ45" s="753"/>
      <c r="QA45" s="1007" t="s">
        <v>1675</v>
      </c>
      <c r="QB45" s="1008"/>
      <c r="QC45" s="714"/>
      <c r="QD45" s="1297" t="s">
        <v>1673</v>
      </c>
      <c r="QE45" s="1298"/>
      <c r="QF45" s="746"/>
      <c r="QJ45" s="144"/>
      <c r="QK45" s="144"/>
      <c r="QL45" s="144"/>
      <c r="QM45" s="144"/>
      <c r="QN45" s="144"/>
      <c r="RC45" s="369">
        <v>27</v>
      </c>
      <c r="RD45" s="668">
        <v>2.7E-2</v>
      </c>
      <c r="RE45" s="669"/>
      <c r="RF45" s="670">
        <f t="shared" si="30"/>
        <v>25.223397394473906</v>
      </c>
      <c r="RG45" s="670"/>
      <c r="RH45" s="670"/>
      <c r="RI45" s="670"/>
      <c r="RJ45" s="698">
        <f t="shared" si="12"/>
        <v>30</v>
      </c>
      <c r="RK45" s="699"/>
      <c r="RL45" s="726"/>
      <c r="RM45" s="670">
        <f t="shared" si="13"/>
        <v>25.41189856469035</v>
      </c>
      <c r="RN45" s="670"/>
      <c r="RO45" s="670"/>
      <c r="RP45" s="670"/>
      <c r="RQ45" s="670"/>
      <c r="RR45" s="670"/>
      <c r="RS45" s="671">
        <f t="shared" si="6"/>
        <v>1.560804663639157</v>
      </c>
      <c r="RT45" s="671"/>
      <c r="RU45" s="671"/>
      <c r="RV45" s="671"/>
      <c r="RW45" s="671"/>
      <c r="RX45" s="671"/>
      <c r="RY45" s="681">
        <f t="shared" si="14"/>
        <v>25.459785935081019</v>
      </c>
      <c r="RZ45" s="681"/>
      <c r="SA45" s="681"/>
      <c r="SB45" s="681"/>
      <c r="SC45" s="681">
        <f>'Вывод расчетов'!$AQ$6/RY45</f>
        <v>14.925498626302208</v>
      </c>
      <c r="SD45" s="681"/>
      <c r="SE45" s="681"/>
      <c r="SF45" s="681"/>
      <c r="SG45" s="867">
        <f t="shared" si="31"/>
        <v>0.99811909768162332</v>
      </c>
      <c r="SH45" s="867"/>
      <c r="SI45" s="867"/>
      <c r="SJ45" s="867"/>
      <c r="SK45" s="865">
        <f t="shared" si="16"/>
        <v>6.1304704902821888E-2</v>
      </c>
      <c r="SL45" s="865"/>
      <c r="SM45" s="865"/>
      <c r="SN45" s="865"/>
      <c r="SO45" s="692">
        <f t="shared" si="26"/>
        <v>15.247747662464317</v>
      </c>
      <c r="SP45" s="693"/>
      <c r="SQ45" s="693"/>
      <c r="SR45" s="693"/>
      <c r="SS45" s="694"/>
      <c r="ST45" s="668">
        <f t="shared" si="24"/>
        <v>11.897080050808924</v>
      </c>
      <c r="SU45" s="678"/>
      <c r="SV45" s="678"/>
      <c r="SW45" s="678"/>
      <c r="SX45" s="678"/>
      <c r="SY45" s="669"/>
      <c r="SZ45" s="682">
        <f t="shared" si="19"/>
        <v>19.339966972917551</v>
      </c>
      <c r="TA45" s="683"/>
      <c r="TB45" s="683"/>
      <c r="TC45" s="683"/>
      <c r="TD45" s="683"/>
      <c r="TE45" s="684"/>
      <c r="TF45" s="682">
        <f>'Вывод расчетов'!$XC$174*SC45</f>
        <v>15.163196419297272</v>
      </c>
      <c r="TG45" s="683"/>
      <c r="TH45" s="684"/>
      <c r="TI45" s="681">
        <f t="shared" si="25"/>
        <v>17.38243233520932</v>
      </c>
      <c r="TJ45" s="681"/>
      <c r="TK45" s="681"/>
      <c r="TL45" s="681"/>
      <c r="TM45" s="685">
        <f t="shared" si="21"/>
        <v>0.20820197728013526</v>
      </c>
      <c r="TN45" s="686"/>
      <c r="TO45" s="686"/>
      <c r="TP45" s="687"/>
      <c r="TQ45" s="688">
        <f t="shared" si="22"/>
        <v>0.45514135567637687</v>
      </c>
      <c r="TR45" s="688"/>
      <c r="TS45" s="688"/>
      <c r="TT45" s="688"/>
      <c r="TU45" s="689">
        <f t="shared" si="27"/>
        <v>5.9060543172939774E-2</v>
      </c>
      <c r="TV45" s="690"/>
      <c r="TW45" s="690"/>
      <c r="TX45" s="690"/>
      <c r="TY45" s="690"/>
      <c r="TZ45" s="691"/>
      <c r="UA45" s="756">
        <v>2.7E-2</v>
      </c>
      <c r="UB45" s="756"/>
      <c r="UC45" s="650">
        <v>0.27</v>
      </c>
      <c r="UD45" s="866">
        <f t="shared" si="7"/>
        <v>1.6026906919568655</v>
      </c>
      <c r="UE45" s="866"/>
      <c r="UF45" s="866"/>
      <c r="UG45" s="866"/>
      <c r="UH45" s="866"/>
      <c r="UI45" s="866"/>
      <c r="UJ45" s="866"/>
      <c r="UK45" s="681">
        <f t="shared" si="8"/>
        <v>15.779741643252454</v>
      </c>
      <c r="UL45" s="681"/>
      <c r="UM45" s="681"/>
      <c r="UN45" s="681"/>
      <c r="UO45" s="816">
        <f t="shared" si="9"/>
        <v>0.90779824934451181</v>
      </c>
      <c r="UP45" s="816"/>
      <c r="UQ45" s="816"/>
      <c r="UR45" s="816"/>
      <c r="US45" s="866">
        <f t="shared" si="10"/>
        <v>0.78840608589540428</v>
      </c>
      <c r="UT45" s="866"/>
      <c r="UU45" s="866"/>
      <c r="UV45" s="866"/>
      <c r="UW45" s="866"/>
      <c r="WC45" s="905"/>
      <c r="WD45" s="900"/>
      <c r="WE45" s="900"/>
      <c r="WF45" s="900"/>
      <c r="WG45" s="900"/>
      <c r="WH45" s="906"/>
      <c r="WI45" s="181"/>
      <c r="WJ45" s="182"/>
      <c r="WK45" s="182"/>
      <c r="WL45" s="182"/>
      <c r="WM45" s="182"/>
      <c r="WN45" s="185"/>
      <c r="WO45" s="880">
        <v>13</v>
      </c>
      <c r="WP45" s="880"/>
      <c r="WQ45" s="1033" t="s">
        <v>416</v>
      </c>
      <c r="WR45" s="1033"/>
      <c r="WS45" s="1034">
        <f>(3*'Вывод расчетов'!$AQ$6*WS37)</f>
        <v>12399.428969402657</v>
      </c>
      <c r="WT45" s="1034"/>
      <c r="WU45" s="1034">
        <f>(3*'Вывод расчетов'!$AQ$6*WU37)</f>
        <v>2495.4470146918202</v>
      </c>
      <c r="WV45" s="1034"/>
      <c r="WW45" s="1034">
        <f>(3*'Вывод расчетов'!$AQ$6*WW37)</f>
        <v>3740.7618925040874</v>
      </c>
      <c r="WX45" s="1034"/>
      <c r="WY45" s="1034">
        <f>(3*'Вывод расчетов'!$AQ$6*WY37)</f>
        <v>47431.377633338037</v>
      </c>
      <c r="WZ45" s="1034"/>
      <c r="XA45" s="1034">
        <f>(3*'Вывод расчетов'!$AQ$6*XA37)</f>
        <v>58021.542711078968</v>
      </c>
      <c r="XB45" s="1034"/>
      <c r="XC45" s="1034">
        <f>(3*'Вывод расчетов'!$AQ$6*XC37)</f>
        <v>67937.336927829223</v>
      </c>
      <c r="XD45" s="1034"/>
      <c r="XE45" s="181"/>
      <c r="XF45" s="182"/>
      <c r="XG45" s="182"/>
      <c r="XH45" s="185"/>
      <c r="XI45" s="177"/>
      <c r="XO45" s="795"/>
      <c r="XP45" s="796"/>
      <c r="XQ45" s="797"/>
      <c r="XR45" s="826"/>
      <c r="XS45" s="816" t="s">
        <v>1504</v>
      </c>
      <c r="XT45" s="816"/>
      <c r="XU45" s="816"/>
      <c r="XV45" s="816"/>
      <c r="XW45" s="816"/>
      <c r="XX45" s="816"/>
      <c r="XY45" s="816"/>
      <c r="XZ45" s="816"/>
      <c r="YA45" s="816"/>
      <c r="YB45" s="816"/>
      <c r="YC45" s="816"/>
      <c r="YD45" s="816"/>
      <c r="YE45" s="816"/>
      <c r="YF45" s="974">
        <f>0.1</f>
        <v>0.1</v>
      </c>
      <c r="YG45" s="975"/>
      <c r="YH45" s="1115" t="s">
        <v>762</v>
      </c>
      <c r="YI45" s="1116"/>
      <c r="YJ45" s="712"/>
      <c r="YK45" s="740" t="s">
        <v>1503</v>
      </c>
      <c r="YL45" s="742"/>
      <c r="YM45" s="746"/>
      <c r="AAD45" s="947"/>
      <c r="AAE45" s="947"/>
      <c r="AAF45" s="947"/>
      <c r="AAG45" s="947"/>
      <c r="AAH45" s="465">
        <v>35</v>
      </c>
      <c r="AAI45" s="956"/>
      <c r="AAJ45" s="957"/>
      <c r="AAK45" s="956"/>
      <c r="AAL45" s="957"/>
      <c r="AAM45" s="958">
        <f t="shared" si="29"/>
        <v>0.46666666666666667</v>
      </c>
      <c r="AAN45" s="959"/>
      <c r="AAP45" s="947"/>
      <c r="AAQ45" s="947"/>
      <c r="AAR45" s="947"/>
      <c r="AAS45" s="947"/>
      <c r="AAT45" s="465">
        <v>95</v>
      </c>
      <c r="AAU45" s="956"/>
      <c r="AAV45" s="957"/>
      <c r="AAW45" s="956"/>
      <c r="AAX45" s="957"/>
      <c r="AAY45" s="958">
        <f t="shared" si="1"/>
        <v>1.2666666666666668</v>
      </c>
      <c r="AAZ45" s="959"/>
      <c r="ABB45" s="947"/>
      <c r="ABC45" s="947"/>
      <c r="ABD45" s="947"/>
      <c r="ABE45" s="947"/>
      <c r="ABF45" s="465">
        <v>155</v>
      </c>
      <c r="ABG45" s="956"/>
      <c r="ABH45" s="957"/>
      <c r="ABI45" s="956"/>
      <c r="ABJ45" s="957"/>
      <c r="ABK45" s="958">
        <f t="shared" si="2"/>
        <v>2.0666666666666669</v>
      </c>
      <c r="ABL45" s="959"/>
      <c r="ABN45" s="947"/>
      <c r="ABO45" s="947"/>
      <c r="ABP45" s="947"/>
      <c r="ABQ45" s="947"/>
      <c r="ABR45" s="465">
        <v>215</v>
      </c>
      <c r="ABS45" s="956"/>
      <c r="ABT45" s="957"/>
      <c r="ABU45" s="956"/>
      <c r="ABV45" s="957"/>
      <c r="ABW45" s="958">
        <f t="shared" si="3"/>
        <v>2.8666666666666667</v>
      </c>
      <c r="ABX45" s="959"/>
      <c r="ABZ45" s="947"/>
      <c r="ACA45" s="947"/>
      <c r="ACB45" s="947"/>
      <c r="ACC45" s="947"/>
      <c r="ACD45" s="465">
        <v>275</v>
      </c>
      <c r="ACE45" s="956"/>
      <c r="ACF45" s="957"/>
      <c r="ACG45" s="956"/>
      <c r="ACH45" s="957"/>
      <c r="ACI45" s="958">
        <f t="shared" si="4"/>
        <v>3.666666666666667</v>
      </c>
      <c r="ACJ45" s="959"/>
      <c r="ADB45" s="1033"/>
      <c r="ADC45" s="1033"/>
      <c r="ADD45" s="184"/>
      <c r="ADE45" s="184"/>
      <c r="ADF45" s="184"/>
      <c r="ADG45" s="184"/>
      <c r="ADH45" s="1068"/>
      <c r="ADI45" s="1069"/>
      <c r="ADJ45" s="1070"/>
      <c r="ADK45" s="1070"/>
      <c r="ADL45" s="1050"/>
      <c r="ADM45" s="1051"/>
      <c r="ADN45" s="1050"/>
      <c r="ADO45" s="1051"/>
      <c r="ADP45" s="1050"/>
      <c r="ADQ45" s="1051"/>
      <c r="ADR45" s="1050"/>
      <c r="ADS45" s="1051"/>
      <c r="ADT45" s="1050"/>
      <c r="ADU45" s="1051"/>
      <c r="ADV45" s="1050"/>
      <c r="ADW45" s="1051"/>
      <c r="ADX45" s="861"/>
      <c r="ADY45" s="1017"/>
      <c r="ADZ45" s="1017"/>
      <c r="AEA45" s="1017"/>
      <c r="AEB45" s="1017"/>
      <c r="AEC45" s="1017"/>
      <c r="AED45" s="1017"/>
      <c r="AEE45" s="1017"/>
      <c r="AEF45" s="862"/>
      <c r="AEG45" s="172"/>
      <c r="AEH45" s="172"/>
      <c r="AEI45" s="172"/>
      <c r="AEJ45" s="172"/>
      <c r="AEK45" s="177"/>
      <c r="AEP45" s="947"/>
      <c r="AEQ45" s="947"/>
      <c r="AER45" s="947"/>
      <c r="AES45" s="947"/>
      <c r="AET45" s="656">
        <v>1</v>
      </c>
      <c r="AEU45" s="956"/>
      <c r="AEV45" s="957"/>
      <c r="AEW45" s="958">
        <f>(9.5/300*AET45)</f>
        <v>3.1666666666666669E-2</v>
      </c>
      <c r="AEX45" s="959"/>
      <c r="AEZ45" s="947"/>
      <c r="AFA45" s="947"/>
      <c r="AFB45" s="947"/>
      <c r="AFC45" s="947"/>
      <c r="AFD45" s="657">
        <v>61</v>
      </c>
      <c r="AFE45" s="956"/>
      <c r="AFF45" s="957"/>
      <c r="AFG45" s="958">
        <f t="shared" ref="AFG45" si="32">(9.5/300*AFD45)</f>
        <v>1.9316666666666669</v>
      </c>
      <c r="AFH45" s="959"/>
      <c r="AFJ45" s="947"/>
      <c r="AFK45" s="947"/>
      <c r="AFL45" s="947"/>
      <c r="AFM45" s="947"/>
      <c r="AFN45" s="657">
        <v>121</v>
      </c>
      <c r="AFO45" s="956"/>
      <c r="AFP45" s="957"/>
      <c r="AFQ45" s="958">
        <f t="shared" ref="AFQ45" si="33">(9.5/300*AFN45)</f>
        <v>3.831666666666667</v>
      </c>
      <c r="AFR45" s="959"/>
      <c r="AFT45" s="947"/>
      <c r="AFU45" s="947"/>
      <c r="AFV45" s="947"/>
      <c r="AFW45" s="947"/>
      <c r="AFX45" s="657">
        <v>181</v>
      </c>
      <c r="AFY45" s="956"/>
      <c r="AFZ45" s="957"/>
      <c r="AGA45" s="958">
        <f t="shared" ref="AGA45" si="34">(9.5/300*AFX45)</f>
        <v>5.7316666666666674</v>
      </c>
      <c r="AGB45" s="959"/>
      <c r="AGD45" s="947"/>
      <c r="AGE45" s="947"/>
      <c r="AGF45" s="947"/>
      <c r="AGG45" s="947"/>
      <c r="AGH45" s="657">
        <v>241</v>
      </c>
      <c r="AGI45" s="956"/>
      <c r="AGJ45" s="957"/>
      <c r="AGK45" s="958"/>
      <c r="AGL45" s="959"/>
      <c r="AHO45" s="144"/>
      <c r="AIM45" s="826"/>
      <c r="AIN45" s="816" t="s">
        <v>975</v>
      </c>
      <c r="AIO45" s="816"/>
      <c r="AIP45" s="816"/>
      <c r="AIQ45" s="816"/>
      <c r="AIR45" s="816"/>
      <c r="AIS45" s="816"/>
      <c r="AIT45" s="816"/>
      <c r="AIU45" s="816"/>
      <c r="AIV45" s="816"/>
      <c r="AIW45" s="816"/>
      <c r="AIX45" s="816"/>
      <c r="AIY45" s="816"/>
      <c r="AIZ45" s="816"/>
      <c r="AJA45" s="752">
        <f>AJA38*AJA41*2*MN27/MN31</f>
        <v>141214.82394980849</v>
      </c>
      <c r="AJB45" s="753"/>
      <c r="AJC45" s="1005"/>
      <c r="AJD45" s="1006"/>
      <c r="AJE45" s="714"/>
      <c r="AJF45" s="716" t="s">
        <v>442</v>
      </c>
      <c r="AJG45" s="717"/>
      <c r="AJH45" s="746"/>
    </row>
    <row r="46" spans="3:1022 1034:1055" ht="48" customHeight="1" thickBot="1">
      <c r="C46" s="143"/>
      <c r="D46" s="147" t="s">
        <v>442</v>
      </c>
      <c r="E46" s="148"/>
      <c r="F46" s="448"/>
      <c r="G46" s="87"/>
      <c r="H46" s="87"/>
      <c r="I46" s="87"/>
      <c r="J46" s="87"/>
      <c r="K46" s="448"/>
      <c r="L46" s="84" t="s">
        <v>729</v>
      </c>
      <c r="M46" s="448"/>
      <c r="N46" s="85" t="s">
        <v>467</v>
      </c>
      <c r="O46" s="757" t="s">
        <v>461</v>
      </c>
      <c r="P46" s="899"/>
      <c r="Q46" s="1130" t="s">
        <v>126</v>
      </c>
      <c r="R46" s="1131"/>
      <c r="AI46" s="795"/>
      <c r="AJ46" s="796"/>
      <c r="AK46" s="797"/>
      <c r="AL46" s="826"/>
      <c r="AM46" s="1488" t="s">
        <v>787</v>
      </c>
      <c r="AN46" s="1489"/>
      <c r="AO46" s="1489"/>
      <c r="AP46" s="1489"/>
      <c r="AQ46" s="1489"/>
      <c r="AR46" s="1489"/>
      <c r="AS46" s="1489"/>
      <c r="AT46" s="1489"/>
      <c r="AU46" s="1489"/>
      <c r="AV46" s="1489"/>
      <c r="AW46" s="1489"/>
      <c r="AX46" s="1489"/>
      <c r="AY46" s="1489"/>
      <c r="AZ46" s="808">
        <v>0.9</v>
      </c>
      <c r="BA46" s="809"/>
      <c r="BB46" s="759" t="s">
        <v>736</v>
      </c>
      <c r="BC46" s="760"/>
      <c r="BD46" s="712"/>
      <c r="BE46" s="1297" t="s">
        <v>454</v>
      </c>
      <c r="BF46" s="1298"/>
      <c r="BG46" s="746"/>
      <c r="BL46" s="144"/>
      <c r="BM46" s="144"/>
      <c r="BN46" s="144"/>
      <c r="BO46" s="6"/>
      <c r="BQ46" s="144"/>
      <c r="BR46" s="144"/>
      <c r="BS46" s="144"/>
      <c r="DJ46" s="144"/>
      <c r="DK46" s="144"/>
      <c r="DL46" s="144"/>
      <c r="DM46" s="144"/>
      <c r="DN46" s="144"/>
      <c r="DO46" s="144"/>
      <c r="DP46" s="144"/>
      <c r="DQ46" s="144"/>
      <c r="DR46" s="144"/>
      <c r="DS46" s="144"/>
      <c r="DT46" s="144"/>
      <c r="DX46" s="144"/>
      <c r="DZ46" s="935"/>
      <c r="EA46" s="798"/>
      <c r="EB46" s="799"/>
      <c r="EC46" s="800"/>
      <c r="ED46" s="827"/>
      <c r="EE46" s="818"/>
      <c r="EF46" s="818"/>
      <c r="EG46" s="818"/>
      <c r="EH46" s="818"/>
      <c r="EI46" s="818"/>
      <c r="EJ46" s="818"/>
      <c r="EK46" s="818"/>
      <c r="EL46" s="818"/>
      <c r="EM46" s="818"/>
      <c r="EN46" s="818"/>
      <c r="EO46" s="818"/>
      <c r="EP46" s="818"/>
      <c r="EQ46" s="1106"/>
      <c r="ER46" s="925"/>
      <c r="ES46" s="926"/>
      <c r="ET46" s="761"/>
      <c r="EU46" s="762"/>
      <c r="EV46" s="713"/>
      <c r="EW46" s="743"/>
      <c r="EX46" s="744"/>
      <c r="EY46" s="745"/>
      <c r="EZ46" s="747"/>
      <c r="HK46" s="144"/>
      <c r="HL46" s="144"/>
      <c r="HM46" s="144"/>
      <c r="HN46" s="144"/>
      <c r="HO46" s="144"/>
      <c r="HP46" s="144"/>
      <c r="HQ46" s="144"/>
      <c r="IR46" s="825"/>
      <c r="IS46" s="665" t="s">
        <v>442</v>
      </c>
      <c r="IT46" s="667"/>
      <c r="IU46" s="156"/>
      <c r="IV46" s="87"/>
      <c r="IW46" s="87"/>
      <c r="IX46" s="87"/>
      <c r="IY46" s="87"/>
      <c r="IZ46" s="87"/>
      <c r="JA46" s="87"/>
      <c r="JB46" s="156"/>
      <c r="JC46" s="85" t="s">
        <v>467</v>
      </c>
      <c r="JD46" s="757" t="s">
        <v>461</v>
      </c>
      <c r="JE46" s="899"/>
      <c r="JF46" s="1130" t="s">
        <v>126</v>
      </c>
      <c r="JG46" s="1131"/>
      <c r="JH46" s="675" t="s">
        <v>731</v>
      </c>
      <c r="JI46" s="676"/>
      <c r="JJ46" s="821" t="s">
        <v>473</v>
      </c>
      <c r="JK46" s="822"/>
      <c r="JL46" s="822"/>
      <c r="JM46" s="823"/>
      <c r="JN46" s="769" t="s">
        <v>462</v>
      </c>
      <c r="JO46" s="769"/>
      <c r="JP46" s="769"/>
      <c r="JQ46" s="769"/>
      <c r="LZ46" s="792" t="s">
        <v>1078</v>
      </c>
      <c r="MA46" s="793"/>
      <c r="MB46" s="794"/>
      <c r="MC46" s="825"/>
      <c r="MD46" s="147" t="s">
        <v>442</v>
      </c>
      <c r="ME46" s="148"/>
      <c r="MF46" s="370"/>
      <c r="MG46" s="87"/>
      <c r="MH46" s="87"/>
      <c r="MI46" s="87"/>
      <c r="MJ46" s="87"/>
      <c r="MK46" s="584"/>
      <c r="ML46" s="84" t="s">
        <v>477</v>
      </c>
      <c r="MM46" s="370"/>
      <c r="MN46" s="85" t="s">
        <v>467</v>
      </c>
      <c r="MO46" s="757" t="s">
        <v>461</v>
      </c>
      <c r="MP46" s="758"/>
      <c r="MQ46" s="819" t="s">
        <v>126</v>
      </c>
      <c r="MR46" s="820"/>
      <c r="MS46" s="675" t="s">
        <v>731</v>
      </c>
      <c r="MT46" s="676"/>
      <c r="MU46" s="821" t="s">
        <v>473</v>
      </c>
      <c r="MV46" s="822"/>
      <c r="MW46" s="822"/>
      <c r="MX46" s="823"/>
      <c r="NB46" s="144"/>
      <c r="NC46" s="144"/>
      <c r="ND46" s="144"/>
      <c r="NE46" s="144"/>
      <c r="NF46" s="144"/>
      <c r="NG46" s="144"/>
      <c r="NH46" s="144"/>
      <c r="NI46" s="144"/>
      <c r="PJ46" s="935"/>
      <c r="PK46" s="827"/>
      <c r="PL46" s="1352"/>
      <c r="PM46" s="1255"/>
      <c r="PN46" s="1255"/>
      <c r="PO46" s="1255"/>
      <c r="PP46" s="1255"/>
      <c r="PQ46" s="1255"/>
      <c r="PR46" s="1255"/>
      <c r="PS46" s="1255"/>
      <c r="PT46" s="1255"/>
      <c r="PU46" s="1255"/>
      <c r="PV46" s="1255"/>
      <c r="PW46" s="1255"/>
      <c r="PX46" s="1256"/>
      <c r="PY46" s="754"/>
      <c r="PZ46" s="755"/>
      <c r="QA46" s="1009"/>
      <c r="QB46" s="1010"/>
      <c r="QC46" s="715"/>
      <c r="QD46" s="1299"/>
      <c r="QE46" s="1300"/>
      <c r="QF46" s="747"/>
      <c r="QJ46" s="144"/>
      <c r="QK46" s="144"/>
      <c r="QL46" s="144"/>
      <c r="QM46" s="144"/>
      <c r="QN46" s="144"/>
      <c r="RC46" s="369">
        <v>28</v>
      </c>
      <c r="RD46" s="668">
        <v>2.8000000000000001E-2</v>
      </c>
      <c r="RE46" s="669"/>
      <c r="RF46" s="670">
        <f t="shared" si="30"/>
        <v>24.322561773242697</v>
      </c>
      <c r="RG46" s="670"/>
      <c r="RH46" s="670"/>
      <c r="RI46" s="670"/>
      <c r="RJ46" s="698">
        <f t="shared" si="12"/>
        <v>30</v>
      </c>
      <c r="RK46" s="699"/>
      <c r="RL46" s="726"/>
      <c r="RM46" s="670">
        <f t="shared" si="13"/>
        <v>24.511062943459141</v>
      </c>
      <c r="RN46" s="670"/>
      <c r="RO46" s="670"/>
      <c r="RP46" s="670"/>
      <c r="RQ46" s="670"/>
      <c r="RR46" s="670"/>
      <c r="RS46" s="671">
        <f t="shared" si="6"/>
        <v>1.560804663639157</v>
      </c>
      <c r="RT46" s="671"/>
      <c r="RU46" s="671"/>
      <c r="RV46" s="671"/>
      <c r="RW46" s="671"/>
      <c r="RX46" s="671"/>
      <c r="RY46" s="681">
        <f t="shared" si="14"/>
        <v>24.560706785763593</v>
      </c>
      <c r="RZ46" s="681"/>
      <c r="SA46" s="681"/>
      <c r="SB46" s="681"/>
      <c r="SC46" s="681">
        <f>'Вывод расчетов'!$AQ$6/RY46</f>
        <v>15.471867455388695</v>
      </c>
      <c r="SD46" s="681"/>
      <c r="SE46" s="681"/>
      <c r="SF46" s="681"/>
      <c r="SG46" s="867">
        <f t="shared" si="31"/>
        <v>0.99797872908391927</v>
      </c>
      <c r="SH46" s="867"/>
      <c r="SI46" s="867"/>
      <c r="SJ46" s="867"/>
      <c r="SK46" s="865">
        <f t="shared" si="16"/>
        <v>6.3548849683098874E-2</v>
      </c>
      <c r="SL46" s="865"/>
      <c r="SM46" s="865"/>
      <c r="SN46" s="865"/>
      <c r="SO46" s="692">
        <f t="shared" si="26"/>
        <v>15.790917060814911</v>
      </c>
      <c r="SP46" s="693"/>
      <c r="SQ46" s="693"/>
      <c r="SR46" s="693"/>
      <c r="SS46" s="694"/>
      <c r="ST46" s="668">
        <f t="shared" si="24"/>
        <v>11.965296141235321</v>
      </c>
      <c r="SU46" s="678"/>
      <c r="SV46" s="678"/>
      <c r="SW46" s="678"/>
      <c r="SX46" s="678"/>
      <c r="SY46" s="669"/>
      <c r="SZ46" s="682">
        <f t="shared" si="19"/>
        <v>19.812152163987541</v>
      </c>
      <c r="TA46" s="683"/>
      <c r="TB46" s="683"/>
      <c r="TC46" s="683"/>
      <c r="TD46" s="683"/>
      <c r="TE46" s="684"/>
      <c r="TF46" s="682">
        <f>'Вывод расчетов'!$XC$174*SC46</f>
        <v>15.718266509767837</v>
      </c>
      <c r="TG46" s="683"/>
      <c r="TH46" s="684"/>
      <c r="TI46" s="681">
        <f t="shared" si="25"/>
        <v>18.001645449328997</v>
      </c>
      <c r="TJ46" s="681"/>
      <c r="TK46" s="681"/>
      <c r="TL46" s="681"/>
      <c r="TM46" s="685">
        <f t="shared" si="21"/>
        <v>0.21849258514819983</v>
      </c>
      <c r="TN46" s="686"/>
      <c r="TO46" s="686"/>
      <c r="TP46" s="687"/>
      <c r="TQ46" s="688">
        <f t="shared" si="22"/>
        <v>0.48907343467020387</v>
      </c>
      <c r="TR46" s="688"/>
      <c r="TS46" s="688"/>
      <c r="TT46" s="688"/>
      <c r="TU46" s="689">
        <f t="shared" si="27"/>
        <v>6.1979674384887232E-2</v>
      </c>
      <c r="TV46" s="690"/>
      <c r="TW46" s="690"/>
      <c r="TX46" s="690"/>
      <c r="TY46" s="690"/>
      <c r="TZ46" s="691"/>
      <c r="UA46" s="679">
        <v>2.8000000000000001E-2</v>
      </c>
      <c r="UB46" s="680"/>
      <c r="UC46" s="650">
        <v>0.28000000000000003</v>
      </c>
      <c r="UD46" s="866">
        <f t="shared" si="7"/>
        <v>1.6498325100307045</v>
      </c>
      <c r="UE46" s="866"/>
      <c r="UF46" s="866"/>
      <c r="UG46" s="866"/>
      <c r="UH46" s="866"/>
      <c r="UI46" s="866"/>
      <c r="UJ46" s="866"/>
      <c r="UK46" s="681">
        <f t="shared" si="8"/>
        <v>16.351812939298291</v>
      </c>
      <c r="UL46" s="681"/>
      <c r="UM46" s="681"/>
      <c r="UN46" s="681"/>
      <c r="UO46" s="816">
        <f t="shared" si="9"/>
        <v>0.90835101631822213</v>
      </c>
      <c r="UP46" s="816"/>
      <c r="UQ46" s="816"/>
      <c r="UR46" s="816"/>
      <c r="US46" s="866">
        <f t="shared" si="10"/>
        <v>0.79703188881811582</v>
      </c>
      <c r="UT46" s="866"/>
      <c r="UU46" s="866"/>
      <c r="UV46" s="866"/>
      <c r="UW46" s="866"/>
      <c r="WC46" s="905"/>
      <c r="WD46" s="900"/>
      <c r="WE46" s="900"/>
      <c r="WF46" s="900"/>
      <c r="WG46" s="900"/>
      <c r="WH46" s="906"/>
      <c r="WI46" s="183"/>
      <c r="WJ46" s="184"/>
      <c r="WK46" s="184"/>
      <c r="WL46" s="184"/>
      <c r="WM46" s="184"/>
      <c r="WN46" s="186"/>
      <c r="WO46" s="880"/>
      <c r="WP46" s="880"/>
      <c r="WQ46" s="1033"/>
      <c r="WR46" s="1033"/>
      <c r="WS46" s="1034"/>
      <c r="WT46" s="1034"/>
      <c r="WU46" s="1034"/>
      <c r="WV46" s="1034"/>
      <c r="WW46" s="1034"/>
      <c r="WX46" s="1034"/>
      <c r="WY46" s="1034"/>
      <c r="WZ46" s="1034"/>
      <c r="XA46" s="1034"/>
      <c r="XB46" s="1034"/>
      <c r="XC46" s="1034"/>
      <c r="XD46" s="1034"/>
      <c r="XE46" s="183"/>
      <c r="XF46" s="184"/>
      <c r="XG46" s="184"/>
      <c r="XH46" s="186"/>
      <c r="XI46" s="177"/>
      <c r="XO46" s="798"/>
      <c r="XP46" s="799"/>
      <c r="XQ46" s="800"/>
      <c r="XR46" s="827"/>
      <c r="XS46" s="818"/>
      <c r="XT46" s="818"/>
      <c r="XU46" s="818"/>
      <c r="XV46" s="818"/>
      <c r="XW46" s="818"/>
      <c r="XX46" s="818"/>
      <c r="XY46" s="818"/>
      <c r="XZ46" s="818"/>
      <c r="YA46" s="818"/>
      <c r="YB46" s="818"/>
      <c r="YC46" s="818"/>
      <c r="YD46" s="818"/>
      <c r="YE46" s="818"/>
      <c r="YF46" s="976"/>
      <c r="YG46" s="977"/>
      <c r="YH46" s="1117"/>
      <c r="YI46" s="1118"/>
      <c r="YJ46" s="713"/>
      <c r="YK46" s="743"/>
      <c r="YL46" s="745"/>
      <c r="YM46" s="747"/>
      <c r="AAD46" s="947"/>
      <c r="AAE46" s="947"/>
      <c r="AAF46" s="947"/>
      <c r="AAG46" s="947"/>
      <c r="AAH46" s="465">
        <v>36</v>
      </c>
      <c r="AAI46" s="956"/>
      <c r="AAJ46" s="957"/>
      <c r="AAK46" s="956"/>
      <c r="AAL46" s="957"/>
      <c r="AAM46" s="958">
        <f t="shared" si="29"/>
        <v>0.48000000000000004</v>
      </c>
      <c r="AAN46" s="959"/>
      <c r="AAP46" s="947"/>
      <c r="AAQ46" s="947"/>
      <c r="AAR46" s="947"/>
      <c r="AAS46" s="947"/>
      <c r="AAT46" s="465">
        <v>96</v>
      </c>
      <c r="AAU46" s="956"/>
      <c r="AAV46" s="957"/>
      <c r="AAW46" s="956"/>
      <c r="AAX46" s="957"/>
      <c r="AAY46" s="958">
        <f t="shared" si="1"/>
        <v>1.28</v>
      </c>
      <c r="AAZ46" s="959"/>
      <c r="ABB46" s="947"/>
      <c r="ABC46" s="947"/>
      <c r="ABD46" s="947"/>
      <c r="ABE46" s="947"/>
      <c r="ABF46" s="465">
        <v>156</v>
      </c>
      <c r="ABG46" s="956"/>
      <c r="ABH46" s="957"/>
      <c r="ABI46" s="956"/>
      <c r="ABJ46" s="957"/>
      <c r="ABK46" s="958">
        <f t="shared" si="2"/>
        <v>2.08</v>
      </c>
      <c r="ABL46" s="959"/>
      <c r="ABN46" s="947"/>
      <c r="ABO46" s="947"/>
      <c r="ABP46" s="947"/>
      <c r="ABQ46" s="947"/>
      <c r="ABR46" s="465">
        <v>216</v>
      </c>
      <c r="ABS46" s="956"/>
      <c r="ABT46" s="957"/>
      <c r="ABU46" s="956"/>
      <c r="ABV46" s="957"/>
      <c r="ABW46" s="958">
        <f t="shared" si="3"/>
        <v>2.8800000000000003</v>
      </c>
      <c r="ABX46" s="959"/>
      <c r="ABZ46" s="947"/>
      <c r="ACA46" s="947"/>
      <c r="ACB46" s="947"/>
      <c r="ACC46" s="947"/>
      <c r="ACD46" s="465">
        <v>276</v>
      </c>
      <c r="ACE46" s="956"/>
      <c r="ACF46" s="957"/>
      <c r="ACG46" s="956"/>
      <c r="ACH46" s="957"/>
      <c r="ACI46" s="958">
        <f t="shared" si="4"/>
        <v>3.68</v>
      </c>
      <c r="ACJ46" s="959"/>
      <c r="ADB46" s="1033">
        <v>9</v>
      </c>
      <c r="ADC46" s="1033"/>
      <c r="ADD46" s="863" t="s">
        <v>1391</v>
      </c>
      <c r="ADE46" s="863"/>
      <c r="ADF46" s="863"/>
      <c r="ADG46" s="863"/>
      <c r="ADH46" s="756">
        <f>$MQ$200</f>
        <v>4.8197321291167521</v>
      </c>
      <c r="ADI46" s="679"/>
      <c r="ADJ46" s="1070" t="s">
        <v>762</v>
      </c>
      <c r="ADK46" s="1070"/>
      <c r="ADL46" s="1034" t="s">
        <v>400</v>
      </c>
      <c r="ADM46" s="1034"/>
      <c r="ADN46" s="1034" t="s">
        <v>400</v>
      </c>
      <c r="ADO46" s="1034"/>
      <c r="ADP46" s="1034" t="s">
        <v>400</v>
      </c>
      <c r="ADQ46" s="1034"/>
      <c r="ADR46" s="1034" t="s">
        <v>400</v>
      </c>
      <c r="ADS46" s="1034"/>
      <c r="ADT46" s="1034" t="s">
        <v>400</v>
      </c>
      <c r="ADU46" s="1034"/>
      <c r="ADV46" s="1034" t="s">
        <v>400</v>
      </c>
      <c r="ADW46" s="1034"/>
      <c r="ADX46" s="1049"/>
      <c r="ADY46" s="1049"/>
      <c r="ADZ46" s="1049"/>
      <c r="AEA46" s="1049"/>
      <c r="AEB46" s="1049"/>
      <c r="AEC46" s="1049"/>
      <c r="AED46" s="1049"/>
      <c r="AEE46" s="1049"/>
      <c r="AEF46" s="1049"/>
      <c r="AEG46" s="172"/>
      <c r="AEH46" s="172"/>
      <c r="AEI46" s="172"/>
      <c r="AEJ46" s="172"/>
      <c r="AEK46" s="177"/>
      <c r="AEP46" s="947"/>
      <c r="AEQ46" s="947"/>
      <c r="AER46" s="947"/>
      <c r="AES46" s="947"/>
      <c r="AET46" s="656">
        <v>2</v>
      </c>
      <c r="AEU46" s="956"/>
      <c r="AEV46" s="957"/>
      <c r="AEW46" s="958">
        <f t="shared" ref="AEW46:AEW104" si="35">(9.5/300*AET46)</f>
        <v>6.3333333333333339E-2</v>
      </c>
      <c r="AEX46" s="959"/>
      <c r="AEZ46" s="947"/>
      <c r="AFA46" s="947"/>
      <c r="AFB46" s="947"/>
      <c r="AFC46" s="947"/>
      <c r="AFD46" s="657">
        <v>62</v>
      </c>
      <c r="AFE46" s="956"/>
      <c r="AFF46" s="957"/>
      <c r="AFG46" s="958">
        <f t="shared" ref="AFG46:AFG104" si="36">(9.5/300*AFD46)</f>
        <v>1.9633333333333336</v>
      </c>
      <c r="AFH46" s="959"/>
      <c r="AFJ46" s="947"/>
      <c r="AFK46" s="947"/>
      <c r="AFL46" s="947"/>
      <c r="AFM46" s="947"/>
      <c r="AFN46" s="657">
        <v>122</v>
      </c>
      <c r="AFO46" s="956"/>
      <c r="AFP46" s="957"/>
      <c r="AFQ46" s="958">
        <f t="shared" ref="AFQ46:AFQ104" si="37">(9.5/300*AFN46)</f>
        <v>3.8633333333333337</v>
      </c>
      <c r="AFR46" s="959"/>
      <c r="AFT46" s="947"/>
      <c r="AFU46" s="947"/>
      <c r="AFV46" s="947"/>
      <c r="AFW46" s="947"/>
      <c r="AFX46" s="657">
        <v>182</v>
      </c>
      <c r="AFY46" s="956"/>
      <c r="AFZ46" s="957"/>
      <c r="AGA46" s="958"/>
      <c r="AGB46" s="959"/>
      <c r="AGD46" s="947"/>
      <c r="AGE46" s="947"/>
      <c r="AGF46" s="947"/>
      <c r="AGG46" s="947"/>
      <c r="AGH46" s="657">
        <v>242</v>
      </c>
      <c r="AGI46" s="956"/>
      <c r="AGJ46" s="957"/>
      <c r="AGK46" s="958"/>
      <c r="AGL46" s="959"/>
      <c r="AHO46" s="144"/>
      <c r="AIM46" s="827"/>
      <c r="AIN46" s="818"/>
      <c r="AIO46" s="818"/>
      <c r="AIP46" s="818"/>
      <c r="AIQ46" s="818"/>
      <c r="AIR46" s="818"/>
      <c r="AIS46" s="818"/>
      <c r="AIT46" s="818"/>
      <c r="AIU46" s="818"/>
      <c r="AIV46" s="818"/>
      <c r="AIW46" s="818"/>
      <c r="AIX46" s="818"/>
      <c r="AIY46" s="818"/>
      <c r="AIZ46" s="818"/>
      <c r="AJA46" s="754"/>
      <c r="AJB46" s="755"/>
      <c r="AJC46" s="706"/>
      <c r="AJD46" s="708"/>
      <c r="AJE46" s="715"/>
      <c r="AJF46" s="718"/>
      <c r="AJG46" s="719"/>
      <c r="AJH46" s="747"/>
    </row>
    <row r="47" spans="3:1022 1034:1055" ht="48" customHeight="1" thickBot="1">
      <c r="C47" s="133"/>
      <c r="D47" s="700" t="s">
        <v>1072</v>
      </c>
      <c r="E47" s="701"/>
      <c r="F47" s="701"/>
      <c r="G47" s="701"/>
      <c r="H47" s="701"/>
      <c r="I47" s="701"/>
      <c r="J47" s="701"/>
      <c r="K47" s="701"/>
      <c r="L47" s="701"/>
      <c r="M47" s="701"/>
      <c r="N47" s="701"/>
      <c r="O47" s="701"/>
      <c r="P47" s="702"/>
      <c r="Q47" s="1232" t="str">
        <f>O45</f>
        <v>IP44</v>
      </c>
      <c r="R47" s="1233"/>
      <c r="W47" s="1000" t="s">
        <v>1068</v>
      </c>
      <c r="X47" s="1001"/>
      <c r="Y47" s="1001"/>
      <c r="Z47" s="1001"/>
      <c r="AA47" s="1001"/>
      <c r="AB47" s="1002"/>
      <c r="AC47" s="1515" t="str">
        <f>$Q$53</f>
        <v>F</v>
      </c>
      <c r="AD47" s="1516"/>
      <c r="AI47" s="798"/>
      <c r="AJ47" s="799"/>
      <c r="AK47" s="800"/>
      <c r="AL47" s="827"/>
      <c r="AM47" s="1491"/>
      <c r="AN47" s="805"/>
      <c r="AO47" s="805"/>
      <c r="AP47" s="805"/>
      <c r="AQ47" s="805"/>
      <c r="AR47" s="805"/>
      <c r="AS47" s="805"/>
      <c r="AT47" s="805"/>
      <c r="AU47" s="805"/>
      <c r="AV47" s="805"/>
      <c r="AW47" s="805"/>
      <c r="AX47" s="805"/>
      <c r="AY47" s="805"/>
      <c r="AZ47" s="810"/>
      <c r="BA47" s="811"/>
      <c r="BB47" s="761"/>
      <c r="BC47" s="762"/>
      <c r="BD47" s="713"/>
      <c r="BE47" s="1299"/>
      <c r="BF47" s="1300"/>
      <c r="BG47" s="747"/>
      <c r="BL47" s="144"/>
      <c r="BM47" s="144"/>
      <c r="BN47" s="144"/>
      <c r="BO47" s="6"/>
      <c r="BQ47" s="144"/>
      <c r="BR47" s="144"/>
      <c r="BS47" s="144"/>
      <c r="BX47" s="825"/>
      <c r="BY47" s="665" t="s">
        <v>24</v>
      </c>
      <c r="BZ47" s="666"/>
      <c r="CA47" s="137"/>
      <c r="CB47" s="87"/>
      <c r="CC47" s="87"/>
      <c r="CD47" s="87"/>
      <c r="CE47" s="87"/>
      <c r="CF47" s="87"/>
      <c r="CG47" s="87"/>
      <c r="CH47" s="137"/>
      <c r="CI47" s="85" t="s">
        <v>467</v>
      </c>
      <c r="CJ47" s="757" t="s">
        <v>461</v>
      </c>
      <c r="CK47" s="758"/>
      <c r="CL47" s="819" t="s">
        <v>126</v>
      </c>
      <c r="CM47" s="820"/>
      <c r="CN47" s="675" t="s">
        <v>731</v>
      </c>
      <c r="CO47" s="676"/>
      <c r="CP47" s="821" t="s">
        <v>473</v>
      </c>
      <c r="CQ47" s="822"/>
      <c r="CR47" s="822"/>
      <c r="CS47" s="822"/>
      <c r="CT47" s="822"/>
      <c r="CU47" s="823"/>
      <c r="CV47" s="769" t="s">
        <v>462</v>
      </c>
      <c r="CW47" s="769"/>
      <c r="CX47" s="769"/>
      <c r="CY47" s="769"/>
      <c r="DJ47" s="144"/>
      <c r="DK47" s="144"/>
      <c r="DL47" s="144"/>
      <c r="DM47" s="144"/>
      <c r="DN47" s="144"/>
      <c r="DO47" s="144"/>
      <c r="DP47" s="144"/>
      <c r="DQ47" s="144"/>
      <c r="DR47" s="144"/>
      <c r="DS47" s="144"/>
      <c r="DT47" s="144"/>
      <c r="DU47" s="144"/>
      <c r="DV47" s="144"/>
      <c r="DW47" s="144"/>
      <c r="DX47" s="144"/>
      <c r="EZ47" s="60"/>
      <c r="FA47" s="144"/>
      <c r="FB47" s="144"/>
      <c r="FC47" s="144"/>
      <c r="GF47" s="767"/>
      <c r="GG47" s="665" t="s">
        <v>442</v>
      </c>
      <c r="GH47" s="667"/>
      <c r="GI47" s="254"/>
      <c r="GJ47" s="268" t="s">
        <v>1181</v>
      </c>
      <c r="GK47" s="677">
        <f>$GT$52</f>
        <v>10.269827586206896</v>
      </c>
      <c r="GL47" s="677"/>
      <c r="GM47" s="87"/>
      <c r="GN47" s="87"/>
      <c r="GO47" s="87"/>
      <c r="GP47" s="150"/>
      <c r="GQ47" s="85" t="s">
        <v>467</v>
      </c>
      <c r="GR47" s="757" t="s">
        <v>461</v>
      </c>
      <c r="GS47" s="758"/>
      <c r="GT47" s="819" t="s">
        <v>126</v>
      </c>
      <c r="GU47" s="820"/>
      <c r="GV47" s="675" t="s">
        <v>731</v>
      </c>
      <c r="GW47" s="676"/>
      <c r="GX47" s="821" t="s">
        <v>473</v>
      </c>
      <c r="GY47" s="822"/>
      <c r="GZ47" s="822"/>
      <c r="HA47" s="823"/>
      <c r="HB47" s="769" t="s">
        <v>462</v>
      </c>
      <c r="HC47" s="769"/>
      <c r="HD47" s="769"/>
      <c r="HE47" s="769"/>
      <c r="HF47" s="769"/>
      <c r="HK47" s="144"/>
      <c r="HL47" s="144"/>
      <c r="HM47" s="144"/>
      <c r="HN47" s="144"/>
      <c r="HO47" s="144"/>
      <c r="HP47" s="144"/>
      <c r="HQ47" s="144"/>
      <c r="IR47" s="826"/>
      <c r="IS47" s="344" t="s">
        <v>1267</v>
      </c>
      <c r="IT47" s="724">
        <f>$JF$51</f>
        <v>421.51463707577545</v>
      </c>
      <c r="IU47" s="724"/>
      <c r="IV47" s="700" t="s">
        <v>76</v>
      </c>
      <c r="IW47" s="701"/>
      <c r="IX47" s="701"/>
      <c r="IY47" s="701"/>
      <c r="IZ47" s="701"/>
      <c r="JA47" s="701"/>
      <c r="JB47" s="701"/>
      <c r="JC47" s="701"/>
      <c r="JD47" s="701"/>
      <c r="JE47" s="702"/>
      <c r="JF47" s="1170">
        <f>JF51/1000*JI131</f>
        <v>219.18761127940326</v>
      </c>
      <c r="JG47" s="1171"/>
      <c r="JH47" s="1203" t="s">
        <v>35</v>
      </c>
      <c r="JI47" s="1063"/>
      <c r="JJ47" s="714"/>
      <c r="JK47" s="716" t="s">
        <v>1289</v>
      </c>
      <c r="JL47" s="717"/>
      <c r="JM47" s="746"/>
      <c r="JN47" s="890"/>
      <c r="JO47" s="841"/>
      <c r="JP47" s="841"/>
      <c r="JQ47" s="891"/>
      <c r="LZ47" s="795"/>
      <c r="MA47" s="796"/>
      <c r="MB47" s="797"/>
      <c r="MC47" s="826"/>
      <c r="MD47" s="700" t="s">
        <v>1329</v>
      </c>
      <c r="ME47" s="701"/>
      <c r="MF47" s="701"/>
      <c r="MG47" s="701"/>
      <c r="MH47" s="701"/>
      <c r="MI47" s="701"/>
      <c r="MJ47" s="701"/>
      <c r="MK47" s="701"/>
      <c r="ML47" s="701"/>
      <c r="MM47" s="701"/>
      <c r="MN47" s="701"/>
      <c r="MO47" s="701"/>
      <c r="MP47" s="702"/>
      <c r="MQ47" s="974">
        <v>1.2</v>
      </c>
      <c r="MR47" s="975"/>
      <c r="MS47" s="849" t="s">
        <v>762</v>
      </c>
      <c r="MT47" s="850"/>
      <c r="MU47" s="712"/>
      <c r="MV47" s="952" t="s">
        <v>1339</v>
      </c>
      <c r="MW47" s="953"/>
      <c r="MX47" s="746"/>
      <c r="NB47" s="144"/>
      <c r="NC47" s="144"/>
      <c r="ND47" s="144"/>
      <c r="NE47" s="144"/>
      <c r="NF47" s="144"/>
      <c r="NG47" s="144"/>
      <c r="NH47" s="144"/>
      <c r="NI47" s="144"/>
      <c r="QJ47" s="512"/>
      <c r="QK47" s="512"/>
      <c r="QL47" s="512"/>
      <c r="QM47" s="512"/>
      <c r="QN47" s="512"/>
      <c r="RC47" s="369">
        <v>29</v>
      </c>
      <c r="RD47" s="668">
        <v>2.9000000000000001E-2</v>
      </c>
      <c r="RE47" s="669"/>
      <c r="RF47" s="670">
        <f t="shared" si="30"/>
        <v>23.483852746579153</v>
      </c>
      <c r="RG47" s="670"/>
      <c r="RH47" s="670"/>
      <c r="RI47" s="670"/>
      <c r="RJ47" s="698">
        <f t="shared" si="12"/>
        <v>30</v>
      </c>
      <c r="RK47" s="699"/>
      <c r="RL47" s="726"/>
      <c r="RM47" s="670">
        <f t="shared" si="13"/>
        <v>23.672353916795597</v>
      </c>
      <c r="RN47" s="670"/>
      <c r="RO47" s="670"/>
      <c r="RP47" s="670"/>
      <c r="RQ47" s="670"/>
      <c r="RR47" s="670"/>
      <c r="RS47" s="671">
        <f t="shared" si="6"/>
        <v>1.560804663639157</v>
      </c>
      <c r="RT47" s="671"/>
      <c r="RU47" s="671"/>
      <c r="RV47" s="671"/>
      <c r="RW47" s="671"/>
      <c r="RX47" s="671"/>
      <c r="RY47" s="681">
        <f t="shared" si="14"/>
        <v>23.723752889457977</v>
      </c>
      <c r="RZ47" s="681"/>
      <c r="SA47" s="681"/>
      <c r="SB47" s="681"/>
      <c r="SC47" s="681">
        <f>'Вывод расчетов'!$AQ$6/RY47</f>
        <v>16.017701826967645</v>
      </c>
      <c r="SD47" s="681"/>
      <c r="SE47" s="681"/>
      <c r="SF47" s="681"/>
      <c r="SG47" s="867">
        <f t="shared" si="31"/>
        <v>0.9978334383728461</v>
      </c>
      <c r="SH47" s="867"/>
      <c r="SI47" s="867"/>
      <c r="SJ47" s="867"/>
      <c r="SK47" s="865">
        <f t="shared" si="16"/>
        <v>6.5790799242927758E-2</v>
      </c>
      <c r="SL47" s="865"/>
      <c r="SM47" s="865"/>
      <c r="SN47" s="865"/>
      <c r="SO47" s="692">
        <f t="shared" si="26"/>
        <v>16.333320929965396</v>
      </c>
      <c r="SP47" s="693"/>
      <c r="SQ47" s="693"/>
      <c r="SR47" s="693"/>
      <c r="SS47" s="694"/>
      <c r="ST47" s="668">
        <f t="shared" si="24"/>
        <v>12.0358941672271</v>
      </c>
      <c r="SU47" s="678"/>
      <c r="SV47" s="678"/>
      <c r="SW47" s="678"/>
      <c r="SX47" s="678"/>
      <c r="SY47" s="669"/>
      <c r="SZ47" s="682">
        <f t="shared" si="19"/>
        <v>20.288916210727891</v>
      </c>
      <c r="TA47" s="683"/>
      <c r="TB47" s="683"/>
      <c r="TC47" s="683"/>
      <c r="TD47" s="683"/>
      <c r="TE47" s="684"/>
      <c r="TF47" s="682">
        <f>'Вывод расчетов'!$XC$174*SC47</f>
        <v>16.272793631164642</v>
      </c>
      <c r="TG47" s="683"/>
      <c r="TH47" s="684"/>
      <c r="TI47" s="681">
        <f t="shared" si="25"/>
        <v>18.619985860160551</v>
      </c>
      <c r="TJ47" s="681"/>
      <c r="TK47" s="681"/>
      <c r="TL47" s="681"/>
      <c r="TM47" s="685">
        <f t="shared" si="21"/>
        <v>0.22913481988853399</v>
      </c>
      <c r="TN47" s="686"/>
      <c r="TO47" s="686"/>
      <c r="TP47" s="687"/>
      <c r="TQ47" s="688">
        <f t="shared" si="22"/>
        <v>0.52419033714567043</v>
      </c>
      <c r="TR47" s="688"/>
      <c r="TS47" s="688"/>
      <c r="TT47" s="688"/>
      <c r="TU47" s="689">
        <f t="shared" si="27"/>
        <v>6.4998551403006866E-2</v>
      </c>
      <c r="TV47" s="690"/>
      <c r="TW47" s="690"/>
      <c r="TX47" s="690"/>
      <c r="TY47" s="690"/>
      <c r="TZ47" s="691"/>
      <c r="UA47" s="679">
        <v>2.9000000000000001E-2</v>
      </c>
      <c r="UB47" s="680"/>
      <c r="UC47" s="650">
        <v>0.28999999999999998</v>
      </c>
      <c r="UD47" s="866">
        <f t="shared" si="7"/>
        <v>1.6986105242646248</v>
      </c>
      <c r="UE47" s="866"/>
      <c r="UF47" s="866"/>
      <c r="UG47" s="866"/>
      <c r="UH47" s="866"/>
      <c r="UI47" s="866"/>
      <c r="UJ47" s="866"/>
      <c r="UK47" s="681">
        <f t="shared" si="8"/>
        <v>16.921375335895927</v>
      </c>
      <c r="UL47" s="681"/>
      <c r="UM47" s="681"/>
      <c r="UN47" s="681"/>
      <c r="UO47" s="816">
        <f t="shared" si="9"/>
        <v>0.90877487571572313</v>
      </c>
      <c r="UP47" s="816"/>
      <c r="UQ47" s="816"/>
      <c r="UR47" s="816"/>
      <c r="US47" s="866">
        <f t="shared" si="10"/>
        <v>0.80503663972593331</v>
      </c>
      <c r="UT47" s="866"/>
      <c r="UU47" s="866"/>
      <c r="UV47" s="866"/>
      <c r="UW47" s="866"/>
      <c r="VJ47" s="225"/>
      <c r="VK47" s="225"/>
      <c r="VL47" s="225"/>
      <c r="VM47" s="225"/>
      <c r="WC47" s="905"/>
      <c r="WD47" s="900"/>
      <c r="WE47" s="900"/>
      <c r="WF47" s="900"/>
      <c r="WG47" s="900"/>
      <c r="WH47" s="906"/>
      <c r="WI47" s="181"/>
      <c r="WJ47" s="182"/>
      <c r="WK47" s="182"/>
      <c r="WL47" s="182"/>
      <c r="WM47" s="182"/>
      <c r="WN47" s="185"/>
      <c r="WO47" s="880">
        <v>14</v>
      </c>
      <c r="WP47" s="880"/>
      <c r="WQ47" s="1033" t="s">
        <v>416</v>
      </c>
      <c r="WR47" s="1033"/>
      <c r="WS47" s="1034">
        <f>(3*(WS41^2)*'Вывод расчетов'!$XC$166)</f>
        <v>33.988625326707201</v>
      </c>
      <c r="WT47" s="1034"/>
      <c r="WU47" s="1034">
        <f>(3*(WU41^2)*'Вывод расчетов'!$XC$166)</f>
        <v>9.1369562540485809</v>
      </c>
      <c r="WV47" s="1034"/>
      <c r="WW47" s="1034">
        <f>(3*(WW41^2)*'Вывод расчетов'!$XC$166)</f>
        <v>11.262711345081618</v>
      </c>
      <c r="WX47" s="1034"/>
      <c r="WY47" s="1034">
        <f>(3*(WY41^2)*'Вывод расчетов'!$XC$166)</f>
        <v>271.80986011621292</v>
      </c>
      <c r="WZ47" s="1034"/>
      <c r="XA47" s="1034">
        <f>(3*(XA41^2)*'Вывод расчетов'!$XC$166)</f>
        <v>392.7346482822669</v>
      </c>
      <c r="XB47" s="1034"/>
      <c r="XC47" s="1034">
        <f>(3*(XC41^2)*'Вывод расчетов'!$XC$166)</f>
        <v>528.87421322480884</v>
      </c>
      <c r="XD47" s="1034"/>
      <c r="XE47" s="187"/>
      <c r="XF47" s="187"/>
      <c r="XG47" s="187"/>
      <c r="XH47" s="188"/>
      <c r="XI47" s="177"/>
      <c r="AAD47" s="947"/>
      <c r="AAE47" s="947"/>
      <c r="AAF47" s="947"/>
      <c r="AAG47" s="947"/>
      <c r="AAH47" s="465">
        <v>37</v>
      </c>
      <c r="AAI47" s="956"/>
      <c r="AAJ47" s="957"/>
      <c r="AAK47" s="956"/>
      <c r="AAL47" s="957"/>
      <c r="AAM47" s="958">
        <f t="shared" si="29"/>
        <v>0.49333333333333335</v>
      </c>
      <c r="AAN47" s="959"/>
      <c r="AAP47" s="947"/>
      <c r="AAQ47" s="947"/>
      <c r="AAR47" s="947"/>
      <c r="AAS47" s="947"/>
      <c r="AAT47" s="465">
        <v>97</v>
      </c>
      <c r="AAU47" s="956"/>
      <c r="AAV47" s="957"/>
      <c r="AAW47" s="956"/>
      <c r="AAX47" s="957"/>
      <c r="AAY47" s="958">
        <f t="shared" si="1"/>
        <v>1.2933333333333334</v>
      </c>
      <c r="AAZ47" s="959"/>
      <c r="ABB47" s="947"/>
      <c r="ABC47" s="947"/>
      <c r="ABD47" s="947"/>
      <c r="ABE47" s="947"/>
      <c r="ABF47" s="465">
        <v>157</v>
      </c>
      <c r="ABG47" s="956"/>
      <c r="ABH47" s="957"/>
      <c r="ABI47" s="956"/>
      <c r="ABJ47" s="957"/>
      <c r="ABK47" s="958">
        <f t="shared" si="2"/>
        <v>2.0933333333333333</v>
      </c>
      <c r="ABL47" s="959"/>
      <c r="ABN47" s="947"/>
      <c r="ABO47" s="947"/>
      <c r="ABP47" s="947"/>
      <c r="ABQ47" s="947"/>
      <c r="ABR47" s="465">
        <v>217</v>
      </c>
      <c r="ABS47" s="956"/>
      <c r="ABT47" s="957"/>
      <c r="ABU47" s="956"/>
      <c r="ABV47" s="957"/>
      <c r="ABW47" s="958">
        <f t="shared" si="3"/>
        <v>2.8933333333333335</v>
      </c>
      <c r="ABX47" s="959"/>
      <c r="ABZ47" s="947"/>
      <c r="ACA47" s="947"/>
      <c r="ACB47" s="947"/>
      <c r="ACC47" s="947"/>
      <c r="ACD47" s="465">
        <v>277</v>
      </c>
      <c r="ACE47" s="956"/>
      <c r="ACF47" s="957"/>
      <c r="ACG47" s="956"/>
      <c r="ACH47" s="957"/>
      <c r="ACI47" s="958">
        <f t="shared" si="4"/>
        <v>3.6933333333333334</v>
      </c>
      <c r="ACJ47" s="959"/>
      <c r="ADB47" s="1033"/>
      <c r="ADC47" s="1033"/>
      <c r="ADD47" s="184"/>
      <c r="ADE47" s="184"/>
      <c r="ADF47" s="184"/>
      <c r="ADG47" s="184"/>
      <c r="ADH47" s="184"/>
      <c r="ADI47" s="186"/>
      <c r="ADJ47" s="1070"/>
      <c r="ADK47" s="1070"/>
      <c r="ADL47" s="1034"/>
      <c r="ADM47" s="1034"/>
      <c r="ADN47" s="1034"/>
      <c r="ADO47" s="1034"/>
      <c r="ADP47" s="1034"/>
      <c r="ADQ47" s="1034"/>
      <c r="ADR47" s="1034"/>
      <c r="ADS47" s="1034"/>
      <c r="ADT47" s="1034"/>
      <c r="ADU47" s="1034"/>
      <c r="ADV47" s="1034"/>
      <c r="ADW47" s="1034"/>
      <c r="ADX47" s="1049"/>
      <c r="ADY47" s="1049"/>
      <c r="ADZ47" s="1049"/>
      <c r="AEA47" s="1049"/>
      <c r="AEB47" s="1049"/>
      <c r="AEC47" s="1049"/>
      <c r="AED47" s="1049"/>
      <c r="AEE47" s="1049"/>
      <c r="AEF47" s="1049"/>
      <c r="AEG47" s="172"/>
      <c r="AEH47" s="172"/>
      <c r="AEI47" s="172"/>
      <c r="AEJ47" s="172"/>
      <c r="AEK47" s="177"/>
      <c r="AEP47" s="947"/>
      <c r="AEQ47" s="947"/>
      <c r="AER47" s="947"/>
      <c r="AES47" s="947"/>
      <c r="AET47" s="656">
        <v>3</v>
      </c>
      <c r="AEU47" s="956"/>
      <c r="AEV47" s="957"/>
      <c r="AEW47" s="958">
        <f t="shared" si="35"/>
        <v>9.5000000000000001E-2</v>
      </c>
      <c r="AEX47" s="959"/>
      <c r="AEZ47" s="947"/>
      <c r="AFA47" s="947"/>
      <c r="AFB47" s="947"/>
      <c r="AFC47" s="947"/>
      <c r="AFD47" s="657">
        <v>63</v>
      </c>
      <c r="AFE47" s="956"/>
      <c r="AFF47" s="957"/>
      <c r="AFG47" s="958">
        <f t="shared" si="36"/>
        <v>1.9950000000000001</v>
      </c>
      <c r="AFH47" s="959"/>
      <c r="AFJ47" s="947"/>
      <c r="AFK47" s="947"/>
      <c r="AFL47" s="947"/>
      <c r="AFM47" s="947"/>
      <c r="AFN47" s="657">
        <v>123</v>
      </c>
      <c r="AFO47" s="956"/>
      <c r="AFP47" s="957"/>
      <c r="AFQ47" s="958">
        <f t="shared" si="37"/>
        <v>3.8950000000000005</v>
      </c>
      <c r="AFR47" s="959"/>
      <c r="AFT47" s="947"/>
      <c r="AFU47" s="947"/>
      <c r="AFV47" s="947"/>
      <c r="AFW47" s="947"/>
      <c r="AFX47" s="657">
        <v>183</v>
      </c>
      <c r="AFY47" s="956"/>
      <c r="AFZ47" s="957"/>
      <c r="AGA47" s="958"/>
      <c r="AGB47" s="959"/>
      <c r="AGD47" s="947"/>
      <c r="AGE47" s="947"/>
      <c r="AGF47" s="947"/>
      <c r="AGG47" s="947"/>
      <c r="AGH47" s="657">
        <v>243</v>
      </c>
      <c r="AGI47" s="956"/>
      <c r="AGJ47" s="957"/>
      <c r="AGK47" s="958"/>
      <c r="AGL47" s="959"/>
      <c r="AHO47" s="144"/>
    </row>
    <row r="48" spans="3:1022 1034:1055" ht="48" customHeight="1" thickBot="1">
      <c r="C48" s="134"/>
      <c r="D48" s="706"/>
      <c r="E48" s="707"/>
      <c r="F48" s="707"/>
      <c r="G48" s="707"/>
      <c r="H48" s="707"/>
      <c r="I48" s="707"/>
      <c r="J48" s="707"/>
      <c r="K48" s="707"/>
      <c r="L48" s="707"/>
      <c r="M48" s="707"/>
      <c r="N48" s="707"/>
      <c r="O48" s="707"/>
      <c r="P48" s="708"/>
      <c r="Q48" s="1234"/>
      <c r="R48" s="1235"/>
      <c r="BO48" s="6"/>
      <c r="BQ48" s="144"/>
      <c r="BR48" s="144"/>
      <c r="BS48" s="144"/>
      <c r="BX48" s="826"/>
      <c r="BY48" s="731" t="s">
        <v>30</v>
      </c>
      <c r="BZ48" s="732"/>
      <c r="CA48" s="732"/>
      <c r="CB48" s="732"/>
      <c r="CC48" s="732"/>
      <c r="CD48" s="732"/>
      <c r="CE48" s="732"/>
      <c r="CF48" s="732"/>
      <c r="CG48" s="732"/>
      <c r="CH48" s="732"/>
      <c r="CI48" s="732"/>
      <c r="CJ48" s="732"/>
      <c r="CK48" s="732"/>
      <c r="CL48" s="1087">
        <f>(3.14*AW34*AZ62)/(CL52*CO28)</f>
        <v>18.984919506545456</v>
      </c>
      <c r="CM48" s="1006"/>
      <c r="CN48" s="849" t="s">
        <v>758</v>
      </c>
      <c r="CO48" s="850"/>
      <c r="CP48" s="714"/>
      <c r="CQ48" s="716" t="s">
        <v>775</v>
      </c>
      <c r="CR48" s="1027"/>
      <c r="CS48" s="1027"/>
      <c r="CT48" s="717"/>
      <c r="CU48" s="746"/>
      <c r="CV48" s="767"/>
      <c r="CW48" s="767"/>
      <c r="CX48" s="767"/>
      <c r="CY48" s="767"/>
      <c r="DJ48" s="144"/>
      <c r="DK48" s="144"/>
      <c r="DL48" s="144"/>
      <c r="DM48" s="144"/>
      <c r="DN48" s="144"/>
      <c r="DO48" s="144"/>
      <c r="DP48" s="144"/>
      <c r="DQ48" s="144"/>
      <c r="DR48" s="144"/>
      <c r="DS48" s="144"/>
      <c r="DT48" s="144"/>
      <c r="DU48" s="144"/>
      <c r="DV48" s="144"/>
      <c r="DW48" s="144"/>
      <c r="DX48" s="144"/>
      <c r="DZ48" s="85" t="s">
        <v>839</v>
      </c>
      <c r="EA48" s="665" t="s">
        <v>442</v>
      </c>
      <c r="EB48" s="666"/>
      <c r="EC48" s="152"/>
      <c r="ED48" s="87"/>
      <c r="EE48" s="87"/>
      <c r="EF48" s="87"/>
      <c r="EG48" s="87"/>
      <c r="EH48" s="87"/>
      <c r="EI48" s="87"/>
      <c r="EJ48" s="152"/>
      <c r="EK48" s="85" t="s">
        <v>467</v>
      </c>
      <c r="EL48" s="757" t="s">
        <v>461</v>
      </c>
      <c r="EM48" s="758"/>
      <c r="EN48" s="819" t="s">
        <v>126</v>
      </c>
      <c r="EO48" s="820"/>
      <c r="EP48" s="675" t="s">
        <v>731</v>
      </c>
      <c r="EQ48" s="676"/>
      <c r="ER48" s="769" t="s">
        <v>473</v>
      </c>
      <c r="ES48" s="769"/>
      <c r="ET48" s="769"/>
      <c r="EU48" s="769"/>
      <c r="EV48" s="821"/>
      <c r="EW48" s="769" t="s">
        <v>462</v>
      </c>
      <c r="EX48" s="769"/>
      <c r="EY48" s="769"/>
      <c r="EZ48" s="769"/>
      <c r="FA48" s="769"/>
      <c r="FB48" s="769"/>
      <c r="FC48" s="769"/>
      <c r="FD48" s="769"/>
      <c r="GF48" s="767"/>
      <c r="GG48" s="257" t="s">
        <v>1189</v>
      </c>
      <c r="GH48" s="677">
        <f>$CL$52</f>
        <v>32.488628979857047</v>
      </c>
      <c r="GI48" s="677"/>
      <c r="GJ48" s="1200"/>
      <c r="GK48" s="1201"/>
      <c r="GL48" s="1202"/>
      <c r="GM48" s="939" t="s">
        <v>59</v>
      </c>
      <c r="GN48" s="940"/>
      <c r="GO48" s="940"/>
      <c r="GP48" s="940"/>
      <c r="GQ48" s="940"/>
      <c r="GR48" s="940"/>
      <c r="GS48" s="1003"/>
      <c r="GT48" s="1087">
        <f>GH49*GH48*GK47</f>
        <v>300.28735632183907</v>
      </c>
      <c r="GU48" s="1006"/>
      <c r="GV48" s="1203" t="s">
        <v>35</v>
      </c>
      <c r="GW48" s="1063"/>
      <c r="GX48" s="714"/>
      <c r="GY48" s="716" t="s">
        <v>1093</v>
      </c>
      <c r="GZ48" s="717"/>
      <c r="HA48" s="746"/>
      <c r="HB48" s="767"/>
      <c r="HC48" s="767"/>
      <c r="HD48" s="767"/>
      <c r="HE48" s="767"/>
      <c r="HF48" s="767"/>
      <c r="HK48" s="144"/>
      <c r="HL48" s="144"/>
      <c r="HM48" s="144"/>
      <c r="HN48" s="144"/>
      <c r="HO48" s="144"/>
      <c r="HP48" s="144"/>
      <c r="HQ48" s="144"/>
      <c r="IR48" s="827"/>
      <c r="IS48" s="346" t="s">
        <v>1268</v>
      </c>
      <c r="IT48" s="738">
        <f>$JI$131</f>
        <v>520</v>
      </c>
      <c r="IU48" s="738"/>
      <c r="IV48" s="706"/>
      <c r="IW48" s="707"/>
      <c r="IX48" s="707"/>
      <c r="IY48" s="707"/>
      <c r="IZ48" s="707"/>
      <c r="JA48" s="707"/>
      <c r="JB48" s="707"/>
      <c r="JC48" s="707"/>
      <c r="JD48" s="707"/>
      <c r="JE48" s="708"/>
      <c r="JF48" s="1172"/>
      <c r="JG48" s="1173"/>
      <c r="JH48" s="1204"/>
      <c r="JI48" s="1065"/>
      <c r="JJ48" s="715"/>
      <c r="JK48" s="718"/>
      <c r="JL48" s="719"/>
      <c r="JM48" s="747"/>
      <c r="JN48" s="892"/>
      <c r="JO48" s="893"/>
      <c r="JP48" s="893"/>
      <c r="JQ48" s="894"/>
      <c r="LZ48" s="798"/>
      <c r="MA48" s="799"/>
      <c r="MB48" s="800"/>
      <c r="MC48" s="827"/>
      <c r="MD48" s="706"/>
      <c r="ME48" s="707"/>
      <c r="MF48" s="707"/>
      <c r="MG48" s="707"/>
      <c r="MH48" s="707"/>
      <c r="MI48" s="707"/>
      <c r="MJ48" s="707"/>
      <c r="MK48" s="707"/>
      <c r="ML48" s="707"/>
      <c r="MM48" s="707"/>
      <c r="MN48" s="707"/>
      <c r="MO48" s="707"/>
      <c r="MP48" s="708"/>
      <c r="MQ48" s="976"/>
      <c r="MR48" s="977"/>
      <c r="MS48" s="851"/>
      <c r="MT48" s="852"/>
      <c r="MU48" s="713"/>
      <c r="MV48" s="954"/>
      <c r="MW48" s="955"/>
      <c r="MX48" s="747"/>
      <c r="NB48" s="144"/>
      <c r="NC48" s="144"/>
      <c r="ND48" s="144"/>
      <c r="NE48" s="144"/>
      <c r="NF48" s="144"/>
      <c r="NG48" s="144"/>
      <c r="NH48" s="144"/>
      <c r="NI48" s="144"/>
      <c r="PJ48" s="825"/>
      <c r="PK48" s="665" t="s">
        <v>442</v>
      </c>
      <c r="PL48" s="666"/>
      <c r="PM48" s="504"/>
      <c r="PN48" s="547" t="s">
        <v>1749</v>
      </c>
      <c r="PO48" s="677">
        <f>$AZ$86</f>
        <v>0.13</v>
      </c>
      <c r="PP48" s="677"/>
      <c r="PQ48" s="518" t="s">
        <v>1224</v>
      </c>
      <c r="PR48" s="1074">
        <f>$CO$28</f>
        <v>33</v>
      </c>
      <c r="PS48" s="1074"/>
      <c r="PT48" s="504"/>
      <c r="PU48" s="85" t="s">
        <v>467</v>
      </c>
      <c r="PV48" s="757" t="s">
        <v>461</v>
      </c>
      <c r="PW48" s="758"/>
      <c r="PX48" s="819" t="s">
        <v>126</v>
      </c>
      <c r="PY48" s="820"/>
      <c r="PZ48" s="675" t="s">
        <v>731</v>
      </c>
      <c r="QA48" s="1094"/>
      <c r="QB48" s="769" t="s">
        <v>473</v>
      </c>
      <c r="QC48" s="769"/>
      <c r="QD48" s="769"/>
      <c r="QE48" s="769"/>
      <c r="QF48" s="769"/>
      <c r="QG48" s="769" t="s">
        <v>462</v>
      </c>
      <c r="QH48" s="769"/>
      <c r="QI48" s="769"/>
      <c r="QJ48" s="769"/>
      <c r="QK48" s="769"/>
      <c r="QL48" s="769"/>
      <c r="QM48" s="769"/>
      <c r="QN48" s="769"/>
      <c r="QO48" s="769"/>
      <c r="QP48" s="769"/>
      <c r="QQ48" s="769"/>
      <c r="QR48" s="769"/>
      <c r="RC48" s="369">
        <v>30</v>
      </c>
      <c r="RD48" s="668">
        <v>0.03</v>
      </c>
      <c r="RE48" s="669"/>
      <c r="RF48" s="670">
        <f t="shared" si="30"/>
        <v>22.701057655026517</v>
      </c>
      <c r="RG48" s="670"/>
      <c r="RH48" s="670"/>
      <c r="RI48" s="670"/>
      <c r="RJ48" s="698">
        <f t="shared" si="12"/>
        <v>30</v>
      </c>
      <c r="RK48" s="699"/>
      <c r="RL48" s="726"/>
      <c r="RM48" s="670">
        <f t="shared" si="13"/>
        <v>22.889558825242961</v>
      </c>
      <c r="RN48" s="670"/>
      <c r="RO48" s="670"/>
      <c r="RP48" s="670"/>
      <c r="RQ48" s="670"/>
      <c r="RR48" s="670"/>
      <c r="RS48" s="671">
        <f t="shared" si="6"/>
        <v>1.560804663639157</v>
      </c>
      <c r="RT48" s="671"/>
      <c r="RU48" s="671"/>
      <c r="RV48" s="671"/>
      <c r="RW48" s="671"/>
      <c r="RX48" s="671"/>
      <c r="RY48" s="681">
        <f t="shared" si="14"/>
        <v>22.942711574970726</v>
      </c>
      <c r="RZ48" s="681"/>
      <c r="SA48" s="681"/>
      <c r="SB48" s="681"/>
      <c r="SC48" s="681">
        <f>'Вывод расчетов'!$AQ$6/RY48</f>
        <v>16.562994254548347</v>
      </c>
      <c r="SD48" s="681"/>
      <c r="SE48" s="681"/>
      <c r="SF48" s="681"/>
      <c r="SG48" s="867">
        <f t="shared" si="31"/>
        <v>0.99768324029380417</v>
      </c>
      <c r="SH48" s="867"/>
      <c r="SI48" s="867"/>
      <c r="SJ48" s="867"/>
      <c r="SK48" s="865">
        <f t="shared" si="16"/>
        <v>6.8030522832441112E-2</v>
      </c>
      <c r="SL48" s="865"/>
      <c r="SM48" s="865"/>
      <c r="SN48" s="865"/>
      <c r="SO48" s="692">
        <f t="shared" si="26"/>
        <v>16.874944217976708</v>
      </c>
      <c r="SP48" s="693"/>
      <c r="SQ48" s="693"/>
      <c r="SR48" s="693"/>
      <c r="SS48" s="694"/>
      <c r="ST48" s="668">
        <f t="shared" si="24"/>
        <v>12.108865920803638</v>
      </c>
      <c r="SU48" s="678"/>
      <c r="SV48" s="678"/>
      <c r="SW48" s="678"/>
      <c r="SX48" s="678"/>
      <c r="SY48" s="669"/>
      <c r="SZ48" s="682">
        <f t="shared" si="19"/>
        <v>20.76989109860293</v>
      </c>
      <c r="TA48" s="683"/>
      <c r="TB48" s="683"/>
      <c r="TC48" s="683"/>
      <c r="TD48" s="683"/>
      <c r="TE48" s="684"/>
      <c r="TF48" s="682">
        <f>'Вывод расчетов'!$XC$174*SC48</f>
        <v>16.82677017776998</v>
      </c>
      <c r="TG48" s="683"/>
      <c r="TH48" s="684"/>
      <c r="TI48" s="681">
        <f t="shared" si="25"/>
        <v>19.237436408493444</v>
      </c>
      <c r="TJ48" s="681"/>
      <c r="TK48" s="681"/>
      <c r="TL48" s="681"/>
      <c r="TM48" s="685">
        <f t="shared" si="21"/>
        <v>0.24012746292076553</v>
      </c>
      <c r="TN48" s="686"/>
      <c r="TO48" s="686"/>
      <c r="TP48" s="687"/>
      <c r="TQ48" s="688">
        <f t="shared" si="22"/>
        <v>0.56048798028528724</v>
      </c>
      <c r="TR48" s="688"/>
      <c r="TS48" s="688"/>
      <c r="TT48" s="688"/>
      <c r="TU48" s="689">
        <f t="shared" si="27"/>
        <v>6.811682855325836E-2</v>
      </c>
      <c r="TV48" s="690"/>
      <c r="TW48" s="690"/>
      <c r="TX48" s="690"/>
      <c r="TY48" s="690"/>
      <c r="TZ48" s="691"/>
      <c r="UA48" s="756">
        <v>0.03</v>
      </c>
      <c r="UB48" s="756"/>
      <c r="UC48" s="650">
        <v>0.3</v>
      </c>
      <c r="UD48" s="866">
        <f t="shared" si="7"/>
        <v>1.7490190875867244</v>
      </c>
      <c r="UE48" s="866"/>
      <c r="UF48" s="866"/>
      <c r="UG48" s="866"/>
      <c r="UH48" s="866"/>
      <c r="UI48" s="866"/>
      <c r="UJ48" s="866"/>
      <c r="UK48" s="681">
        <f t="shared" si="8"/>
        <v>17.48841732090672</v>
      </c>
      <c r="UL48" s="681"/>
      <c r="UM48" s="681"/>
      <c r="UN48" s="681"/>
      <c r="UO48" s="816">
        <f t="shared" si="9"/>
        <v>0.90908252791860966</v>
      </c>
      <c r="UP48" s="816"/>
      <c r="UQ48" s="816"/>
      <c r="UR48" s="816"/>
      <c r="US48" s="866">
        <f t="shared" si="10"/>
        <v>0.81247148277593939</v>
      </c>
      <c r="UT48" s="866"/>
      <c r="UU48" s="866"/>
      <c r="UV48" s="866"/>
      <c r="UW48" s="866"/>
      <c r="VJ48" s="225"/>
      <c r="VK48" s="225"/>
      <c r="VL48" s="225"/>
      <c r="VM48" s="225"/>
      <c r="WC48" s="905"/>
      <c r="WD48" s="900"/>
      <c r="WE48" s="900"/>
      <c r="WF48" s="900"/>
      <c r="WG48" s="900"/>
      <c r="WH48" s="906"/>
      <c r="WI48" s="183"/>
      <c r="WJ48" s="184"/>
      <c r="WK48" s="184"/>
      <c r="WL48" s="184"/>
      <c r="WM48" s="184"/>
      <c r="WN48" s="186"/>
      <c r="WO48" s="880"/>
      <c r="WP48" s="880"/>
      <c r="WQ48" s="1033"/>
      <c r="WR48" s="1033"/>
      <c r="WS48" s="1034"/>
      <c r="WT48" s="1034"/>
      <c r="WU48" s="1034"/>
      <c r="WV48" s="1034"/>
      <c r="WW48" s="1034"/>
      <c r="WX48" s="1034"/>
      <c r="WY48" s="1034"/>
      <c r="WZ48" s="1034"/>
      <c r="XA48" s="1034"/>
      <c r="XB48" s="1034"/>
      <c r="XC48" s="1034"/>
      <c r="XD48" s="1034"/>
      <c r="XE48" s="187"/>
      <c r="XF48" s="187"/>
      <c r="XG48" s="187"/>
      <c r="XH48" s="188"/>
      <c r="XI48" s="177"/>
      <c r="XQ48" s="216"/>
      <c r="XR48" s="665" t="s">
        <v>926</v>
      </c>
      <c r="XS48" s="667"/>
      <c r="XT48" s="216"/>
      <c r="XU48" s="685" t="s">
        <v>144</v>
      </c>
      <c r="XV48" s="686"/>
      <c r="XW48" s="686"/>
      <c r="XX48" s="686"/>
      <c r="XY48" s="686"/>
      <c r="XZ48" s="686"/>
      <c r="YA48" s="686"/>
      <c r="YB48" s="686"/>
      <c r="YC48" s="686"/>
      <c r="YD48" s="686"/>
      <c r="YE48" s="687"/>
      <c r="YF48" s="216"/>
      <c r="ZJ48" s="144"/>
      <c r="ZL48" s="144"/>
      <c r="ZM48" s="144"/>
      <c r="ZN48" s="144"/>
      <c r="ZO48" s="144"/>
      <c r="ZP48" s="144"/>
      <c r="ZQ48" s="144"/>
      <c r="ZR48" s="144"/>
      <c r="ZS48" s="144"/>
      <c r="ZT48" s="144"/>
      <c r="ZU48" s="144"/>
      <c r="ZV48" s="144"/>
      <c r="ZW48" s="144"/>
      <c r="ZX48" s="144"/>
      <c r="ZY48" s="144"/>
      <c r="AAD48" s="947"/>
      <c r="AAE48" s="947"/>
      <c r="AAF48" s="947"/>
      <c r="AAG48" s="947"/>
      <c r="AAH48" s="465">
        <v>38</v>
      </c>
      <c r="AAI48" s="956"/>
      <c r="AAJ48" s="957"/>
      <c r="AAK48" s="956"/>
      <c r="AAL48" s="957"/>
      <c r="AAM48" s="958">
        <f t="shared" si="29"/>
        <v>0.50666666666666671</v>
      </c>
      <c r="AAN48" s="959"/>
      <c r="AAP48" s="947"/>
      <c r="AAQ48" s="947"/>
      <c r="AAR48" s="947"/>
      <c r="AAS48" s="947"/>
      <c r="AAT48" s="465">
        <v>98</v>
      </c>
      <c r="AAU48" s="956"/>
      <c r="AAV48" s="957"/>
      <c r="AAW48" s="956"/>
      <c r="AAX48" s="957"/>
      <c r="AAY48" s="958">
        <f t="shared" si="1"/>
        <v>1.3066666666666666</v>
      </c>
      <c r="AAZ48" s="959"/>
      <c r="ABB48" s="947"/>
      <c r="ABC48" s="947"/>
      <c r="ABD48" s="947"/>
      <c r="ABE48" s="947"/>
      <c r="ABF48" s="465">
        <v>158</v>
      </c>
      <c r="ABG48" s="956"/>
      <c r="ABH48" s="957"/>
      <c r="ABI48" s="956"/>
      <c r="ABJ48" s="957"/>
      <c r="ABK48" s="958">
        <f t="shared" si="2"/>
        <v>2.1066666666666669</v>
      </c>
      <c r="ABL48" s="959"/>
      <c r="ABN48" s="947"/>
      <c r="ABO48" s="947"/>
      <c r="ABP48" s="947"/>
      <c r="ABQ48" s="947"/>
      <c r="ABR48" s="465">
        <v>218</v>
      </c>
      <c r="ABS48" s="956"/>
      <c r="ABT48" s="957"/>
      <c r="ABU48" s="956"/>
      <c r="ABV48" s="957"/>
      <c r="ABW48" s="958">
        <f t="shared" si="3"/>
        <v>2.9066666666666667</v>
      </c>
      <c r="ABX48" s="959"/>
      <c r="ABZ48" s="947"/>
      <c r="ACA48" s="947"/>
      <c r="ACB48" s="947"/>
      <c r="ACC48" s="947"/>
      <c r="ACD48" s="465">
        <v>278</v>
      </c>
      <c r="ACE48" s="956"/>
      <c r="ACF48" s="957"/>
      <c r="ACG48" s="956"/>
      <c r="ACH48" s="957"/>
      <c r="ACI48" s="958">
        <f t="shared" si="4"/>
        <v>3.706666666666667</v>
      </c>
      <c r="ACJ48" s="959"/>
      <c r="ADB48" s="1033">
        <v>10</v>
      </c>
      <c r="ADC48" s="1033"/>
      <c r="ADD48" s="696" t="s">
        <v>1391</v>
      </c>
      <c r="ADE48" s="720"/>
      <c r="ADF48" s="720"/>
      <c r="ADG48" s="697"/>
      <c r="ADH48" s="756">
        <f>$MQ$200</f>
        <v>4.8197321291167521</v>
      </c>
      <c r="ADI48" s="756"/>
      <c r="ADJ48" s="1032" t="s">
        <v>762</v>
      </c>
      <c r="ADK48" s="1032"/>
      <c r="ADL48" s="1032" t="s">
        <v>400</v>
      </c>
      <c r="ADM48" s="1032"/>
      <c r="ADN48" s="1032" t="s">
        <v>400</v>
      </c>
      <c r="ADO48" s="1032"/>
      <c r="ADP48" s="1032" t="s">
        <v>400</v>
      </c>
      <c r="ADQ48" s="1032"/>
      <c r="ADR48" s="1032" t="s">
        <v>400</v>
      </c>
      <c r="ADS48" s="1032"/>
      <c r="ADT48" s="1032" t="s">
        <v>400</v>
      </c>
      <c r="ADU48" s="1032"/>
      <c r="ADV48" s="1032" t="s">
        <v>400</v>
      </c>
      <c r="ADW48" s="1032"/>
      <c r="ADX48" s="857"/>
      <c r="ADY48" s="1015"/>
      <c r="ADZ48" s="1015"/>
      <c r="AEA48" s="1015"/>
      <c r="AEB48" s="1015"/>
      <c r="AEC48" s="1015"/>
      <c r="AED48" s="1015"/>
      <c r="AEE48" s="1015"/>
      <c r="AEF48" s="858"/>
      <c r="AEG48" s="172"/>
      <c r="AEH48" s="172"/>
      <c r="AEI48" s="172"/>
      <c r="AEJ48" s="172"/>
      <c r="AEK48" s="177"/>
      <c r="AEP48" s="947"/>
      <c r="AEQ48" s="947"/>
      <c r="AER48" s="947"/>
      <c r="AES48" s="947"/>
      <c r="AET48" s="656">
        <v>4</v>
      </c>
      <c r="AEU48" s="956"/>
      <c r="AEV48" s="957"/>
      <c r="AEW48" s="958">
        <f t="shared" si="35"/>
        <v>0.12666666666666668</v>
      </c>
      <c r="AEX48" s="959"/>
      <c r="AEZ48" s="947"/>
      <c r="AFA48" s="947"/>
      <c r="AFB48" s="947"/>
      <c r="AFC48" s="947"/>
      <c r="AFD48" s="657">
        <v>64</v>
      </c>
      <c r="AFE48" s="956"/>
      <c r="AFF48" s="957"/>
      <c r="AFG48" s="958">
        <f t="shared" si="36"/>
        <v>2.0266666666666668</v>
      </c>
      <c r="AFH48" s="959"/>
      <c r="AFJ48" s="947"/>
      <c r="AFK48" s="947"/>
      <c r="AFL48" s="947"/>
      <c r="AFM48" s="947"/>
      <c r="AFN48" s="657">
        <v>124</v>
      </c>
      <c r="AFO48" s="956"/>
      <c r="AFP48" s="957"/>
      <c r="AFQ48" s="958">
        <f t="shared" si="37"/>
        <v>3.9266666666666672</v>
      </c>
      <c r="AFR48" s="959"/>
      <c r="AFT48" s="947"/>
      <c r="AFU48" s="947"/>
      <c r="AFV48" s="947"/>
      <c r="AFW48" s="947"/>
      <c r="AFX48" s="657">
        <v>184</v>
      </c>
      <c r="AFY48" s="956"/>
      <c r="AFZ48" s="957"/>
      <c r="AGA48" s="958"/>
      <c r="AGB48" s="959"/>
      <c r="AGD48" s="947"/>
      <c r="AGE48" s="947"/>
      <c r="AGF48" s="947"/>
      <c r="AGG48" s="947"/>
      <c r="AGH48" s="657">
        <v>244</v>
      </c>
      <c r="AGI48" s="956"/>
      <c r="AGJ48" s="957"/>
      <c r="AGK48" s="958"/>
      <c r="AGL48" s="959"/>
      <c r="AHO48" s="144"/>
    </row>
    <row r="49" spans="3:982" ht="48" customHeight="1" thickBot="1">
      <c r="H49" s="144"/>
      <c r="I49" s="144"/>
      <c r="K49" s="1"/>
      <c r="L49" s="1"/>
      <c r="M49" s="1"/>
      <c r="W49" s="1000" t="s">
        <v>965</v>
      </c>
      <c r="X49" s="1001"/>
      <c r="Y49" s="1001"/>
      <c r="Z49" s="1002"/>
      <c r="AA49" s="1515" t="str">
        <f>$Q$47</f>
        <v>IP44</v>
      </c>
      <c r="AB49" s="1516"/>
      <c r="AI49" s="792" t="s">
        <v>1079</v>
      </c>
      <c r="AJ49" s="793"/>
      <c r="AK49" s="794"/>
      <c r="AL49" s="825"/>
      <c r="AM49" s="695" t="s">
        <v>733</v>
      </c>
      <c r="AN49" s="695"/>
      <c r="AO49" s="129"/>
      <c r="AP49" s="87"/>
      <c r="AQ49" s="87"/>
      <c r="AR49" s="87"/>
      <c r="AS49" s="87"/>
      <c r="AT49" s="146"/>
      <c r="AU49" s="84" t="s">
        <v>729</v>
      </c>
      <c r="AV49" s="129"/>
      <c r="AW49" s="85" t="s">
        <v>467</v>
      </c>
      <c r="AX49" s="1504" t="s">
        <v>461</v>
      </c>
      <c r="AY49" s="1505"/>
      <c r="AZ49" s="1130" t="s">
        <v>126</v>
      </c>
      <c r="BA49" s="1131"/>
      <c r="BB49" s="675" t="s">
        <v>731</v>
      </c>
      <c r="BC49" s="676"/>
      <c r="BD49" s="821" t="s">
        <v>473</v>
      </c>
      <c r="BE49" s="822"/>
      <c r="BF49" s="822"/>
      <c r="BG49" s="823"/>
      <c r="BO49" s="6"/>
      <c r="BQ49" s="144"/>
      <c r="BR49" s="144"/>
      <c r="BS49" s="144"/>
      <c r="BX49" s="827"/>
      <c r="BY49" s="734"/>
      <c r="BZ49" s="735"/>
      <c r="CA49" s="735"/>
      <c r="CB49" s="735"/>
      <c r="CC49" s="735"/>
      <c r="CD49" s="735"/>
      <c r="CE49" s="735"/>
      <c r="CF49" s="735"/>
      <c r="CG49" s="735"/>
      <c r="CH49" s="735"/>
      <c r="CI49" s="735"/>
      <c r="CJ49" s="735"/>
      <c r="CK49" s="735"/>
      <c r="CL49" s="1089"/>
      <c r="CM49" s="708"/>
      <c r="CN49" s="851"/>
      <c r="CO49" s="852"/>
      <c r="CP49" s="715"/>
      <c r="CQ49" s="718"/>
      <c r="CR49" s="1028"/>
      <c r="CS49" s="1028"/>
      <c r="CT49" s="719"/>
      <c r="CU49" s="747"/>
      <c r="CV49" s="768"/>
      <c r="CW49" s="768"/>
      <c r="CX49" s="768"/>
      <c r="CY49" s="768"/>
      <c r="DJ49" s="144"/>
      <c r="DK49" s="144"/>
      <c r="DL49" s="144"/>
      <c r="DM49" s="144"/>
      <c r="DN49" s="144"/>
      <c r="DO49" s="144"/>
      <c r="DP49" s="144"/>
      <c r="DQ49" s="144"/>
      <c r="DR49" s="144"/>
      <c r="DS49" s="144"/>
      <c r="DT49" s="144"/>
      <c r="DU49" s="144"/>
      <c r="DV49" s="144"/>
      <c r="DW49" s="144"/>
      <c r="DX49" s="144"/>
      <c r="DZ49" s="767"/>
      <c r="EA49" s="265" t="s">
        <v>1144</v>
      </c>
      <c r="EB49" s="756">
        <f>$AZ$21</f>
        <v>0.313</v>
      </c>
      <c r="EC49" s="756"/>
      <c r="ED49" s="701" t="s">
        <v>1206</v>
      </c>
      <c r="EE49" s="701"/>
      <c r="EF49" s="701"/>
      <c r="EG49" s="701"/>
      <c r="EH49" s="701"/>
      <c r="EI49" s="701"/>
      <c r="EJ49" s="701"/>
      <c r="EK49" s="701"/>
      <c r="EL49" s="701"/>
      <c r="EM49" s="702"/>
      <c r="EN49" s="752">
        <f>(((EB49-EB50)/2))*(10^3)-EB51</f>
        <v>26.688160557818726</v>
      </c>
      <c r="EO49" s="753"/>
      <c r="EP49" s="759" t="s">
        <v>50</v>
      </c>
      <c r="EQ49" s="760"/>
      <c r="ER49" s="714"/>
      <c r="ES49" s="740" t="s">
        <v>1202</v>
      </c>
      <c r="ET49" s="741"/>
      <c r="EU49" s="742"/>
      <c r="EV49" s="746"/>
      <c r="EW49" s="767"/>
      <c r="EX49" s="767"/>
      <c r="EY49" s="767"/>
      <c r="EZ49" s="767"/>
      <c r="FA49" s="767"/>
      <c r="FB49" s="767"/>
      <c r="FC49" s="767"/>
      <c r="FD49" s="767"/>
      <c r="GF49" s="768"/>
      <c r="GG49" s="247" t="s">
        <v>1183</v>
      </c>
      <c r="GH49" s="672">
        <f>$GW$56</f>
        <v>0.9</v>
      </c>
      <c r="GI49" s="672"/>
      <c r="GJ49" s="1153"/>
      <c r="GK49" s="1154"/>
      <c r="GL49" s="1155"/>
      <c r="GM49" s="943"/>
      <c r="GN49" s="944"/>
      <c r="GO49" s="944"/>
      <c r="GP49" s="944"/>
      <c r="GQ49" s="944"/>
      <c r="GR49" s="944"/>
      <c r="GS49" s="1004"/>
      <c r="GT49" s="1089"/>
      <c r="GU49" s="708"/>
      <c r="GV49" s="1204"/>
      <c r="GW49" s="1065"/>
      <c r="GX49" s="715"/>
      <c r="GY49" s="718"/>
      <c r="GZ49" s="719"/>
      <c r="HA49" s="747"/>
      <c r="HB49" s="768"/>
      <c r="HC49" s="768"/>
      <c r="HD49" s="768"/>
      <c r="HE49" s="768"/>
      <c r="HF49" s="768"/>
      <c r="HK49" s="144"/>
      <c r="HL49" s="144"/>
      <c r="HM49" s="144"/>
      <c r="HN49" s="144"/>
      <c r="HO49" s="144"/>
      <c r="HP49" s="144"/>
      <c r="HQ49" s="144"/>
      <c r="PJ49" s="826"/>
      <c r="PK49" s="696" t="s">
        <v>1225</v>
      </c>
      <c r="PL49" s="697"/>
      <c r="PM49" s="677">
        <f>$FW$29</f>
        <v>6.7</v>
      </c>
      <c r="PN49" s="677"/>
      <c r="PO49" s="516" t="s">
        <v>1708</v>
      </c>
      <c r="PP49" s="739">
        <f>$QA$65</f>
        <v>0.97</v>
      </c>
      <c r="PQ49" s="739"/>
      <c r="PR49" s="700" t="s">
        <v>171</v>
      </c>
      <c r="PS49" s="701"/>
      <c r="PT49" s="701"/>
      <c r="PU49" s="701"/>
      <c r="PV49" s="701"/>
      <c r="PW49" s="702"/>
      <c r="PX49" s="1292">
        <f>PM50/1000*PM49*PR48*PO48/1000*PL54*QM46</f>
        <v>0</v>
      </c>
      <c r="PY49" s="1293"/>
      <c r="PZ49" s="917" t="s">
        <v>1702</v>
      </c>
      <c r="QA49" s="896"/>
      <c r="QB49" s="978"/>
      <c r="QC49" s="993" t="s">
        <v>1730</v>
      </c>
      <c r="QD49" s="993"/>
      <c r="QE49" s="993"/>
      <c r="QF49" s="1085"/>
      <c r="QG49" s="767"/>
      <c r="QH49" s="767"/>
      <c r="QI49" s="767"/>
      <c r="QJ49" s="767"/>
      <c r="QK49" s="767"/>
      <c r="QL49" s="767"/>
      <c r="QM49" s="767"/>
      <c r="QN49" s="767"/>
      <c r="QO49" s="767"/>
      <c r="QP49" s="767"/>
      <c r="QQ49" s="767"/>
      <c r="QR49" s="767"/>
      <c r="RC49" s="369">
        <v>31</v>
      </c>
      <c r="RD49" s="668">
        <v>3.1E-2</v>
      </c>
      <c r="RE49" s="669"/>
      <c r="RF49" s="670">
        <f t="shared" si="30"/>
        <v>21.968765472606307</v>
      </c>
      <c r="RG49" s="670"/>
      <c r="RH49" s="670"/>
      <c r="RI49" s="670"/>
      <c r="RJ49" s="698">
        <f t="shared" si="12"/>
        <v>30</v>
      </c>
      <c r="RK49" s="699"/>
      <c r="RL49" s="726"/>
      <c r="RM49" s="670">
        <f t="shared" si="13"/>
        <v>22.157266642822751</v>
      </c>
      <c r="RN49" s="670"/>
      <c r="RO49" s="670"/>
      <c r="RP49" s="670"/>
      <c r="RQ49" s="670"/>
      <c r="RR49" s="670"/>
      <c r="RS49" s="671">
        <f t="shared" si="6"/>
        <v>1.560804663639157</v>
      </c>
      <c r="RT49" s="671"/>
      <c r="RU49" s="671"/>
      <c r="RV49" s="671"/>
      <c r="RW49" s="671"/>
      <c r="RX49" s="671"/>
      <c r="RY49" s="681">
        <f t="shared" si="14"/>
        <v>22.212171804647639</v>
      </c>
      <c r="RZ49" s="681"/>
      <c r="SA49" s="681"/>
      <c r="SB49" s="681"/>
      <c r="SC49" s="681">
        <f>'Вывод расчетов'!$AQ$6/RY49</f>
        <v>17.107737295660996</v>
      </c>
      <c r="SD49" s="681"/>
      <c r="SE49" s="681"/>
      <c r="SF49" s="681"/>
      <c r="SG49" s="867">
        <f t="shared" si="31"/>
        <v>0.99752814977716864</v>
      </c>
      <c r="SH49" s="867"/>
      <c r="SI49" s="867"/>
      <c r="SJ49" s="867"/>
      <c r="SK49" s="865">
        <f t="shared" si="16"/>
        <v>7.0267989882582163E-2</v>
      </c>
      <c r="SL49" s="865"/>
      <c r="SM49" s="865"/>
      <c r="SN49" s="865"/>
      <c r="SO49" s="692">
        <f t="shared" si="26"/>
        <v>17.415771972545826</v>
      </c>
      <c r="SP49" s="693"/>
      <c r="SQ49" s="693"/>
      <c r="SR49" s="693"/>
      <c r="SS49" s="694"/>
      <c r="ST49" s="668">
        <f t="shared" si="24"/>
        <v>12.184203073201374</v>
      </c>
      <c r="SU49" s="678"/>
      <c r="SV49" s="678"/>
      <c r="SW49" s="678"/>
      <c r="SX49" s="678"/>
      <c r="SY49" s="669"/>
      <c r="SZ49" s="682">
        <f t="shared" si="19"/>
        <v>21.254738717018437</v>
      </c>
      <c r="TA49" s="683"/>
      <c r="TB49" s="683"/>
      <c r="TC49" s="683"/>
      <c r="TD49" s="683"/>
      <c r="TE49" s="684"/>
      <c r="TF49" s="682">
        <f>'Вывод расчетов'!$XC$174*SC49</f>
        <v>17.380188588588116</v>
      </c>
      <c r="TG49" s="683"/>
      <c r="TH49" s="684"/>
      <c r="TI49" s="681">
        <f t="shared" si="25"/>
        <v>19.853980048702244</v>
      </c>
      <c r="TJ49" s="681"/>
      <c r="TK49" s="681"/>
      <c r="TL49" s="681"/>
      <c r="TM49" s="685">
        <f t="shared" si="21"/>
        <v>0.25146927785798445</v>
      </c>
      <c r="TN49" s="686"/>
      <c r="TO49" s="686"/>
      <c r="TP49" s="687"/>
      <c r="TQ49" s="688">
        <f t="shared" si="22"/>
        <v>0.59796222119166564</v>
      </c>
      <c r="TR49" s="688"/>
      <c r="TS49" s="688"/>
      <c r="TT49" s="688"/>
      <c r="TU49" s="689">
        <f t="shared" si="27"/>
        <v>7.1334155110430397E-2</v>
      </c>
      <c r="TV49" s="690"/>
      <c r="TW49" s="690"/>
      <c r="TX49" s="690"/>
      <c r="TY49" s="690"/>
      <c r="TZ49" s="691"/>
      <c r="UA49" s="679">
        <v>3.1E-2</v>
      </c>
      <c r="UB49" s="680"/>
      <c r="UC49" s="650">
        <v>0.31</v>
      </c>
      <c r="UD49" s="866">
        <f t="shared" si="7"/>
        <v>1.8010524699874944</v>
      </c>
      <c r="UE49" s="866"/>
      <c r="UF49" s="866"/>
      <c r="UG49" s="866"/>
      <c r="UH49" s="866"/>
      <c r="UI49" s="866"/>
      <c r="UJ49" s="866"/>
      <c r="UK49" s="681">
        <f t="shared" si="8"/>
        <v>18.052927578714751</v>
      </c>
      <c r="UL49" s="681"/>
      <c r="UM49" s="681"/>
      <c r="UN49" s="681"/>
      <c r="UO49" s="816">
        <f t="shared" si="9"/>
        <v>0.90928506699566169</v>
      </c>
      <c r="UP49" s="816"/>
      <c r="UQ49" s="816"/>
      <c r="UR49" s="816"/>
      <c r="US49" s="866">
        <f t="shared" si="10"/>
        <v>0.81938301874307251</v>
      </c>
      <c r="UT49" s="866"/>
      <c r="UU49" s="866"/>
      <c r="UV49" s="866"/>
      <c r="UW49" s="866"/>
      <c r="VB49" s="144"/>
      <c r="VC49" s="144"/>
      <c r="VD49" s="144"/>
      <c r="VE49" s="144"/>
      <c r="VF49" s="144"/>
      <c r="VG49" s="144"/>
      <c r="VH49" s="144"/>
      <c r="VJ49" s="225"/>
      <c r="VK49" s="225"/>
      <c r="VL49" s="225"/>
      <c r="VM49" s="225"/>
      <c r="WC49" s="905"/>
      <c r="WD49" s="900"/>
      <c r="WE49" s="900"/>
      <c r="WF49" s="900"/>
      <c r="WG49" s="900"/>
      <c r="WH49" s="906"/>
      <c r="WI49" s="181"/>
      <c r="WJ49" s="182"/>
      <c r="WK49" s="182"/>
      <c r="WL49" s="182"/>
      <c r="WM49" s="182"/>
      <c r="WN49" s="185"/>
      <c r="WO49" s="880">
        <v>15</v>
      </c>
      <c r="WP49" s="880"/>
      <c r="WQ49" s="1033" t="s">
        <v>416</v>
      </c>
      <c r="WR49" s="1033"/>
      <c r="WS49" s="1034">
        <f>(3*(WS43^2)*'Вывод расчетов'!$XC$170)</f>
        <v>61.661972360166985</v>
      </c>
      <c r="WT49" s="1034"/>
      <c r="WU49" s="1034">
        <f>(3*(WU43^2)*'Вывод расчетов'!$XC$170)</f>
        <v>2.4927370887614138</v>
      </c>
      <c r="WV49" s="1034"/>
      <c r="WW49" s="1034">
        <f>(3*(WW43^2)*'Вывод расчетов'!$XC$170)</f>
        <v>5.6020076840978739</v>
      </c>
      <c r="WX49" s="1034"/>
      <c r="WY49" s="1034">
        <f>(3*(WY43^2)*'Вывод расчетов'!$XC$170)</f>
        <v>928.4408593257001</v>
      </c>
      <c r="WZ49" s="1034"/>
      <c r="XA49" s="1034">
        <f>(3*(XA43^2)*'Вывод расчетов'!$XC$170)</f>
        <v>1412.1586152094078</v>
      </c>
      <c r="XB49" s="1034"/>
      <c r="XC49" s="1034">
        <f>(3*(XC43^2)*'Вывод расчетов'!$XC$170)</f>
        <v>1973.7485493799325</v>
      </c>
      <c r="XD49" s="1034"/>
      <c r="XE49" s="181"/>
      <c r="XF49" s="182"/>
      <c r="XG49" s="182"/>
      <c r="XH49" s="185"/>
      <c r="XI49" s="177"/>
      <c r="YS49" s="157"/>
      <c r="YT49" s="157"/>
      <c r="ZJ49" s="144"/>
      <c r="ZK49" s="144"/>
      <c r="ZL49" s="144"/>
      <c r="ZM49" s="144"/>
      <c r="ZN49" s="144"/>
      <c r="ZQ49" s="144"/>
      <c r="ZR49" s="144"/>
      <c r="ZS49" s="144"/>
      <c r="ZT49" s="144"/>
      <c r="ZU49" s="144"/>
      <c r="ZV49" s="144"/>
      <c r="ZW49" s="144"/>
      <c r="ZX49" s="144"/>
      <c r="ZY49" s="144"/>
      <c r="AAD49" s="947"/>
      <c r="AAE49" s="947"/>
      <c r="AAF49" s="947"/>
      <c r="AAG49" s="947"/>
      <c r="AAH49" s="465">
        <v>39</v>
      </c>
      <c r="AAI49" s="956"/>
      <c r="AAJ49" s="957"/>
      <c r="AAK49" s="956"/>
      <c r="AAL49" s="957"/>
      <c r="AAM49" s="958">
        <f t="shared" si="29"/>
        <v>0.52</v>
      </c>
      <c r="AAN49" s="959"/>
      <c r="AAP49" s="947"/>
      <c r="AAQ49" s="947"/>
      <c r="AAR49" s="947"/>
      <c r="AAS49" s="947"/>
      <c r="AAT49" s="465">
        <v>99</v>
      </c>
      <c r="AAU49" s="956"/>
      <c r="AAV49" s="957"/>
      <c r="AAW49" s="956"/>
      <c r="AAX49" s="957"/>
      <c r="AAY49" s="958">
        <f t="shared" si="1"/>
        <v>1.32</v>
      </c>
      <c r="AAZ49" s="959"/>
      <c r="ABB49" s="947"/>
      <c r="ABC49" s="947"/>
      <c r="ABD49" s="947"/>
      <c r="ABE49" s="947"/>
      <c r="ABF49" s="465">
        <v>159</v>
      </c>
      <c r="ABG49" s="956"/>
      <c r="ABH49" s="957"/>
      <c r="ABI49" s="956"/>
      <c r="ABJ49" s="957"/>
      <c r="ABK49" s="958">
        <f t="shared" si="2"/>
        <v>2.12</v>
      </c>
      <c r="ABL49" s="959"/>
      <c r="ABN49" s="947"/>
      <c r="ABO49" s="947"/>
      <c r="ABP49" s="947"/>
      <c r="ABQ49" s="947"/>
      <c r="ABR49" s="465">
        <v>219</v>
      </c>
      <c r="ABS49" s="956"/>
      <c r="ABT49" s="957"/>
      <c r="ABU49" s="956"/>
      <c r="ABV49" s="957"/>
      <c r="ABW49" s="958">
        <f t="shared" si="3"/>
        <v>2.9200000000000004</v>
      </c>
      <c r="ABX49" s="959"/>
      <c r="ABZ49" s="947"/>
      <c r="ACA49" s="947"/>
      <c r="ACB49" s="947"/>
      <c r="ACC49" s="947"/>
      <c r="ACD49" s="465">
        <v>279</v>
      </c>
      <c r="ACE49" s="956"/>
      <c r="ACF49" s="957"/>
      <c r="ACG49" s="956"/>
      <c r="ACH49" s="957"/>
      <c r="ACI49" s="958">
        <f t="shared" si="4"/>
        <v>3.72</v>
      </c>
      <c r="ACJ49" s="959"/>
      <c r="ADB49" s="1033"/>
      <c r="ADC49" s="1033"/>
      <c r="ADD49" s="863" t="s">
        <v>1392</v>
      </c>
      <c r="ADE49" s="863"/>
      <c r="ADF49" s="863"/>
      <c r="ADG49" s="863"/>
      <c r="ADH49" s="756">
        <f>$MN$222</f>
        <v>3.9395141989168017</v>
      </c>
      <c r="ADI49" s="756"/>
      <c r="ADJ49" s="1032"/>
      <c r="ADK49" s="1032"/>
      <c r="ADL49" s="1032"/>
      <c r="ADM49" s="1032"/>
      <c r="ADN49" s="1032"/>
      <c r="ADO49" s="1032"/>
      <c r="ADP49" s="1032"/>
      <c r="ADQ49" s="1032"/>
      <c r="ADR49" s="1032"/>
      <c r="ADS49" s="1032"/>
      <c r="ADT49" s="1032"/>
      <c r="ADU49" s="1032"/>
      <c r="ADV49" s="1032"/>
      <c r="ADW49" s="1032"/>
      <c r="ADX49" s="859"/>
      <c r="ADY49" s="1016"/>
      <c r="ADZ49" s="1016"/>
      <c r="AEA49" s="1016"/>
      <c r="AEB49" s="1016"/>
      <c r="AEC49" s="1016"/>
      <c r="AED49" s="1016"/>
      <c r="AEE49" s="1016"/>
      <c r="AEF49" s="860"/>
      <c r="AEG49" s="172"/>
      <c r="AEH49" s="172"/>
      <c r="AEI49" s="172"/>
      <c r="AEJ49" s="172"/>
      <c r="AEK49" s="177"/>
      <c r="AEP49" s="947"/>
      <c r="AEQ49" s="947"/>
      <c r="AER49" s="947"/>
      <c r="AES49" s="947"/>
      <c r="AET49" s="656">
        <v>5</v>
      </c>
      <c r="AEU49" s="956"/>
      <c r="AEV49" s="957"/>
      <c r="AEW49" s="958">
        <f t="shared" si="35"/>
        <v>0.15833333333333335</v>
      </c>
      <c r="AEX49" s="959"/>
      <c r="AEZ49" s="947"/>
      <c r="AFA49" s="947"/>
      <c r="AFB49" s="947"/>
      <c r="AFC49" s="947"/>
      <c r="AFD49" s="656">
        <v>65</v>
      </c>
      <c r="AFE49" s="956"/>
      <c r="AFF49" s="957"/>
      <c r="AFG49" s="958">
        <f t="shared" si="36"/>
        <v>2.0583333333333336</v>
      </c>
      <c r="AFH49" s="959"/>
      <c r="AFJ49" s="947"/>
      <c r="AFK49" s="947"/>
      <c r="AFL49" s="947"/>
      <c r="AFM49" s="947"/>
      <c r="AFN49" s="657">
        <v>125</v>
      </c>
      <c r="AFO49" s="956"/>
      <c r="AFP49" s="957"/>
      <c r="AFQ49" s="958">
        <f t="shared" si="37"/>
        <v>3.9583333333333335</v>
      </c>
      <c r="AFR49" s="959"/>
      <c r="AFT49" s="947"/>
      <c r="AFU49" s="947"/>
      <c r="AFV49" s="947"/>
      <c r="AFW49" s="947"/>
      <c r="AFX49" s="657">
        <v>185</v>
      </c>
      <c r="AFY49" s="956"/>
      <c r="AFZ49" s="957"/>
      <c r="AGA49" s="958"/>
      <c r="AGB49" s="959"/>
      <c r="AGD49" s="947"/>
      <c r="AGE49" s="947"/>
      <c r="AGF49" s="947"/>
      <c r="AGG49" s="947"/>
      <c r="AGH49" s="657">
        <v>245</v>
      </c>
      <c r="AGI49" s="956"/>
      <c r="AGJ49" s="957"/>
      <c r="AGK49" s="958"/>
      <c r="AGL49" s="959"/>
      <c r="AHO49" s="144"/>
      <c r="AIO49" s="216"/>
      <c r="AIP49" s="665" t="s">
        <v>949</v>
      </c>
      <c r="AIQ49" s="667"/>
      <c r="AIR49" s="216"/>
      <c r="AIS49" s="728" t="s">
        <v>161</v>
      </c>
      <c r="AIT49" s="1053"/>
      <c r="AIU49" s="1053"/>
      <c r="AIV49" s="1053"/>
      <c r="AIW49" s="1053"/>
      <c r="AIX49" s="1053"/>
      <c r="AIY49" s="1053"/>
      <c r="AIZ49" s="1053"/>
      <c r="AJA49" s="1053"/>
      <c r="AJB49" s="1053"/>
      <c r="AJC49" s="1054"/>
      <c r="AJD49" s="216"/>
      <c r="AJO49" s="825"/>
      <c r="AJP49" s="147" t="s">
        <v>442</v>
      </c>
      <c r="AJQ49" s="148"/>
      <c r="AJR49" s="152"/>
      <c r="AJS49" s="87"/>
      <c r="AJT49" s="87"/>
      <c r="AJU49" s="87"/>
      <c r="AJV49" s="87"/>
      <c r="AJW49" s="87"/>
      <c r="AJX49" s="87"/>
      <c r="AJY49" s="152"/>
      <c r="AJZ49" s="85" t="s">
        <v>467</v>
      </c>
      <c r="AKA49" s="757" t="s">
        <v>461</v>
      </c>
      <c r="AKB49" s="899"/>
      <c r="AKC49" s="819" t="s">
        <v>126</v>
      </c>
      <c r="AKD49" s="820"/>
      <c r="AKE49" s="675" t="s">
        <v>731</v>
      </c>
      <c r="AKF49" s="676"/>
      <c r="AKG49" s="821" t="s">
        <v>473</v>
      </c>
      <c r="AKH49" s="822"/>
      <c r="AKI49" s="822"/>
      <c r="AKJ49" s="823"/>
    </row>
    <row r="50" spans="3:982" ht="48" customHeight="1" thickBot="1">
      <c r="C50" s="173"/>
      <c r="D50" s="174"/>
      <c r="E50" s="174"/>
      <c r="F50" s="174"/>
      <c r="G50" s="174"/>
      <c r="H50" s="174"/>
      <c r="I50" s="174"/>
      <c r="J50" s="174"/>
      <c r="K50" s="174"/>
      <c r="L50" s="174"/>
      <c r="M50" s="1000" t="s">
        <v>1068</v>
      </c>
      <c r="N50" s="1001"/>
      <c r="O50" s="1001"/>
      <c r="P50" s="1001"/>
      <c r="Q50" s="1001"/>
      <c r="R50" s="1002"/>
      <c r="AI50" s="795"/>
      <c r="AJ50" s="796"/>
      <c r="AK50" s="797"/>
      <c r="AL50" s="826"/>
      <c r="AM50" s="1488" t="s">
        <v>786</v>
      </c>
      <c r="AN50" s="1489"/>
      <c r="AO50" s="1489"/>
      <c r="AP50" s="1489"/>
      <c r="AQ50" s="1489"/>
      <c r="AR50" s="1489"/>
      <c r="AS50" s="1489"/>
      <c r="AT50" s="1489"/>
      <c r="AU50" s="1489"/>
      <c r="AV50" s="1489"/>
      <c r="AW50" s="1489"/>
      <c r="AX50" s="1489"/>
      <c r="AY50" s="1490"/>
      <c r="AZ50" s="808">
        <v>0.9</v>
      </c>
      <c r="BA50" s="809"/>
      <c r="BB50" s="759" t="s">
        <v>736</v>
      </c>
      <c r="BC50" s="760"/>
      <c r="BD50" s="746"/>
      <c r="BE50" s="740" t="s">
        <v>460</v>
      </c>
      <c r="BF50" s="742"/>
      <c r="BG50" s="746"/>
      <c r="BQ50" s="144"/>
      <c r="BR50" s="144"/>
      <c r="BS50" s="144"/>
      <c r="DM50" s="144"/>
      <c r="DN50" s="144"/>
      <c r="DO50" s="144"/>
      <c r="DP50" s="144"/>
      <c r="DQ50" s="144"/>
      <c r="DR50" s="144"/>
      <c r="DS50" s="144"/>
      <c r="DW50" s="144"/>
      <c r="DX50" s="144"/>
      <c r="DZ50" s="767"/>
      <c r="EA50" s="265" t="s">
        <v>470</v>
      </c>
      <c r="EB50" s="756">
        <f>$AW$34</f>
        <v>0.17058500000000001</v>
      </c>
      <c r="EC50" s="756"/>
      <c r="ED50" s="704"/>
      <c r="EE50" s="704"/>
      <c r="EF50" s="704"/>
      <c r="EG50" s="704"/>
      <c r="EH50" s="704"/>
      <c r="EI50" s="704"/>
      <c r="EJ50" s="704"/>
      <c r="EK50" s="704"/>
      <c r="EL50" s="704"/>
      <c r="EM50" s="705"/>
      <c r="EN50" s="754"/>
      <c r="EO50" s="755"/>
      <c r="EP50" s="761"/>
      <c r="EQ50" s="762"/>
      <c r="ER50" s="715"/>
      <c r="ES50" s="743"/>
      <c r="ET50" s="744"/>
      <c r="EU50" s="745"/>
      <c r="EV50" s="747"/>
      <c r="EW50" s="767"/>
      <c r="EX50" s="767"/>
      <c r="EY50" s="767"/>
      <c r="EZ50" s="767"/>
      <c r="FA50" s="767"/>
      <c r="FB50" s="767"/>
      <c r="FC50" s="767"/>
      <c r="FD50" s="767"/>
      <c r="HK50" s="144"/>
      <c r="HL50" s="144"/>
      <c r="HM50" s="144"/>
      <c r="HN50" s="144"/>
      <c r="HO50" s="144"/>
      <c r="HP50" s="144"/>
      <c r="HQ50" s="144"/>
      <c r="IR50" s="825"/>
      <c r="IS50" s="665" t="s">
        <v>442</v>
      </c>
      <c r="IT50" s="667"/>
      <c r="IU50" s="156"/>
      <c r="IV50" s="87"/>
      <c r="IW50" s="87"/>
      <c r="IX50" s="87"/>
      <c r="IY50" s="87"/>
      <c r="IZ50" s="87"/>
      <c r="JA50" s="87"/>
      <c r="JB50" s="156"/>
      <c r="JC50" s="85" t="s">
        <v>467</v>
      </c>
      <c r="JD50" s="757" t="s">
        <v>461</v>
      </c>
      <c r="JE50" s="899"/>
      <c r="JF50" s="1130" t="s">
        <v>126</v>
      </c>
      <c r="JG50" s="1131"/>
      <c r="JH50" s="675" t="s">
        <v>731</v>
      </c>
      <c r="JI50" s="676"/>
      <c r="JJ50" s="821" t="s">
        <v>473</v>
      </c>
      <c r="JK50" s="822"/>
      <c r="JL50" s="822"/>
      <c r="JM50" s="822"/>
      <c r="JN50" s="769" t="s">
        <v>462</v>
      </c>
      <c r="JO50" s="769"/>
      <c r="JP50" s="769"/>
      <c r="JQ50" s="769"/>
      <c r="JR50" s="769"/>
      <c r="MB50" s="213"/>
      <c r="MC50" s="665" t="s">
        <v>907</v>
      </c>
      <c r="MD50" s="666"/>
      <c r="ME50" s="213"/>
      <c r="MF50" s="685" t="s">
        <v>89</v>
      </c>
      <c r="MG50" s="686"/>
      <c r="MH50" s="686"/>
      <c r="MI50" s="686"/>
      <c r="MJ50" s="686"/>
      <c r="MK50" s="686"/>
      <c r="ML50" s="686"/>
      <c r="MM50" s="686"/>
      <c r="MN50" s="686"/>
      <c r="MO50" s="686"/>
      <c r="MP50" s="687"/>
      <c r="MQ50" s="213"/>
      <c r="PJ50" s="827"/>
      <c r="PK50" s="987" t="s">
        <v>1337</v>
      </c>
      <c r="PL50" s="988"/>
      <c r="PM50" s="672">
        <f>$EN$49</f>
        <v>26.688160557818726</v>
      </c>
      <c r="PN50" s="672"/>
      <c r="PO50" s="517" t="s">
        <v>1709</v>
      </c>
      <c r="PP50" s="828">
        <f>$PY$45</f>
        <v>7800</v>
      </c>
      <c r="PQ50" s="828"/>
      <c r="PR50" s="706"/>
      <c r="PS50" s="707"/>
      <c r="PT50" s="707"/>
      <c r="PU50" s="707"/>
      <c r="PV50" s="707"/>
      <c r="PW50" s="708"/>
      <c r="PX50" s="1294"/>
      <c r="PY50" s="1295"/>
      <c r="PZ50" s="918"/>
      <c r="QA50" s="898"/>
      <c r="QB50" s="979"/>
      <c r="QC50" s="994"/>
      <c r="QD50" s="994"/>
      <c r="QE50" s="994"/>
      <c r="QF50" s="1086"/>
      <c r="QG50" s="768"/>
      <c r="QH50" s="768"/>
      <c r="QI50" s="768"/>
      <c r="QJ50" s="768"/>
      <c r="QK50" s="768"/>
      <c r="QL50" s="768"/>
      <c r="QM50" s="768"/>
      <c r="QN50" s="768"/>
      <c r="QO50" s="768"/>
      <c r="QP50" s="768"/>
      <c r="QQ50" s="768"/>
      <c r="QR50" s="768"/>
      <c r="RC50" s="369">
        <v>32</v>
      </c>
      <c r="RD50" s="668">
        <v>3.2000000000000001E-2</v>
      </c>
      <c r="RE50" s="669"/>
      <c r="RF50" s="670">
        <f t="shared" si="30"/>
        <v>21.282241551587358</v>
      </c>
      <c r="RG50" s="670"/>
      <c r="RH50" s="670"/>
      <c r="RI50" s="670"/>
      <c r="RJ50" s="698">
        <f t="shared" si="12"/>
        <v>30</v>
      </c>
      <c r="RK50" s="699"/>
      <c r="RL50" s="726"/>
      <c r="RM50" s="670">
        <f t="shared" si="13"/>
        <v>21.470742721803802</v>
      </c>
      <c r="RN50" s="670"/>
      <c r="RO50" s="670"/>
      <c r="RP50" s="670"/>
      <c r="RQ50" s="670"/>
      <c r="RR50" s="670"/>
      <c r="RS50" s="671">
        <f t="shared" si="6"/>
        <v>1.560804663639157</v>
      </c>
      <c r="RT50" s="671"/>
      <c r="RU50" s="671"/>
      <c r="RV50" s="671"/>
      <c r="RW50" s="671"/>
      <c r="RX50" s="671"/>
      <c r="RY50" s="681">
        <f t="shared" si="14"/>
        <v>21.52739891914322</v>
      </c>
      <c r="RZ50" s="681"/>
      <c r="SA50" s="681"/>
      <c r="SB50" s="681"/>
      <c r="SC50" s="681">
        <f>'Вывод расчетов'!$AQ$6/RY50</f>
        <v>17.651923552272976</v>
      </c>
      <c r="SD50" s="681"/>
      <c r="SE50" s="681"/>
      <c r="SF50" s="681"/>
      <c r="SG50" s="867">
        <f t="shared" si="31"/>
        <v>0.99736818193632137</v>
      </c>
      <c r="SH50" s="867"/>
      <c r="SI50" s="867"/>
      <c r="SJ50" s="867"/>
      <c r="SK50" s="865">
        <f t="shared" si="16"/>
        <v>7.2503170006814568E-2</v>
      </c>
      <c r="SL50" s="865"/>
      <c r="SM50" s="865"/>
      <c r="SN50" s="865"/>
      <c r="SO50" s="692">
        <f t="shared" si="26"/>
        <v>17.95578934214068</v>
      </c>
      <c r="SP50" s="693"/>
      <c r="SQ50" s="693"/>
      <c r="SR50" s="693"/>
      <c r="SS50" s="694"/>
      <c r="ST50" s="668">
        <f t="shared" si="24"/>
        <v>12.261897176253736</v>
      </c>
      <c r="SU50" s="678"/>
      <c r="SV50" s="678"/>
      <c r="SW50" s="678"/>
      <c r="SX50" s="678"/>
      <c r="SY50" s="669"/>
      <c r="SZ50" s="682">
        <f t="shared" si="19"/>
        <v>21.743148191104989</v>
      </c>
      <c r="TA50" s="683"/>
      <c r="TB50" s="683"/>
      <c r="TC50" s="683"/>
      <c r="TD50" s="683"/>
      <c r="TE50" s="684"/>
      <c r="TF50" s="682">
        <f>'Вывод расчетов'!$XC$174*SC50</f>
        <v>17.933041347768185</v>
      </c>
      <c r="TG50" s="683"/>
      <c r="TH50" s="684"/>
      <c r="TI50" s="681">
        <f t="shared" si="25"/>
        <v>20.469599850040375</v>
      </c>
      <c r="TJ50" s="681"/>
      <c r="TK50" s="681"/>
      <c r="TL50" s="681"/>
      <c r="TM50" s="685">
        <f t="shared" si="21"/>
        <v>0.26315901071106357</v>
      </c>
      <c r="TN50" s="686"/>
      <c r="TO50" s="686"/>
      <c r="TP50" s="687"/>
      <c r="TQ50" s="688">
        <f t="shared" si="22"/>
        <v>0.63660885757391061</v>
      </c>
      <c r="TR50" s="688"/>
      <c r="TS50" s="688"/>
      <c r="TT50" s="688"/>
      <c r="TU50" s="689">
        <f t="shared" si="27"/>
        <v>7.465017535610019E-2</v>
      </c>
      <c r="TV50" s="690"/>
      <c r="TW50" s="690"/>
      <c r="TX50" s="690"/>
      <c r="TY50" s="690"/>
      <c r="TZ50" s="691"/>
      <c r="UA50" s="679">
        <v>3.2000000000000001E-2</v>
      </c>
      <c r="UB50" s="680"/>
      <c r="UC50" s="650">
        <v>0.32</v>
      </c>
      <c r="UD50" s="866">
        <f t="shared" si="7"/>
        <v>1.8547048594684881</v>
      </c>
      <c r="UE50" s="866"/>
      <c r="UF50" s="866"/>
      <c r="UG50" s="866"/>
      <c r="UH50" s="866"/>
      <c r="UI50" s="866"/>
      <c r="UJ50" s="866"/>
      <c r="UK50" s="681">
        <f t="shared" si="8"/>
        <v>18.614894990571887</v>
      </c>
      <c r="UL50" s="681"/>
      <c r="UM50" s="681"/>
      <c r="UN50" s="681"/>
      <c r="UO50" s="816">
        <f t="shared" si="9"/>
        <v>0.90939222686051535</v>
      </c>
      <c r="UP50" s="816"/>
      <c r="UQ50" s="816"/>
      <c r="UR50" s="816"/>
      <c r="US50" s="866">
        <f t="shared" si="10"/>
        <v>0.82581368550329348</v>
      </c>
      <c r="UT50" s="866"/>
      <c r="UU50" s="866"/>
      <c r="UV50" s="866"/>
      <c r="UW50" s="866"/>
      <c r="VB50" s="144"/>
      <c r="VC50" s="144"/>
      <c r="VD50" s="144"/>
      <c r="VE50" s="144"/>
      <c r="VF50" s="144"/>
      <c r="VG50" s="144"/>
      <c r="VH50" s="144"/>
      <c r="VJ50" s="225"/>
      <c r="VK50" s="225"/>
      <c r="VL50" s="225"/>
      <c r="VM50" s="225"/>
      <c r="WC50" s="905"/>
      <c r="WD50" s="900"/>
      <c r="WE50" s="900"/>
      <c r="WF50" s="900"/>
      <c r="WG50" s="900"/>
      <c r="WH50" s="906"/>
      <c r="WI50" s="183"/>
      <c r="WJ50" s="184"/>
      <c r="WK50" s="184"/>
      <c r="WL50" s="184"/>
      <c r="WM50" s="184"/>
      <c r="WN50" s="186"/>
      <c r="WO50" s="880"/>
      <c r="WP50" s="880"/>
      <c r="WQ50" s="1033"/>
      <c r="WR50" s="1033"/>
      <c r="WS50" s="1034"/>
      <c r="WT50" s="1034"/>
      <c r="WU50" s="1034"/>
      <c r="WV50" s="1034"/>
      <c r="WW50" s="1034"/>
      <c r="WX50" s="1034"/>
      <c r="WY50" s="1034"/>
      <c r="WZ50" s="1034"/>
      <c r="XA50" s="1034"/>
      <c r="XB50" s="1034"/>
      <c r="XC50" s="1034"/>
      <c r="XD50" s="1034"/>
      <c r="XE50" s="183"/>
      <c r="XF50" s="184"/>
      <c r="XG50" s="184"/>
      <c r="XH50" s="186"/>
      <c r="XI50" s="180"/>
      <c r="XO50" s="825"/>
      <c r="XP50" s="665" t="s">
        <v>442</v>
      </c>
      <c r="XQ50" s="666"/>
      <c r="XR50" s="152"/>
      <c r="XS50" s="87"/>
      <c r="XT50" s="87"/>
      <c r="XU50" s="87"/>
      <c r="XV50" s="87"/>
      <c r="XW50" s="87"/>
      <c r="XX50" s="87"/>
      <c r="XY50" s="152"/>
      <c r="XZ50" s="85" t="s">
        <v>467</v>
      </c>
      <c r="YA50" s="757" t="s">
        <v>461</v>
      </c>
      <c r="YB50" s="899"/>
      <c r="YC50" s="1130" t="s">
        <v>126</v>
      </c>
      <c r="YD50" s="1131"/>
      <c r="YE50" s="675" t="s">
        <v>731</v>
      </c>
      <c r="YF50" s="676"/>
      <c r="YG50" s="821" t="s">
        <v>473</v>
      </c>
      <c r="YH50" s="822"/>
      <c r="YI50" s="822"/>
      <c r="YJ50" s="823"/>
      <c r="YK50" s="821" t="s">
        <v>462</v>
      </c>
      <c r="YL50" s="822"/>
      <c r="YM50" s="823"/>
      <c r="ZJ50" s="144"/>
      <c r="ZK50" s="144"/>
      <c r="ZL50" s="144"/>
      <c r="ZM50" s="144"/>
      <c r="ZN50" s="144"/>
      <c r="ZO50" s="144"/>
      <c r="ZP50" s="144"/>
      <c r="ZQ50" s="144"/>
      <c r="ZR50" s="144"/>
      <c r="ZS50" s="144"/>
      <c r="ZT50" s="144"/>
      <c r="ZU50" s="144"/>
      <c r="ZV50" s="144"/>
      <c r="ZW50" s="144"/>
      <c r="ZX50" s="144"/>
      <c r="ZY50" s="144"/>
      <c r="AAD50" s="947"/>
      <c r="AAE50" s="947"/>
      <c r="AAF50" s="947"/>
      <c r="AAG50" s="947"/>
      <c r="AAH50" s="465">
        <v>40</v>
      </c>
      <c r="AAI50" s="956"/>
      <c r="AAJ50" s="957"/>
      <c r="AAK50" s="956"/>
      <c r="AAL50" s="957"/>
      <c r="AAM50" s="958">
        <f t="shared" si="29"/>
        <v>0.53333333333333333</v>
      </c>
      <c r="AAN50" s="959"/>
      <c r="AAP50" s="947"/>
      <c r="AAQ50" s="947"/>
      <c r="AAR50" s="947"/>
      <c r="AAS50" s="947"/>
      <c r="AAT50" s="465">
        <v>100</v>
      </c>
      <c r="AAU50" s="956"/>
      <c r="AAV50" s="957"/>
      <c r="AAW50" s="956"/>
      <c r="AAX50" s="957"/>
      <c r="AAY50" s="958">
        <f t="shared" si="1"/>
        <v>1.3333333333333335</v>
      </c>
      <c r="AAZ50" s="959"/>
      <c r="ABB50" s="947"/>
      <c r="ABC50" s="947"/>
      <c r="ABD50" s="947"/>
      <c r="ABE50" s="947"/>
      <c r="ABF50" s="465">
        <v>160</v>
      </c>
      <c r="ABG50" s="956"/>
      <c r="ABH50" s="957"/>
      <c r="ABI50" s="956"/>
      <c r="ABJ50" s="957"/>
      <c r="ABK50" s="958">
        <f t="shared" si="2"/>
        <v>2.1333333333333333</v>
      </c>
      <c r="ABL50" s="959"/>
      <c r="ABN50" s="947"/>
      <c r="ABO50" s="947"/>
      <c r="ABP50" s="947"/>
      <c r="ABQ50" s="947"/>
      <c r="ABR50" s="465">
        <v>220</v>
      </c>
      <c r="ABS50" s="956"/>
      <c r="ABT50" s="957"/>
      <c r="ABU50" s="956"/>
      <c r="ABV50" s="957"/>
      <c r="ABW50" s="958">
        <f t="shared" si="3"/>
        <v>2.9333333333333336</v>
      </c>
      <c r="ABX50" s="959"/>
      <c r="ABZ50" s="947"/>
      <c r="ACA50" s="947"/>
      <c r="ACB50" s="947"/>
      <c r="ACC50" s="947"/>
      <c r="ACD50" s="465">
        <v>280</v>
      </c>
      <c r="ACE50" s="956"/>
      <c r="ACF50" s="957"/>
      <c r="ACG50" s="956"/>
      <c r="ACH50" s="957"/>
      <c r="ACI50" s="958">
        <f t="shared" si="4"/>
        <v>3.7333333333333334</v>
      </c>
      <c r="ACJ50" s="959"/>
      <c r="ADB50" s="1033"/>
      <c r="ADC50" s="1033"/>
      <c r="ADD50" s="863" t="s">
        <v>1393</v>
      </c>
      <c r="ADE50" s="863"/>
      <c r="ADF50" s="863"/>
      <c r="ADG50" s="863"/>
      <c r="ADH50" s="756">
        <f>$MN$204</f>
        <v>0.34913719955913641</v>
      </c>
      <c r="ADI50" s="756"/>
      <c r="ADJ50" s="1032"/>
      <c r="ADK50" s="1032"/>
      <c r="ADL50" s="1032"/>
      <c r="ADM50" s="1032"/>
      <c r="ADN50" s="1032"/>
      <c r="ADO50" s="1032"/>
      <c r="ADP50" s="1032"/>
      <c r="ADQ50" s="1032"/>
      <c r="ADR50" s="1032"/>
      <c r="ADS50" s="1032"/>
      <c r="ADT50" s="1032"/>
      <c r="ADU50" s="1032"/>
      <c r="ADV50" s="1032"/>
      <c r="ADW50" s="1032"/>
      <c r="ADX50" s="861"/>
      <c r="ADY50" s="1017"/>
      <c r="ADZ50" s="1017"/>
      <c r="AEA50" s="1017"/>
      <c r="AEB50" s="1017"/>
      <c r="AEC50" s="1017"/>
      <c r="AED50" s="1017"/>
      <c r="AEE50" s="1017"/>
      <c r="AEF50" s="862"/>
      <c r="AEG50" s="172"/>
      <c r="AEH50" s="172"/>
      <c r="AEI50" s="172"/>
      <c r="AEJ50" s="172"/>
      <c r="AEK50" s="177"/>
      <c r="AEP50" s="947"/>
      <c r="AEQ50" s="947"/>
      <c r="AER50" s="947"/>
      <c r="AES50" s="947"/>
      <c r="AET50" s="656">
        <v>6</v>
      </c>
      <c r="AEU50" s="956"/>
      <c r="AEV50" s="957"/>
      <c r="AEW50" s="958">
        <f t="shared" si="35"/>
        <v>0.19</v>
      </c>
      <c r="AEX50" s="959"/>
      <c r="AEZ50" s="947"/>
      <c r="AFA50" s="947"/>
      <c r="AFB50" s="947"/>
      <c r="AFC50" s="947"/>
      <c r="AFD50" s="656">
        <v>66</v>
      </c>
      <c r="AFE50" s="956"/>
      <c r="AFF50" s="957"/>
      <c r="AFG50" s="958">
        <f t="shared" si="36"/>
        <v>2.0900000000000003</v>
      </c>
      <c r="AFH50" s="959"/>
      <c r="AFJ50" s="947"/>
      <c r="AFK50" s="947"/>
      <c r="AFL50" s="947"/>
      <c r="AFM50" s="947"/>
      <c r="AFN50" s="657">
        <v>126</v>
      </c>
      <c r="AFO50" s="956"/>
      <c r="AFP50" s="957"/>
      <c r="AFQ50" s="958">
        <f t="shared" si="37"/>
        <v>3.99</v>
      </c>
      <c r="AFR50" s="959"/>
      <c r="AFT50" s="947"/>
      <c r="AFU50" s="947"/>
      <c r="AFV50" s="947"/>
      <c r="AFW50" s="947"/>
      <c r="AFX50" s="657">
        <v>186</v>
      </c>
      <c r="AFY50" s="956"/>
      <c r="AFZ50" s="957"/>
      <c r="AGA50" s="958"/>
      <c r="AGB50" s="959"/>
      <c r="AGD50" s="947"/>
      <c r="AGE50" s="947"/>
      <c r="AGF50" s="947"/>
      <c r="AGG50" s="947"/>
      <c r="AGH50" s="657">
        <v>246</v>
      </c>
      <c r="AGI50" s="956"/>
      <c r="AGJ50" s="957"/>
      <c r="AGK50" s="958"/>
      <c r="AGL50" s="959"/>
      <c r="AHO50" s="144"/>
      <c r="AJO50" s="826"/>
      <c r="AJP50" s="816"/>
      <c r="AJQ50" s="816"/>
      <c r="AJR50" s="816"/>
      <c r="AJS50" s="816"/>
      <c r="AJT50" s="816"/>
      <c r="AJU50" s="816"/>
      <c r="AJV50" s="816"/>
      <c r="AJW50" s="816"/>
      <c r="AJX50" s="816"/>
      <c r="AJY50" s="816"/>
      <c r="AJZ50" s="816"/>
      <c r="AKA50" s="816"/>
      <c r="AKB50" s="685"/>
      <c r="AKC50" s="1393"/>
      <c r="AKD50" s="1394"/>
      <c r="AKE50" s="1088"/>
      <c r="AKF50" s="1006"/>
      <c r="AKG50" s="714"/>
      <c r="AKH50" s="716" t="s">
        <v>442</v>
      </c>
      <c r="AKI50" s="717"/>
      <c r="AKJ50" s="746"/>
    </row>
    <row r="51" spans="3:982" ht="48" customHeight="1" thickBot="1">
      <c r="C51" s="178"/>
      <c r="D51" s="179"/>
      <c r="E51" s="179"/>
      <c r="F51" s="179"/>
      <c r="G51" s="179"/>
      <c r="H51" s="179"/>
      <c r="I51" s="179"/>
      <c r="J51" s="179"/>
      <c r="K51" s="179"/>
      <c r="L51" s="179"/>
      <c r="M51" s="1487" t="s">
        <v>1069</v>
      </c>
      <c r="N51" s="1487"/>
      <c r="O51" s="1487" t="s">
        <v>1070</v>
      </c>
      <c r="P51" s="1487"/>
      <c r="Q51" s="1487" t="s">
        <v>1071</v>
      </c>
      <c r="R51" s="1487"/>
      <c r="AI51" s="798"/>
      <c r="AJ51" s="799"/>
      <c r="AK51" s="800"/>
      <c r="AL51" s="827"/>
      <c r="AM51" s="1491"/>
      <c r="AN51" s="805"/>
      <c r="AO51" s="805"/>
      <c r="AP51" s="805"/>
      <c r="AQ51" s="805"/>
      <c r="AR51" s="805"/>
      <c r="AS51" s="805"/>
      <c r="AT51" s="805"/>
      <c r="AU51" s="805"/>
      <c r="AV51" s="805"/>
      <c r="AW51" s="805"/>
      <c r="AX51" s="805"/>
      <c r="AY51" s="1492"/>
      <c r="AZ51" s="810"/>
      <c r="BA51" s="811"/>
      <c r="BB51" s="761"/>
      <c r="BC51" s="762"/>
      <c r="BD51" s="747"/>
      <c r="BE51" s="743"/>
      <c r="BF51" s="745"/>
      <c r="BG51" s="747"/>
      <c r="BQ51" s="144"/>
      <c r="BR51" s="144"/>
      <c r="BS51" s="144"/>
      <c r="BX51" s="825"/>
      <c r="BY51" s="695" t="s">
        <v>442</v>
      </c>
      <c r="BZ51" s="695"/>
      <c r="CA51" s="137"/>
      <c r="CB51" s="529" t="s">
        <v>1737</v>
      </c>
      <c r="CC51" s="698">
        <f>$AQ$4</f>
        <v>30000</v>
      </c>
      <c r="CD51" s="699"/>
      <c r="CE51" s="726"/>
      <c r="CF51" s="87"/>
      <c r="CG51" s="87"/>
      <c r="CH51" s="137"/>
      <c r="CI51" s="85" t="s">
        <v>467</v>
      </c>
      <c r="CJ51" s="757" t="s">
        <v>461</v>
      </c>
      <c r="CK51" s="758"/>
      <c r="CL51" s="819" t="s">
        <v>126</v>
      </c>
      <c r="CM51" s="820"/>
      <c r="CN51" s="675" t="s">
        <v>731</v>
      </c>
      <c r="CO51" s="676"/>
      <c r="CP51" s="821" t="s">
        <v>473</v>
      </c>
      <c r="CQ51" s="822"/>
      <c r="CR51" s="822"/>
      <c r="CS51" s="823"/>
      <c r="CT51" s="821" t="s">
        <v>462</v>
      </c>
      <c r="CU51" s="822"/>
      <c r="CV51" s="822"/>
      <c r="CW51" s="822"/>
      <c r="CX51" s="822"/>
      <c r="CY51" s="823"/>
      <c r="DM51" s="144"/>
      <c r="DN51" s="144"/>
      <c r="DO51" s="144"/>
      <c r="DP51" s="144"/>
      <c r="DQ51" s="144"/>
      <c r="DR51" s="144"/>
      <c r="DS51" s="144"/>
      <c r="DW51" s="144"/>
      <c r="DX51" s="144"/>
      <c r="DZ51" s="768"/>
      <c r="EA51" s="266" t="s">
        <v>1140</v>
      </c>
      <c r="EB51" s="883">
        <f>$EN$33</f>
        <v>44.51933944218127</v>
      </c>
      <c r="EC51" s="883"/>
      <c r="ED51" s="707"/>
      <c r="EE51" s="707"/>
      <c r="EF51" s="707"/>
      <c r="EG51" s="707"/>
      <c r="EH51" s="707"/>
      <c r="EI51" s="707"/>
      <c r="EJ51" s="707"/>
      <c r="EK51" s="707"/>
      <c r="EL51" s="707"/>
      <c r="EM51" s="708"/>
      <c r="EN51" s="1012"/>
      <c r="EO51" s="1013"/>
      <c r="EP51" s="1013"/>
      <c r="EQ51" s="1013"/>
      <c r="ER51" s="1023"/>
      <c r="ES51" s="1023"/>
      <c r="ET51" s="1023"/>
      <c r="EU51" s="1023"/>
      <c r="EV51" s="1024"/>
      <c r="EW51" s="768"/>
      <c r="EX51" s="768"/>
      <c r="EY51" s="768"/>
      <c r="EZ51" s="768"/>
      <c r="FA51" s="768"/>
      <c r="FB51" s="768"/>
      <c r="FC51" s="768"/>
      <c r="FD51" s="768"/>
      <c r="GF51" s="767"/>
      <c r="GG51" s="665" t="s">
        <v>442</v>
      </c>
      <c r="GH51" s="667"/>
      <c r="GI51" s="254"/>
      <c r="GJ51" s="255" t="s">
        <v>1179</v>
      </c>
      <c r="GK51" s="677">
        <f>$AZ$69</f>
        <v>0.95</v>
      </c>
      <c r="GL51" s="677"/>
      <c r="GM51" s="87"/>
      <c r="GN51" s="87"/>
      <c r="GO51" s="87"/>
      <c r="GP51" s="150"/>
      <c r="GQ51" s="85" t="s">
        <v>467</v>
      </c>
      <c r="GR51" s="757" t="s">
        <v>461</v>
      </c>
      <c r="GS51" s="758"/>
      <c r="GT51" s="819" t="s">
        <v>126</v>
      </c>
      <c r="GU51" s="820"/>
      <c r="GV51" s="675" t="s">
        <v>731</v>
      </c>
      <c r="GW51" s="676"/>
      <c r="GX51" s="821" t="s">
        <v>473</v>
      </c>
      <c r="GY51" s="822"/>
      <c r="GZ51" s="822"/>
      <c r="HA51" s="823"/>
      <c r="HB51" s="769" t="s">
        <v>462</v>
      </c>
      <c r="HC51" s="769"/>
      <c r="HD51" s="769"/>
      <c r="HE51" s="769"/>
      <c r="HF51" s="769"/>
      <c r="IR51" s="826"/>
      <c r="IS51" s="265" t="s">
        <v>1144</v>
      </c>
      <c r="IT51" s="756">
        <f>$AZ$21</f>
        <v>0.313</v>
      </c>
      <c r="IU51" s="756"/>
      <c r="IV51" s="700" t="s">
        <v>83</v>
      </c>
      <c r="IW51" s="701"/>
      <c r="IX51" s="701"/>
      <c r="IY51" s="701"/>
      <c r="IZ51" s="701"/>
      <c r="JA51" s="701"/>
      <c r="JB51" s="701"/>
      <c r="JC51" s="701"/>
      <c r="JD51" s="701"/>
      <c r="JE51" s="701"/>
      <c r="JF51" s="1170">
        <f>(3.14*(IT51*1000-IT52))/IT53</f>
        <v>421.51463707577545</v>
      </c>
      <c r="JG51" s="1171"/>
      <c r="JH51" s="759" t="s">
        <v>50</v>
      </c>
      <c r="JI51" s="760"/>
      <c r="JJ51" s="714"/>
      <c r="JK51" s="716" t="s">
        <v>1266</v>
      </c>
      <c r="JL51" s="717"/>
      <c r="JM51" s="1119"/>
      <c r="JN51" s="767"/>
      <c r="JO51" s="767"/>
      <c r="JP51" s="767"/>
      <c r="JQ51" s="767"/>
      <c r="JR51" s="767"/>
      <c r="RC51" s="369">
        <v>33</v>
      </c>
      <c r="RD51" s="668">
        <v>3.3000000000000002E-2</v>
      </c>
      <c r="RE51" s="669"/>
      <c r="RF51" s="670">
        <f t="shared" si="30"/>
        <v>20.637325140933196</v>
      </c>
      <c r="RG51" s="670"/>
      <c r="RH51" s="670"/>
      <c r="RI51" s="670"/>
      <c r="RJ51" s="698">
        <f t="shared" si="12"/>
        <v>30</v>
      </c>
      <c r="RK51" s="699"/>
      <c r="RL51" s="726"/>
      <c r="RM51" s="670">
        <f t="shared" si="13"/>
        <v>20.82582631114964</v>
      </c>
      <c r="RN51" s="670"/>
      <c r="RO51" s="670"/>
      <c r="RP51" s="670"/>
      <c r="RQ51" s="670"/>
      <c r="RR51" s="670"/>
      <c r="RS51" s="671">
        <f t="shared" ref="RS51:RS82" si="38">$XC$194+$WR$88*$XC$170/RD51</f>
        <v>1.560804663639157</v>
      </c>
      <c r="RT51" s="671"/>
      <c r="RU51" s="671"/>
      <c r="RV51" s="671"/>
      <c r="RW51" s="671"/>
      <c r="RX51" s="671"/>
      <c r="RY51" s="681">
        <f t="shared" si="14"/>
        <v>20.884232155868464</v>
      </c>
      <c r="RZ51" s="681"/>
      <c r="SA51" s="681"/>
      <c r="SB51" s="681"/>
      <c r="SC51" s="681">
        <f>'Вывод расчетов'!$AQ$6/RY51</f>
        <v>18.195545671197689</v>
      </c>
      <c r="SD51" s="681"/>
      <c r="SE51" s="681"/>
      <c r="SF51" s="681"/>
      <c r="SG51" s="867">
        <f t="shared" si="31"/>
        <v>0.99720335206566779</v>
      </c>
      <c r="SH51" s="867"/>
      <c r="SI51" s="867"/>
      <c r="SJ51" s="867"/>
      <c r="SK51" s="865">
        <f t="shared" si="16"/>
        <v>7.4736033002801655E-2</v>
      </c>
      <c r="SL51" s="865"/>
      <c r="SM51" s="865"/>
      <c r="SN51" s="865"/>
      <c r="SO51" s="692">
        <f t="shared" si="26"/>
        <v>18.494981577113538</v>
      </c>
      <c r="SP51" s="693"/>
      <c r="SQ51" s="693"/>
      <c r="SR51" s="693"/>
      <c r="SS51" s="694"/>
      <c r="ST51" s="668">
        <f t="shared" si="24"/>
        <v>12.341939663782609</v>
      </c>
      <c r="SU51" s="678"/>
      <c r="SV51" s="678"/>
      <c r="SW51" s="678"/>
      <c r="SX51" s="678"/>
      <c r="SY51" s="669"/>
      <c r="SZ51" s="682">
        <f t="shared" si="19"/>
        <v>22.234833442196493</v>
      </c>
      <c r="TA51" s="683"/>
      <c r="TB51" s="683"/>
      <c r="TC51" s="683"/>
      <c r="TD51" s="683"/>
      <c r="TE51" s="684"/>
      <c r="TF51" s="682">
        <f>'Вывод расчетов'!$XC$174*SC51</f>
        <v>18.485320985019555</v>
      </c>
      <c r="TG51" s="683"/>
      <c r="TH51" s="684"/>
      <c r="TI51" s="681">
        <f t="shared" si="25"/>
        <v>21.084278997909433</v>
      </c>
      <c r="TJ51" s="681"/>
      <c r="TK51" s="681"/>
      <c r="TL51" s="681"/>
      <c r="TM51" s="685">
        <f t="shared" si="21"/>
        <v>0.27519539009468191</v>
      </c>
      <c r="TN51" s="686"/>
      <c r="TO51" s="686"/>
      <c r="TP51" s="687"/>
      <c r="TQ51" s="688">
        <f t="shared" si="22"/>
        <v>0.67642362843977721</v>
      </c>
      <c r="TR51" s="688"/>
      <c r="TS51" s="688"/>
      <c r="TT51" s="688"/>
      <c r="TU51" s="689">
        <f t="shared" si="27"/>
        <v>7.8064528637075983E-2</v>
      </c>
      <c r="TV51" s="690"/>
      <c r="TW51" s="690"/>
      <c r="TX51" s="690"/>
      <c r="TY51" s="690"/>
      <c r="TZ51" s="691"/>
      <c r="UA51" s="756">
        <v>3.3000000000000002E-2</v>
      </c>
      <c r="UB51" s="756"/>
      <c r="UC51" s="650">
        <v>0.33</v>
      </c>
      <c r="UD51" s="866">
        <f t="shared" ref="UD51:UD82" si="39">$UI$14/1000+TM51+TQ51+TU51+$UI$15</f>
        <v>1.9099703629989484</v>
      </c>
      <c r="UE51" s="866"/>
      <c r="UF51" s="866"/>
      <c r="UG51" s="866"/>
      <c r="UH51" s="866"/>
      <c r="UI51" s="866"/>
      <c r="UJ51" s="866"/>
      <c r="UK51" s="681">
        <f t="shared" ref="UK51:UK82" si="40">TI51-UD51</f>
        <v>19.174308634910485</v>
      </c>
      <c r="UL51" s="681"/>
      <c r="UM51" s="681"/>
      <c r="UN51" s="681"/>
      <c r="UO51" s="816">
        <f t="shared" ref="UO51:UO82" si="41">1-(UD51/TI51)</f>
        <v>0.90941258350886334</v>
      </c>
      <c r="UP51" s="816"/>
      <c r="UQ51" s="816"/>
      <c r="UR51" s="816"/>
      <c r="US51" s="866">
        <f t="shared" ref="US51:US82" si="42">(SO51-$UV$14)/SZ51</f>
        <v>0.83180211919260016</v>
      </c>
      <c r="UT51" s="866"/>
      <c r="UU51" s="866"/>
      <c r="UV51" s="866"/>
      <c r="UW51" s="866"/>
      <c r="VJ51" s="225"/>
      <c r="VK51" s="225"/>
      <c r="VL51" s="225"/>
      <c r="VM51" s="225"/>
      <c r="WC51" s="905"/>
      <c r="WD51" s="900"/>
      <c r="WE51" s="900"/>
      <c r="WF51" s="900"/>
      <c r="WG51" s="900"/>
      <c r="WH51" s="906"/>
      <c r="WI51" s="863" t="s">
        <v>1776</v>
      </c>
      <c r="WJ51" s="863"/>
      <c r="WK51" s="756">
        <f>$PX$173</f>
        <v>166.66666666666669</v>
      </c>
      <c r="WL51" s="756"/>
      <c r="WM51" s="182"/>
      <c r="WN51" s="185"/>
      <c r="WO51" s="880">
        <v>16</v>
      </c>
      <c r="WP51" s="880"/>
      <c r="WQ51" s="1033" t="s">
        <v>416</v>
      </c>
      <c r="WR51" s="1033"/>
      <c r="WS51" s="1034">
        <f>($WK$51*(WS41/$WK$52))</f>
        <v>137.09561823593174</v>
      </c>
      <c r="WT51" s="1034"/>
      <c r="WU51" s="1034">
        <f t="shared" ref="WU51:XD51" si="43">($WK$51*(WU41/$WK$52))</f>
        <v>71.081657663134777</v>
      </c>
      <c r="WV51" s="1034"/>
      <c r="WW51" s="1034">
        <f t="shared" ref="WW51:XD51" si="44">($WK$51*(WW41/$WK$52))</f>
        <v>78.918396275669082</v>
      </c>
      <c r="WX51" s="1034"/>
      <c r="WY51" s="1034">
        <f t="shared" ref="WY51:XD51" si="45">($WK$51*(WY41/$WK$52))</f>
        <v>387.69426611314623</v>
      </c>
      <c r="WZ51" s="1034"/>
      <c r="XA51" s="1034">
        <f t="shared" ref="XA51:XD51" si="46">($WK$51*(XA41/$WK$52))</f>
        <v>466.0219613142657</v>
      </c>
      <c r="XB51" s="1034"/>
      <c r="XC51" s="1034">
        <f t="shared" ref="XC51:XD51" si="47">($WK$51*(XC41/$WK$52))</f>
        <v>540.7953772420625</v>
      </c>
      <c r="XD51" s="1034"/>
      <c r="XE51" s="181"/>
      <c r="XF51" s="182"/>
      <c r="XG51" s="182"/>
      <c r="XH51" s="182"/>
      <c r="XI51" s="185"/>
      <c r="XO51" s="826"/>
      <c r="XP51" s="696" t="s">
        <v>1602</v>
      </c>
      <c r="XQ51" s="720"/>
      <c r="XR51" s="948">
        <f>$YC$22</f>
        <v>9.1500000000000001E-3</v>
      </c>
      <c r="XS51" s="965"/>
      <c r="XT51" s="701" t="s">
        <v>144</v>
      </c>
      <c r="XU51" s="701"/>
      <c r="XV51" s="701"/>
      <c r="XW51" s="701"/>
      <c r="XX51" s="701"/>
      <c r="XY51" s="701"/>
      <c r="XZ51" s="701"/>
      <c r="YA51" s="701"/>
      <c r="YB51" s="702"/>
      <c r="YC51" s="763">
        <f>(YC22/(1+XR52))*1000</f>
        <v>5.5120481927710845</v>
      </c>
      <c r="YD51" s="764"/>
      <c r="YE51" s="1115" t="s">
        <v>762</v>
      </c>
      <c r="YF51" s="1116"/>
      <c r="YG51" s="714"/>
      <c r="YH51" s="952" t="s">
        <v>1547</v>
      </c>
      <c r="YI51" s="953"/>
      <c r="YJ51" s="746"/>
      <c r="YK51" s="919"/>
      <c r="YL51" s="840"/>
      <c r="YM51" s="920"/>
      <c r="ZJ51" s="144"/>
      <c r="ZK51" s="144"/>
      <c r="ZL51" s="144"/>
      <c r="ZM51" s="144"/>
      <c r="ZN51" s="144"/>
      <c r="ZO51" s="144"/>
      <c r="ZP51" s="144"/>
      <c r="ZQ51" s="144"/>
      <c r="ZR51" s="144"/>
      <c r="ZS51" s="144"/>
      <c r="ZT51" s="144"/>
      <c r="ZU51" s="144"/>
      <c r="ZV51" s="144"/>
      <c r="ZW51" s="144"/>
      <c r="ZX51" s="144"/>
      <c r="ZY51" s="144"/>
      <c r="AAD51" s="947"/>
      <c r="AAE51" s="947"/>
      <c r="AAF51" s="947"/>
      <c r="AAG51" s="947"/>
      <c r="AAH51" s="465">
        <v>41</v>
      </c>
      <c r="AAI51" s="956"/>
      <c r="AAJ51" s="957"/>
      <c r="AAK51" s="956"/>
      <c r="AAL51" s="957"/>
      <c r="AAM51" s="958">
        <f t="shared" si="29"/>
        <v>0.54666666666666675</v>
      </c>
      <c r="AAN51" s="959"/>
      <c r="AAP51" s="947"/>
      <c r="AAQ51" s="947"/>
      <c r="AAR51" s="947"/>
      <c r="AAS51" s="947"/>
      <c r="AAT51" s="465">
        <v>101</v>
      </c>
      <c r="AAU51" s="956"/>
      <c r="AAV51" s="957"/>
      <c r="AAW51" s="956"/>
      <c r="AAX51" s="957"/>
      <c r="AAY51" s="958">
        <f t="shared" si="1"/>
        <v>1.3466666666666667</v>
      </c>
      <c r="AAZ51" s="959"/>
      <c r="ABB51" s="947"/>
      <c r="ABC51" s="947"/>
      <c r="ABD51" s="947"/>
      <c r="ABE51" s="947"/>
      <c r="ABF51" s="465">
        <v>161</v>
      </c>
      <c r="ABG51" s="956"/>
      <c r="ABH51" s="957"/>
      <c r="ABI51" s="956"/>
      <c r="ABJ51" s="957"/>
      <c r="ABK51" s="958">
        <f t="shared" si="2"/>
        <v>2.1466666666666669</v>
      </c>
      <c r="ABL51" s="959"/>
      <c r="ABN51" s="947"/>
      <c r="ABO51" s="947"/>
      <c r="ABP51" s="947"/>
      <c r="ABQ51" s="947"/>
      <c r="ABR51" s="465">
        <v>221</v>
      </c>
      <c r="ABS51" s="956"/>
      <c r="ABT51" s="957"/>
      <c r="ABU51" s="956"/>
      <c r="ABV51" s="957"/>
      <c r="ABW51" s="958">
        <f t="shared" si="3"/>
        <v>2.9466666666666668</v>
      </c>
      <c r="ABX51" s="959"/>
      <c r="ABZ51" s="947"/>
      <c r="ACA51" s="947"/>
      <c r="ACB51" s="947"/>
      <c r="ACC51" s="947"/>
      <c r="ACD51" s="465">
        <v>281</v>
      </c>
      <c r="ACE51" s="956"/>
      <c r="ACF51" s="957"/>
      <c r="ACG51" s="956"/>
      <c r="ACH51" s="957"/>
      <c r="ACI51" s="958">
        <f t="shared" si="4"/>
        <v>3.746666666666667</v>
      </c>
      <c r="ACJ51" s="959"/>
      <c r="ADB51" s="1033">
        <v>11</v>
      </c>
      <c r="ADC51" s="1033"/>
      <c r="ADD51" s="1026" t="s">
        <v>1472</v>
      </c>
      <c r="ADE51" s="1026"/>
      <c r="ADF51" s="1026"/>
      <c r="ADG51" s="1026"/>
      <c r="ADH51" s="884">
        <f>$MN$229</f>
        <v>0.96983668719546179</v>
      </c>
      <c r="ADI51" s="884"/>
      <c r="ADJ51" s="1035" t="s">
        <v>415</v>
      </c>
      <c r="ADK51" s="1036"/>
      <c r="ADL51" s="1034" t="s">
        <v>400</v>
      </c>
      <c r="ADM51" s="1034"/>
      <c r="ADN51" s="1034" t="s">
        <v>400</v>
      </c>
      <c r="ADO51" s="1034"/>
      <c r="ADP51" s="1034" t="s">
        <v>400</v>
      </c>
      <c r="ADQ51" s="1034"/>
      <c r="ADR51" s="1034" t="s">
        <v>400</v>
      </c>
      <c r="ADS51" s="1034"/>
      <c r="ADT51" s="1034" t="s">
        <v>400</v>
      </c>
      <c r="ADU51" s="1034"/>
      <c r="ADV51" s="1034" t="s">
        <v>400</v>
      </c>
      <c r="ADW51" s="1081"/>
      <c r="ADX51" s="1072"/>
      <c r="ADY51" s="1072"/>
      <c r="ADZ51" s="1072"/>
      <c r="AEA51" s="1072"/>
      <c r="AEB51" s="1072"/>
      <c r="AEC51" s="1072"/>
      <c r="AED51" s="1072"/>
      <c r="AEE51" s="1072"/>
      <c r="AEF51" s="173"/>
      <c r="AEG51" s="172"/>
      <c r="AEH51" s="172"/>
      <c r="AEI51" s="172"/>
      <c r="AEJ51" s="172"/>
      <c r="AEK51" s="177"/>
      <c r="AEP51" s="947"/>
      <c r="AEQ51" s="947"/>
      <c r="AER51" s="947"/>
      <c r="AES51" s="947"/>
      <c r="AET51" s="656">
        <v>7</v>
      </c>
      <c r="AEU51" s="956"/>
      <c r="AEV51" s="957"/>
      <c r="AEW51" s="958">
        <f t="shared" si="35"/>
        <v>0.22166666666666668</v>
      </c>
      <c r="AEX51" s="959"/>
      <c r="AEZ51" s="947"/>
      <c r="AFA51" s="947"/>
      <c r="AFB51" s="947"/>
      <c r="AFC51" s="947"/>
      <c r="AFD51" s="656">
        <v>67</v>
      </c>
      <c r="AFE51" s="956"/>
      <c r="AFF51" s="957"/>
      <c r="AFG51" s="958">
        <f t="shared" si="36"/>
        <v>2.121666666666667</v>
      </c>
      <c r="AFH51" s="959"/>
      <c r="AFJ51" s="947"/>
      <c r="AFK51" s="947"/>
      <c r="AFL51" s="947"/>
      <c r="AFM51" s="947"/>
      <c r="AFN51" s="657">
        <v>127</v>
      </c>
      <c r="AFO51" s="956"/>
      <c r="AFP51" s="957"/>
      <c r="AFQ51" s="958">
        <f t="shared" si="37"/>
        <v>4.0216666666666674</v>
      </c>
      <c r="AFR51" s="959"/>
      <c r="AFT51" s="947"/>
      <c r="AFU51" s="947"/>
      <c r="AFV51" s="947"/>
      <c r="AFW51" s="947"/>
      <c r="AFX51" s="657">
        <v>187</v>
      </c>
      <c r="AFY51" s="956"/>
      <c r="AFZ51" s="957"/>
      <c r="AGA51" s="958"/>
      <c r="AGB51" s="959"/>
      <c r="AGD51" s="947"/>
      <c r="AGE51" s="947"/>
      <c r="AGF51" s="947"/>
      <c r="AGG51" s="947"/>
      <c r="AGH51" s="657">
        <v>247</v>
      </c>
      <c r="AGI51" s="956"/>
      <c r="AGJ51" s="957"/>
      <c r="AGK51" s="958"/>
      <c r="AGL51" s="959"/>
      <c r="AHO51" s="144"/>
      <c r="AIM51" s="825"/>
      <c r="AIN51" s="147" t="s">
        <v>442</v>
      </c>
      <c r="AIO51" s="148"/>
      <c r="AIP51" s="156"/>
      <c r="AIQ51" s="87"/>
      <c r="AIR51" s="87"/>
      <c r="AIS51" s="87"/>
      <c r="AIT51" s="87"/>
      <c r="AIU51" s="87"/>
      <c r="AIV51" s="87"/>
      <c r="AIW51" s="156"/>
      <c r="AIX51" s="85" t="s">
        <v>467</v>
      </c>
      <c r="AIY51" s="757" t="s">
        <v>461</v>
      </c>
      <c r="AIZ51" s="758"/>
      <c r="AJA51" s="819" t="s">
        <v>126</v>
      </c>
      <c r="AJB51" s="820"/>
      <c r="AJC51" s="675" t="s">
        <v>731</v>
      </c>
      <c r="AJD51" s="676"/>
      <c r="AJE51" s="821" t="s">
        <v>473</v>
      </c>
      <c r="AJF51" s="822"/>
      <c r="AJG51" s="822"/>
      <c r="AJH51" s="823"/>
      <c r="AJO51" s="827"/>
      <c r="AJP51" s="818"/>
      <c r="AJQ51" s="818"/>
      <c r="AJR51" s="818"/>
      <c r="AJS51" s="818"/>
      <c r="AJT51" s="818"/>
      <c r="AJU51" s="818"/>
      <c r="AJV51" s="818"/>
      <c r="AJW51" s="818"/>
      <c r="AJX51" s="818"/>
      <c r="AJY51" s="818"/>
      <c r="AJZ51" s="818"/>
      <c r="AKA51" s="818"/>
      <c r="AKB51" s="1106"/>
      <c r="AKC51" s="1395"/>
      <c r="AKD51" s="1396"/>
      <c r="AKE51" s="707"/>
      <c r="AKF51" s="708"/>
      <c r="AKG51" s="715"/>
      <c r="AKH51" s="718"/>
      <c r="AKI51" s="719"/>
      <c r="AKJ51" s="747"/>
    </row>
    <row r="52" spans="3:982" ht="48" customHeight="1" thickBot="1">
      <c r="C52" s="825"/>
      <c r="D52" s="147" t="s">
        <v>442</v>
      </c>
      <c r="E52" s="148"/>
      <c r="F52" s="232"/>
      <c r="G52" s="87"/>
      <c r="H52" s="87"/>
      <c r="I52" s="87"/>
      <c r="J52" s="87"/>
      <c r="K52" s="232"/>
      <c r="L52" s="84" t="s">
        <v>729</v>
      </c>
      <c r="M52" s="232"/>
      <c r="N52" s="85" t="s">
        <v>467</v>
      </c>
      <c r="O52" s="757" t="s">
        <v>461</v>
      </c>
      <c r="P52" s="899"/>
      <c r="Q52" s="1130" t="s">
        <v>126</v>
      </c>
      <c r="R52" s="1131"/>
      <c r="BQ52" s="144"/>
      <c r="BR52" s="144"/>
      <c r="BS52" s="144"/>
      <c r="BX52" s="826"/>
      <c r="BY52" s="731" t="s">
        <v>31</v>
      </c>
      <c r="BZ52" s="732"/>
      <c r="CA52" s="732"/>
      <c r="CB52" s="732"/>
      <c r="CC52" s="732"/>
      <c r="CD52" s="732"/>
      <c r="CE52" s="732"/>
      <c r="CF52" s="732"/>
      <c r="CG52" s="732"/>
      <c r="CH52" s="732"/>
      <c r="CI52" s="732"/>
      <c r="CJ52" s="732"/>
      <c r="CK52" s="732"/>
      <c r="CL52" s="1087">
        <f>AQ4/(CM32*AQ6*AZ50*AZ46)</f>
        <v>32.488628979857047</v>
      </c>
      <c r="CM52" s="1006"/>
      <c r="CN52" s="1203" t="s">
        <v>35</v>
      </c>
      <c r="CO52" s="1063"/>
      <c r="CP52" s="712"/>
      <c r="CQ52" s="740" t="s">
        <v>813</v>
      </c>
      <c r="CR52" s="742"/>
      <c r="CS52" s="746"/>
      <c r="CT52" s="919"/>
      <c r="CU52" s="840"/>
      <c r="CV52" s="840"/>
      <c r="CW52" s="840"/>
      <c r="CX52" s="840"/>
      <c r="CY52" s="920"/>
      <c r="DM52" s="144"/>
      <c r="DN52" s="144"/>
      <c r="DO52" s="144"/>
      <c r="DP52" s="144"/>
      <c r="DQ52" s="144"/>
      <c r="DR52" s="144"/>
      <c r="DS52" s="144"/>
      <c r="DT52" s="144"/>
      <c r="DU52" s="144"/>
      <c r="DV52" s="144"/>
      <c r="DW52" s="144"/>
      <c r="DX52" s="144"/>
      <c r="FE52" s="6"/>
      <c r="FF52" s="3"/>
      <c r="GF52" s="767"/>
      <c r="GG52" s="355" t="s">
        <v>863</v>
      </c>
      <c r="GH52" s="724">
        <f>$CM$32</f>
        <v>3</v>
      </c>
      <c r="GI52" s="724"/>
      <c r="GJ52" s="257" t="s">
        <v>1180</v>
      </c>
      <c r="GK52" s="756">
        <f>$GW$24</f>
        <v>58</v>
      </c>
      <c r="GL52" s="756"/>
      <c r="GM52" s="939" t="s">
        <v>60</v>
      </c>
      <c r="GN52" s="940"/>
      <c r="GO52" s="940"/>
      <c r="GP52" s="940"/>
      <c r="GQ52" s="940"/>
      <c r="GR52" s="940"/>
      <c r="GS52" s="1003"/>
      <c r="GT52" s="1361">
        <f>(2*GH52*GH53*GK51)/GK52</f>
        <v>10.269827586206896</v>
      </c>
      <c r="GU52" s="1362"/>
      <c r="GV52" s="849" t="s">
        <v>762</v>
      </c>
      <c r="GW52" s="850"/>
      <c r="GX52" s="712"/>
      <c r="GY52" s="716" t="s">
        <v>1094</v>
      </c>
      <c r="GZ52" s="717"/>
      <c r="HA52" s="746"/>
      <c r="HB52" s="767"/>
      <c r="HC52" s="767"/>
      <c r="HD52" s="767"/>
      <c r="HE52" s="767"/>
      <c r="HF52" s="767"/>
      <c r="IR52" s="826"/>
      <c r="IS52" s="344" t="s">
        <v>1140</v>
      </c>
      <c r="IT52" s="739">
        <f>$JF$41</f>
        <v>44.51933944218127</v>
      </c>
      <c r="IU52" s="739"/>
      <c r="IV52" s="703"/>
      <c r="IW52" s="704"/>
      <c r="IX52" s="704"/>
      <c r="IY52" s="704"/>
      <c r="IZ52" s="704"/>
      <c r="JA52" s="704"/>
      <c r="JB52" s="704"/>
      <c r="JC52" s="704"/>
      <c r="JD52" s="704"/>
      <c r="JE52" s="704"/>
      <c r="JF52" s="1172"/>
      <c r="JG52" s="1173"/>
      <c r="JH52" s="761"/>
      <c r="JI52" s="762"/>
      <c r="JJ52" s="715"/>
      <c r="JK52" s="718"/>
      <c r="JL52" s="719"/>
      <c r="JM52" s="1120"/>
      <c r="JN52" s="767"/>
      <c r="JO52" s="767"/>
      <c r="JP52" s="767"/>
      <c r="JQ52" s="767"/>
      <c r="JR52" s="767"/>
      <c r="LZ52" s="825"/>
      <c r="MA52" s="665" t="s">
        <v>442</v>
      </c>
      <c r="MB52" s="666"/>
      <c r="MC52" s="370"/>
      <c r="MD52" s="473" t="s">
        <v>1593</v>
      </c>
      <c r="ME52" s="884">
        <f>$MN$23</f>
        <v>0.18554623176557763</v>
      </c>
      <c r="MF52" s="884"/>
      <c r="MG52" s="87"/>
      <c r="MH52" s="87"/>
      <c r="MI52" s="87"/>
      <c r="MJ52" s="370"/>
      <c r="MK52" s="85" t="s">
        <v>467</v>
      </c>
      <c r="ML52" s="757" t="s">
        <v>461</v>
      </c>
      <c r="MM52" s="758"/>
      <c r="MN52" s="819" t="s">
        <v>126</v>
      </c>
      <c r="MO52" s="820"/>
      <c r="MP52" s="675" t="s">
        <v>731</v>
      </c>
      <c r="MQ52" s="676"/>
      <c r="MR52" s="821" t="s">
        <v>473</v>
      </c>
      <c r="MS52" s="822"/>
      <c r="MT52" s="822"/>
      <c r="MU52" s="823"/>
      <c r="MV52" s="769" t="s">
        <v>462</v>
      </c>
      <c r="MW52" s="769"/>
      <c r="MX52" s="769"/>
      <c r="MY52" s="769"/>
      <c r="PH52" s="144"/>
      <c r="PJ52" s="825"/>
      <c r="PK52" s="665" t="s">
        <v>442</v>
      </c>
      <c r="PL52" s="666"/>
      <c r="PM52" s="504"/>
      <c r="PN52" s="547" t="s">
        <v>1749</v>
      </c>
      <c r="PO52" s="677">
        <f>$AZ$86</f>
        <v>0.13</v>
      </c>
      <c r="PP52" s="677"/>
      <c r="PQ52" s="516" t="s">
        <v>1144</v>
      </c>
      <c r="PR52" s="756">
        <f>$AZ$21</f>
        <v>0.313</v>
      </c>
      <c r="PS52" s="756"/>
      <c r="PT52" s="504"/>
      <c r="PU52" s="85" t="s">
        <v>467</v>
      </c>
      <c r="PV52" s="757" t="s">
        <v>461</v>
      </c>
      <c r="PW52" s="758"/>
      <c r="PX52" s="819" t="s">
        <v>126</v>
      </c>
      <c r="PY52" s="820"/>
      <c r="PZ52" s="675" t="s">
        <v>731</v>
      </c>
      <c r="QA52" s="676"/>
      <c r="QB52" s="769" t="s">
        <v>473</v>
      </c>
      <c r="QC52" s="769"/>
      <c r="QD52" s="769"/>
      <c r="QE52" s="769"/>
      <c r="QF52" s="769"/>
      <c r="QG52" s="769" t="s">
        <v>462</v>
      </c>
      <c r="QH52" s="769"/>
      <c r="QI52" s="769"/>
      <c r="QJ52" s="769"/>
      <c r="QK52" s="769"/>
      <c r="QL52" s="769"/>
      <c r="QM52" s="769"/>
      <c r="QN52" s="769"/>
      <c r="QO52" s="769"/>
      <c r="QP52" s="769"/>
      <c r="QQ52" s="769"/>
      <c r="RC52" s="369">
        <v>34</v>
      </c>
      <c r="RD52" s="668">
        <v>3.4000000000000002E-2</v>
      </c>
      <c r="RE52" s="669"/>
      <c r="RF52" s="670">
        <f t="shared" si="30"/>
        <v>20.030344989729279</v>
      </c>
      <c r="RG52" s="670"/>
      <c r="RH52" s="670"/>
      <c r="RI52" s="670"/>
      <c r="RJ52" s="698">
        <f t="shared" si="12"/>
        <v>30</v>
      </c>
      <c r="RK52" s="699"/>
      <c r="RL52" s="726"/>
      <c r="RM52" s="670">
        <f t="shared" si="13"/>
        <v>20.218846159945723</v>
      </c>
      <c r="RN52" s="670"/>
      <c r="RO52" s="670"/>
      <c r="RP52" s="670"/>
      <c r="RQ52" s="670"/>
      <c r="RR52" s="670"/>
      <c r="RS52" s="671">
        <f t="shared" si="38"/>
        <v>1.560804663639157</v>
      </c>
      <c r="RT52" s="671"/>
      <c r="RU52" s="671"/>
      <c r="RV52" s="671"/>
      <c r="RW52" s="671"/>
      <c r="RX52" s="671"/>
      <c r="RY52" s="681">
        <f t="shared" si="14"/>
        <v>20.279000252418502</v>
      </c>
      <c r="RZ52" s="681"/>
      <c r="SA52" s="681"/>
      <c r="SB52" s="681"/>
      <c r="SC52" s="681">
        <f>'Вывод расчетов'!$AQ$6/RY52</f>
        <v>18.738596344495861</v>
      </c>
      <c r="SD52" s="681"/>
      <c r="SE52" s="681"/>
      <c r="SF52" s="681"/>
      <c r="SG52" s="867">
        <f t="shared" si="31"/>
        <v>0.99703367563863976</v>
      </c>
      <c r="SH52" s="867"/>
      <c r="SI52" s="867"/>
      <c r="SJ52" s="867"/>
      <c r="SK52" s="865">
        <f t="shared" si="16"/>
        <v>7.6966548854054739E-2</v>
      </c>
      <c r="SL52" s="865"/>
      <c r="SM52" s="865"/>
      <c r="SN52" s="865"/>
      <c r="SO52" s="692">
        <f t="shared" si="26"/>
        <v>19.033334030792737</v>
      </c>
      <c r="SP52" s="693"/>
      <c r="SQ52" s="693"/>
      <c r="SR52" s="693"/>
      <c r="SS52" s="694"/>
      <c r="ST52" s="668">
        <f t="shared" si="24"/>
        <v>12.424321853001047</v>
      </c>
      <c r="SU52" s="678"/>
      <c r="SV52" s="678"/>
      <c r="SW52" s="678"/>
      <c r="SX52" s="678"/>
      <c r="SY52" s="669"/>
      <c r="SZ52" s="682">
        <f t="shared" si="19"/>
        <v>22.729530963807683</v>
      </c>
      <c r="TA52" s="683"/>
      <c r="TB52" s="683"/>
      <c r="TC52" s="683"/>
      <c r="TD52" s="683"/>
      <c r="TE52" s="684"/>
      <c r="TF52" s="682">
        <f>'Вывод расчетов'!$XC$174*SC52</f>
        <v>19.037020076019498</v>
      </c>
      <c r="TG52" s="683"/>
      <c r="TH52" s="684"/>
      <c r="TI52" s="681">
        <f t="shared" si="25"/>
        <v>21.69800079510372</v>
      </c>
      <c r="TJ52" s="681"/>
      <c r="TK52" s="681"/>
      <c r="TL52" s="681"/>
      <c r="TM52" s="685">
        <f t="shared" si="21"/>
        <v>0.28757712743499558</v>
      </c>
      <c r="TN52" s="686"/>
      <c r="TO52" s="686"/>
      <c r="TP52" s="687"/>
      <c r="TQ52" s="688">
        <f t="shared" si="22"/>
        <v>0.71740221479339727</v>
      </c>
      <c r="TR52" s="688"/>
      <c r="TS52" s="688"/>
      <c r="TT52" s="688"/>
      <c r="TU52" s="689">
        <f t="shared" si="27"/>
        <v>8.1576849424306902E-2</v>
      </c>
      <c r="TV52" s="690"/>
      <c r="TW52" s="690"/>
      <c r="TX52" s="690"/>
      <c r="TY52" s="690"/>
      <c r="TZ52" s="691"/>
      <c r="UA52" s="679">
        <v>3.4000000000000002E-2</v>
      </c>
      <c r="UB52" s="680"/>
      <c r="UC52" s="650">
        <v>0.34</v>
      </c>
      <c r="UD52" s="866">
        <f t="shared" si="39"/>
        <v>1.9668430074801135</v>
      </c>
      <c r="UE52" s="866"/>
      <c r="UF52" s="866"/>
      <c r="UG52" s="866"/>
      <c r="UH52" s="866"/>
      <c r="UI52" s="866"/>
      <c r="UJ52" s="866"/>
      <c r="UK52" s="681">
        <f t="shared" si="40"/>
        <v>19.731157787623605</v>
      </c>
      <c r="UL52" s="681"/>
      <c r="UM52" s="681"/>
      <c r="UN52" s="681"/>
      <c r="UO52" s="816">
        <f t="shared" si="41"/>
        <v>0.90935372221371003</v>
      </c>
      <c r="UP52" s="816"/>
      <c r="UQ52" s="816"/>
      <c r="UR52" s="816"/>
      <c r="US52" s="866">
        <f t="shared" si="42"/>
        <v>0.83738349291499181</v>
      </c>
      <c r="UT52" s="866"/>
      <c r="UU52" s="866"/>
      <c r="UV52" s="866"/>
      <c r="UW52" s="866"/>
      <c r="VJ52" s="225"/>
      <c r="VK52" s="225"/>
      <c r="VL52" s="225"/>
      <c r="VM52" s="225"/>
      <c r="VW52" s="144"/>
      <c r="VX52" s="144"/>
      <c r="VY52" s="144"/>
      <c r="VZ52" s="144"/>
      <c r="WA52" s="144"/>
      <c r="WC52" s="905"/>
      <c r="WD52" s="900"/>
      <c r="WE52" s="900"/>
      <c r="WF52" s="900"/>
      <c r="WG52" s="900"/>
      <c r="WH52" s="906"/>
      <c r="WI52" s="696" t="s">
        <v>1189</v>
      </c>
      <c r="WJ52" s="697"/>
      <c r="WK52" s="677">
        <f>$CL$52</f>
        <v>32.488628979857047</v>
      </c>
      <c r="WL52" s="677"/>
      <c r="WM52" s="184"/>
      <c r="WN52" s="186"/>
      <c r="WO52" s="880"/>
      <c r="WP52" s="880"/>
      <c r="WQ52" s="1033"/>
      <c r="WR52" s="1033"/>
      <c r="WS52" s="1034"/>
      <c r="WT52" s="1034"/>
      <c r="WU52" s="1034"/>
      <c r="WV52" s="1034"/>
      <c r="WW52" s="1034"/>
      <c r="WX52" s="1034"/>
      <c r="WY52" s="1034"/>
      <c r="WZ52" s="1034"/>
      <c r="XA52" s="1034"/>
      <c r="XB52" s="1034"/>
      <c r="XC52" s="1034"/>
      <c r="XD52" s="1034"/>
      <c r="XE52" s="183"/>
      <c r="XF52" s="184"/>
      <c r="XG52" s="184"/>
      <c r="XH52" s="184"/>
      <c r="XI52" s="186"/>
      <c r="XO52" s="827"/>
      <c r="XP52" s="949" t="s">
        <v>458</v>
      </c>
      <c r="XQ52" s="962"/>
      <c r="XR52" s="828">
        <f>$YF$41</f>
        <v>0.66</v>
      </c>
      <c r="XS52" s="828"/>
      <c r="XT52" s="707"/>
      <c r="XU52" s="707"/>
      <c r="XV52" s="707"/>
      <c r="XW52" s="707"/>
      <c r="XX52" s="707"/>
      <c r="XY52" s="707"/>
      <c r="XZ52" s="707"/>
      <c r="YA52" s="707"/>
      <c r="YB52" s="708"/>
      <c r="YC52" s="765"/>
      <c r="YD52" s="766"/>
      <c r="YE52" s="1117"/>
      <c r="YF52" s="1118"/>
      <c r="YG52" s="715"/>
      <c r="YH52" s="954"/>
      <c r="YI52" s="955"/>
      <c r="YJ52" s="747"/>
      <c r="YK52" s="892"/>
      <c r="YL52" s="893"/>
      <c r="YM52" s="894"/>
      <c r="YN52" s="144"/>
      <c r="YO52" s="144"/>
      <c r="YP52" s="144"/>
      <c r="YQ52" s="144"/>
      <c r="ZJ52" s="144"/>
      <c r="ZK52" s="144"/>
      <c r="ZL52" s="144"/>
      <c r="ZM52" s="144"/>
      <c r="ZN52" s="144"/>
      <c r="ZR52" s="144"/>
      <c r="ZS52" s="144"/>
      <c r="ZT52" s="144"/>
      <c r="ZU52" s="144"/>
      <c r="ZV52" s="144"/>
      <c r="ZW52" s="144"/>
      <c r="ZX52" s="144"/>
      <c r="ZY52" s="144"/>
      <c r="AAD52" s="947"/>
      <c r="AAE52" s="947"/>
      <c r="AAF52" s="947"/>
      <c r="AAG52" s="947"/>
      <c r="AAH52" s="465">
        <v>42</v>
      </c>
      <c r="AAI52" s="956"/>
      <c r="AAJ52" s="957"/>
      <c r="AAK52" s="956"/>
      <c r="AAL52" s="957"/>
      <c r="AAM52" s="958">
        <f t="shared" si="29"/>
        <v>0.56000000000000005</v>
      </c>
      <c r="AAN52" s="959"/>
      <c r="AAP52" s="947"/>
      <c r="AAQ52" s="947"/>
      <c r="AAR52" s="947"/>
      <c r="AAS52" s="947"/>
      <c r="AAT52" s="465">
        <v>102</v>
      </c>
      <c r="AAU52" s="956"/>
      <c r="AAV52" s="957"/>
      <c r="AAW52" s="956"/>
      <c r="AAX52" s="957"/>
      <c r="AAY52" s="958">
        <f t="shared" si="1"/>
        <v>1.36</v>
      </c>
      <c r="AAZ52" s="959"/>
      <c r="ABB52" s="947"/>
      <c r="ABC52" s="947"/>
      <c r="ABD52" s="947"/>
      <c r="ABE52" s="947"/>
      <c r="ABF52" s="465">
        <v>162</v>
      </c>
      <c r="ABG52" s="956"/>
      <c r="ABH52" s="957"/>
      <c r="ABI52" s="956"/>
      <c r="ABJ52" s="957"/>
      <c r="ABK52" s="958">
        <f t="shared" si="2"/>
        <v>2.16</v>
      </c>
      <c r="ABL52" s="959"/>
      <c r="ABN52" s="947"/>
      <c r="ABO52" s="947"/>
      <c r="ABP52" s="947"/>
      <c r="ABQ52" s="947"/>
      <c r="ABR52" s="465">
        <v>222</v>
      </c>
      <c r="ABS52" s="956"/>
      <c r="ABT52" s="957"/>
      <c r="ABU52" s="956"/>
      <c r="ABV52" s="957"/>
      <c r="ABW52" s="958">
        <f t="shared" si="3"/>
        <v>2.9600000000000004</v>
      </c>
      <c r="ABX52" s="959"/>
      <c r="ABZ52" s="947"/>
      <c r="ACA52" s="947"/>
      <c r="ACB52" s="947"/>
      <c r="ACC52" s="947"/>
      <c r="ACD52" s="465">
        <v>282</v>
      </c>
      <c r="ACE52" s="956"/>
      <c r="ACF52" s="957"/>
      <c r="ACG52" s="956"/>
      <c r="ACH52" s="957"/>
      <c r="ACI52" s="958">
        <f t="shared" si="4"/>
        <v>3.7600000000000002</v>
      </c>
      <c r="ACJ52" s="959"/>
      <c r="ADB52" s="1033"/>
      <c r="ADC52" s="1033"/>
      <c r="ADD52" s="184"/>
      <c r="ADE52" s="184"/>
      <c r="ADF52" s="184"/>
      <c r="ADG52" s="184"/>
      <c r="ADH52" s="184"/>
      <c r="ADI52" s="186"/>
      <c r="ADJ52" s="1039"/>
      <c r="ADK52" s="1040"/>
      <c r="ADL52" s="1034"/>
      <c r="ADM52" s="1034"/>
      <c r="ADN52" s="1034"/>
      <c r="ADO52" s="1034"/>
      <c r="ADP52" s="1034"/>
      <c r="ADQ52" s="1034"/>
      <c r="ADR52" s="1034"/>
      <c r="ADS52" s="1034"/>
      <c r="ADT52" s="1034"/>
      <c r="ADU52" s="1034"/>
      <c r="ADV52" s="1034"/>
      <c r="ADW52" s="1081"/>
      <c r="ADX52" s="1049"/>
      <c r="ADY52" s="1049"/>
      <c r="ADZ52" s="1049"/>
      <c r="AEA52" s="1049"/>
      <c r="AEB52" s="1049"/>
      <c r="AEC52" s="1049"/>
      <c r="AED52" s="1049"/>
      <c r="AEE52" s="1049"/>
      <c r="AEF52" s="176"/>
      <c r="AEG52" s="172"/>
      <c r="AEH52" s="172"/>
      <c r="AEI52" s="172"/>
      <c r="AEJ52" s="172"/>
      <c r="AEK52" s="177"/>
      <c r="AEP52" s="947"/>
      <c r="AEQ52" s="947"/>
      <c r="AER52" s="947"/>
      <c r="AES52" s="947"/>
      <c r="AET52" s="656">
        <v>8</v>
      </c>
      <c r="AEU52" s="956"/>
      <c r="AEV52" s="957"/>
      <c r="AEW52" s="958">
        <f t="shared" si="35"/>
        <v>0.25333333333333335</v>
      </c>
      <c r="AEX52" s="959"/>
      <c r="AEZ52" s="947"/>
      <c r="AFA52" s="947"/>
      <c r="AFB52" s="947"/>
      <c r="AFC52" s="947"/>
      <c r="AFD52" s="656">
        <v>68</v>
      </c>
      <c r="AFE52" s="956"/>
      <c r="AFF52" s="957"/>
      <c r="AFG52" s="958">
        <f t="shared" si="36"/>
        <v>2.1533333333333333</v>
      </c>
      <c r="AFH52" s="959"/>
      <c r="AFJ52" s="947"/>
      <c r="AFK52" s="947"/>
      <c r="AFL52" s="947"/>
      <c r="AFM52" s="947"/>
      <c r="AFN52" s="657">
        <v>128</v>
      </c>
      <c r="AFO52" s="956"/>
      <c r="AFP52" s="957"/>
      <c r="AFQ52" s="958">
        <f t="shared" si="37"/>
        <v>4.0533333333333337</v>
      </c>
      <c r="AFR52" s="959"/>
      <c r="AFT52" s="947"/>
      <c r="AFU52" s="947"/>
      <c r="AFV52" s="947"/>
      <c r="AFW52" s="947"/>
      <c r="AFX52" s="657">
        <v>188</v>
      </c>
      <c r="AFY52" s="956"/>
      <c r="AFZ52" s="957"/>
      <c r="AGA52" s="958"/>
      <c r="AGB52" s="959"/>
      <c r="AGD52" s="947"/>
      <c r="AGE52" s="947"/>
      <c r="AGF52" s="947"/>
      <c r="AGG52" s="947"/>
      <c r="AGH52" s="657">
        <v>248</v>
      </c>
      <c r="AGI52" s="956"/>
      <c r="AGJ52" s="957"/>
      <c r="AGK52" s="958"/>
      <c r="AGL52" s="959"/>
      <c r="AHO52" s="144"/>
      <c r="AIM52" s="826"/>
      <c r="AIN52" s="816" t="s">
        <v>161</v>
      </c>
      <c r="AIO52" s="816"/>
      <c r="AIP52" s="816"/>
      <c r="AIQ52" s="816"/>
      <c r="AIR52" s="816"/>
      <c r="AIS52" s="816"/>
      <c r="AIT52" s="816"/>
      <c r="AIU52" s="816"/>
      <c r="AIV52" s="816"/>
      <c r="AIW52" s="816"/>
      <c r="AIX52" s="816"/>
      <c r="AIY52" s="816"/>
      <c r="AIZ52" s="816"/>
      <c r="AJA52" s="748">
        <f>AJA45/(CO28*AW82*AJA61)*((FW29/1000)/AJD73+(EN62+EN71)/1000/(16*AJD73))</f>
        <v>32640.206015065851</v>
      </c>
      <c r="AJB52" s="749"/>
      <c r="AJC52" s="1005"/>
      <c r="AJD52" s="1006"/>
      <c r="AJE52" s="712"/>
      <c r="AJF52" s="716" t="s">
        <v>442</v>
      </c>
      <c r="AJG52" s="717"/>
      <c r="AJH52" s="746"/>
    </row>
    <row r="53" spans="3:982" ht="48" customHeight="1" thickBot="1">
      <c r="C53" s="826"/>
      <c r="D53" s="700" t="s">
        <v>1073</v>
      </c>
      <c r="E53" s="701"/>
      <c r="F53" s="701"/>
      <c r="G53" s="701"/>
      <c r="H53" s="701"/>
      <c r="I53" s="701"/>
      <c r="J53" s="701"/>
      <c r="K53" s="701"/>
      <c r="L53" s="701"/>
      <c r="M53" s="701"/>
      <c r="N53" s="701"/>
      <c r="O53" s="701"/>
      <c r="P53" s="909"/>
      <c r="Q53" s="1232" t="str">
        <f>O51</f>
        <v>F</v>
      </c>
      <c r="R53" s="1233"/>
      <c r="AI53" s="792" t="s">
        <v>1079</v>
      </c>
      <c r="AJ53" s="793"/>
      <c r="AK53" s="794"/>
      <c r="AL53" s="825"/>
      <c r="AM53" s="695" t="s">
        <v>734</v>
      </c>
      <c r="AN53" s="695"/>
      <c r="AO53" s="129"/>
      <c r="AP53" s="87"/>
      <c r="AQ53" s="87"/>
      <c r="AR53" s="87"/>
      <c r="AS53" s="87"/>
      <c r="AT53" s="146"/>
      <c r="AU53" s="84" t="s">
        <v>729</v>
      </c>
      <c r="AV53" s="129"/>
      <c r="AW53" s="85" t="s">
        <v>467</v>
      </c>
      <c r="AX53" s="1504" t="s">
        <v>461</v>
      </c>
      <c r="AY53" s="1505"/>
      <c r="AZ53" s="1130" t="s">
        <v>126</v>
      </c>
      <c r="BA53" s="1131"/>
      <c r="BB53" s="675" t="s">
        <v>731</v>
      </c>
      <c r="BC53" s="676"/>
      <c r="BD53" s="821" t="s">
        <v>473</v>
      </c>
      <c r="BE53" s="822"/>
      <c r="BF53" s="822"/>
      <c r="BG53" s="823"/>
      <c r="BQ53" s="144"/>
      <c r="BR53" s="144"/>
      <c r="BS53" s="144"/>
      <c r="BX53" s="827"/>
      <c r="BY53" s="734"/>
      <c r="BZ53" s="735"/>
      <c r="CA53" s="735"/>
      <c r="CB53" s="735"/>
      <c r="CC53" s="735"/>
      <c r="CD53" s="735"/>
      <c r="CE53" s="735"/>
      <c r="CF53" s="735"/>
      <c r="CG53" s="735"/>
      <c r="CH53" s="735"/>
      <c r="CI53" s="735"/>
      <c r="CJ53" s="735"/>
      <c r="CK53" s="735"/>
      <c r="CL53" s="1089"/>
      <c r="CM53" s="708"/>
      <c r="CN53" s="1204"/>
      <c r="CO53" s="1065"/>
      <c r="CP53" s="713"/>
      <c r="CQ53" s="743"/>
      <c r="CR53" s="745"/>
      <c r="CS53" s="747"/>
      <c r="CT53" s="892"/>
      <c r="CU53" s="893"/>
      <c r="CV53" s="893"/>
      <c r="CW53" s="893"/>
      <c r="CX53" s="893"/>
      <c r="CY53" s="894"/>
      <c r="DJ53" s="144"/>
      <c r="DK53" s="144"/>
      <c r="DL53" s="144"/>
      <c r="DM53" s="144"/>
      <c r="DN53" s="144"/>
      <c r="DO53" s="144"/>
      <c r="DP53" s="144"/>
      <c r="DQ53" s="144"/>
      <c r="DR53" s="144"/>
      <c r="DS53" s="144"/>
      <c r="DT53" s="144"/>
      <c r="DU53" s="144"/>
      <c r="DV53" s="144"/>
      <c r="DW53" s="144"/>
      <c r="DX53" s="144"/>
      <c r="DZ53" s="792" t="s">
        <v>1013</v>
      </c>
      <c r="EA53" s="793"/>
      <c r="EB53" s="794"/>
      <c r="EC53" s="85" t="s">
        <v>839</v>
      </c>
      <c r="ED53" s="665" t="s">
        <v>442</v>
      </c>
      <c r="EE53" s="666"/>
      <c r="EF53" s="152"/>
      <c r="EG53" s="87"/>
      <c r="EH53" s="87"/>
      <c r="EI53" s="87"/>
      <c r="EJ53" s="87"/>
      <c r="EK53" s="87"/>
      <c r="EL53" s="87"/>
      <c r="EM53" s="152"/>
      <c r="EN53" s="85" t="s">
        <v>467</v>
      </c>
      <c r="EO53" s="757" t="s">
        <v>461</v>
      </c>
      <c r="EP53" s="758"/>
      <c r="EQ53" s="819" t="s">
        <v>126</v>
      </c>
      <c r="ER53" s="820"/>
      <c r="ES53" s="675" t="s">
        <v>731</v>
      </c>
      <c r="ET53" s="676"/>
      <c r="EU53" s="821" t="s">
        <v>473</v>
      </c>
      <c r="EV53" s="822"/>
      <c r="EW53" s="822"/>
      <c r="EX53" s="823"/>
      <c r="GF53" s="768"/>
      <c r="GG53" s="256" t="s">
        <v>1178</v>
      </c>
      <c r="GH53" s="1268">
        <f>$CL$68</f>
        <v>104.5</v>
      </c>
      <c r="GI53" s="1268"/>
      <c r="GJ53" s="930"/>
      <c r="GK53" s="931"/>
      <c r="GL53" s="931"/>
      <c r="GM53" s="943"/>
      <c r="GN53" s="944"/>
      <c r="GO53" s="944"/>
      <c r="GP53" s="944"/>
      <c r="GQ53" s="944"/>
      <c r="GR53" s="944"/>
      <c r="GS53" s="1004"/>
      <c r="GT53" s="1363"/>
      <c r="GU53" s="1364"/>
      <c r="GV53" s="851"/>
      <c r="GW53" s="852"/>
      <c r="GX53" s="713"/>
      <c r="GY53" s="718"/>
      <c r="GZ53" s="719"/>
      <c r="HA53" s="747"/>
      <c r="HB53" s="768"/>
      <c r="HC53" s="768"/>
      <c r="HD53" s="768"/>
      <c r="HE53" s="768"/>
      <c r="HF53" s="768"/>
      <c r="IR53" s="827"/>
      <c r="IS53" s="253" t="s">
        <v>428</v>
      </c>
      <c r="IT53" s="1268">
        <f>$AW$16</f>
        <v>2</v>
      </c>
      <c r="IU53" s="1268"/>
      <c r="IV53" s="706"/>
      <c r="IW53" s="707"/>
      <c r="IX53" s="707"/>
      <c r="IY53" s="707"/>
      <c r="IZ53" s="707"/>
      <c r="JA53" s="707"/>
      <c r="JB53" s="707"/>
      <c r="JC53" s="707"/>
      <c r="JD53" s="707"/>
      <c r="JE53" s="707"/>
      <c r="JF53" s="1022"/>
      <c r="JG53" s="1023"/>
      <c r="JH53" s="1023"/>
      <c r="JI53" s="1023"/>
      <c r="JJ53" s="1023"/>
      <c r="JK53" s="1023"/>
      <c r="JL53" s="1023"/>
      <c r="JM53" s="1024"/>
      <c r="JN53" s="768"/>
      <c r="JO53" s="768"/>
      <c r="JP53" s="768"/>
      <c r="JQ53" s="768"/>
      <c r="JR53" s="768"/>
      <c r="LZ53" s="826"/>
      <c r="MA53" s="374" t="s">
        <v>1189</v>
      </c>
      <c r="MB53" s="677">
        <f>$CL$52</f>
        <v>32.488628979857047</v>
      </c>
      <c r="MC53" s="677"/>
      <c r="MD53" s="939" t="s">
        <v>1562</v>
      </c>
      <c r="ME53" s="940"/>
      <c r="MF53" s="940"/>
      <c r="MG53" s="940"/>
      <c r="MH53" s="940"/>
      <c r="MI53" s="940"/>
      <c r="MJ53" s="940"/>
      <c r="MK53" s="940"/>
      <c r="ML53" s="940"/>
      <c r="MM53" s="1003"/>
      <c r="MN53" s="763">
        <f>ME52*(MB53/MB54)</f>
        <v>1.5863533374848467E-2</v>
      </c>
      <c r="MO53" s="764"/>
      <c r="MP53" s="895" t="s">
        <v>415</v>
      </c>
      <c r="MQ53" s="896"/>
      <c r="MR53" s="714"/>
      <c r="MS53" s="740" t="s">
        <v>903</v>
      </c>
      <c r="MT53" s="742"/>
      <c r="MU53" s="746"/>
      <c r="MV53" s="890"/>
      <c r="MW53" s="841"/>
      <c r="MX53" s="841"/>
      <c r="MY53" s="891"/>
      <c r="NI53" s="144"/>
      <c r="NJ53" s="144"/>
      <c r="NK53" s="144"/>
      <c r="NL53" s="144"/>
      <c r="NM53" s="144"/>
      <c r="NN53" s="144"/>
      <c r="NO53" s="144"/>
      <c r="PG53" s="144"/>
      <c r="PH53" s="144"/>
      <c r="PJ53" s="826"/>
      <c r="PK53" s="516" t="s">
        <v>1140</v>
      </c>
      <c r="PL53" s="739">
        <f>$JF$41</f>
        <v>44.51933944218127</v>
      </c>
      <c r="PM53" s="739"/>
      <c r="PN53" s="587" t="s">
        <v>1124</v>
      </c>
      <c r="PO53" s="677">
        <f>$EQ$37</f>
        <v>0.97</v>
      </c>
      <c r="PP53" s="677"/>
      <c r="PQ53" s="701" t="s">
        <v>172</v>
      </c>
      <c r="PR53" s="701"/>
      <c r="PS53" s="701"/>
      <c r="PT53" s="701"/>
      <c r="PU53" s="701"/>
      <c r="PV53" s="701"/>
      <c r="PW53" s="702"/>
      <c r="PX53" s="1292">
        <f>3.14*((PR52-PL53/1000)*PL53/1000*PO52*PO53*PL54)</f>
        <v>36.914845648303633</v>
      </c>
      <c r="PY53" s="1293"/>
      <c r="PZ53" s="895" t="s">
        <v>1702</v>
      </c>
      <c r="QA53" s="896"/>
      <c r="QB53" s="1085"/>
      <c r="QC53" s="993" t="s">
        <v>1731</v>
      </c>
      <c r="QD53" s="993"/>
      <c r="QE53" s="993"/>
      <c r="QF53" s="1085"/>
      <c r="QG53" s="767"/>
      <c r="QH53" s="767"/>
      <c r="QI53" s="767"/>
      <c r="QJ53" s="767"/>
      <c r="QK53" s="767"/>
      <c r="QL53" s="767"/>
      <c r="QM53" s="767"/>
      <c r="QN53" s="767"/>
      <c r="QO53" s="767"/>
      <c r="QP53" s="767"/>
      <c r="QQ53" s="767"/>
      <c r="RC53" s="369">
        <v>35</v>
      </c>
      <c r="RD53" s="668">
        <v>3.5000000000000003E-2</v>
      </c>
      <c r="RE53" s="669"/>
      <c r="RF53" s="670">
        <f t="shared" si="30"/>
        <v>19.458049418594154</v>
      </c>
      <c r="RG53" s="670"/>
      <c r="RH53" s="670"/>
      <c r="RI53" s="670"/>
      <c r="RJ53" s="698">
        <f t="shared" si="12"/>
        <v>30</v>
      </c>
      <c r="RK53" s="699"/>
      <c r="RL53" s="726"/>
      <c r="RM53" s="670">
        <f t="shared" si="13"/>
        <v>19.646550588810598</v>
      </c>
      <c r="RN53" s="670"/>
      <c r="RO53" s="670"/>
      <c r="RP53" s="670"/>
      <c r="RQ53" s="670"/>
      <c r="RR53" s="670"/>
      <c r="RS53" s="671">
        <f t="shared" si="38"/>
        <v>1.560804663639157</v>
      </c>
      <c r="RT53" s="671"/>
      <c r="RU53" s="671"/>
      <c r="RV53" s="671"/>
      <c r="RW53" s="671"/>
      <c r="RX53" s="671"/>
      <c r="RY53" s="681">
        <f t="shared" si="14"/>
        <v>19.708451517984152</v>
      </c>
      <c r="RZ53" s="681"/>
      <c r="SA53" s="681"/>
      <c r="SB53" s="681"/>
      <c r="SC53" s="681">
        <f>'Вывод расчетов'!$AQ$6/RY53</f>
        <v>19.281068309869315</v>
      </c>
      <c r="SD53" s="681"/>
      <c r="SE53" s="681"/>
      <c r="SF53" s="681"/>
      <c r="SG53" s="867">
        <f t="shared" si="31"/>
        <v>0.99685916830568511</v>
      </c>
      <c r="SH53" s="867"/>
      <c r="SI53" s="867"/>
      <c r="SJ53" s="867"/>
      <c r="SK53" s="865">
        <f t="shared" si="16"/>
        <v>7.9194687731550487E-2</v>
      </c>
      <c r="SL53" s="865"/>
      <c r="SM53" s="865"/>
      <c r="SN53" s="865"/>
      <c r="SO53" s="692">
        <f t="shared" si="26"/>
        <v>19.57083216055268</v>
      </c>
      <c r="SP53" s="693"/>
      <c r="SQ53" s="693"/>
      <c r="SR53" s="693"/>
      <c r="SS53" s="694"/>
      <c r="ST53" s="668">
        <f t="shared" si="24"/>
        <v>12.509034945926789</v>
      </c>
      <c r="SU53" s="678"/>
      <c r="SV53" s="678"/>
      <c r="SW53" s="678"/>
      <c r="SX53" s="678"/>
      <c r="SY53" s="669"/>
      <c r="SZ53" s="682">
        <f t="shared" si="19"/>
        <v>23.226997798573553</v>
      </c>
      <c r="TA53" s="683"/>
      <c r="TB53" s="683"/>
      <c r="TC53" s="683"/>
      <c r="TD53" s="683"/>
      <c r="TE53" s="684"/>
      <c r="TF53" s="682">
        <f>'Вывод расчетов'!$XC$174*SC53</f>
        <v>19.588131242813247</v>
      </c>
      <c r="TG53" s="683"/>
      <c r="TH53" s="684"/>
      <c r="TI53" s="681">
        <f t="shared" si="25"/>
        <v>22.310748663030054</v>
      </c>
      <c r="TJ53" s="681"/>
      <c r="TK53" s="681"/>
      <c r="TL53" s="681"/>
      <c r="TM53" s="685">
        <f t="shared" si="21"/>
        <v>0.30030291717890095</v>
      </c>
      <c r="TN53" s="686"/>
      <c r="TO53" s="686"/>
      <c r="TP53" s="687"/>
      <c r="TQ53" s="688">
        <f t="shared" si="22"/>
        <v>0.75954024033840051</v>
      </c>
      <c r="TR53" s="688"/>
      <c r="TS53" s="688"/>
      <c r="TT53" s="688"/>
      <c r="TU53" s="689">
        <f t="shared" si="27"/>
        <v>8.5186767372244593E-2</v>
      </c>
      <c r="TV53" s="690"/>
      <c r="TW53" s="690"/>
      <c r="TX53" s="690"/>
      <c r="TY53" s="690"/>
      <c r="TZ53" s="691"/>
      <c r="UA53" s="679">
        <v>3.5000000000000003E-2</v>
      </c>
      <c r="UB53" s="680"/>
      <c r="UC53" s="650">
        <v>0.35</v>
      </c>
      <c r="UD53" s="866">
        <f t="shared" si="39"/>
        <v>2.0253167407169599</v>
      </c>
      <c r="UE53" s="866"/>
      <c r="UF53" s="866"/>
      <c r="UG53" s="866"/>
      <c r="UH53" s="866"/>
      <c r="UI53" s="866"/>
      <c r="UJ53" s="866"/>
      <c r="UK53" s="681">
        <f t="shared" si="40"/>
        <v>20.285431922313094</v>
      </c>
      <c r="UL53" s="681"/>
      <c r="UM53" s="681"/>
      <c r="UN53" s="681"/>
      <c r="UO53" s="816">
        <f t="shared" si="41"/>
        <v>0.90922237656358862</v>
      </c>
      <c r="UP53" s="816"/>
      <c r="UQ53" s="816"/>
      <c r="UR53" s="816"/>
      <c r="US53" s="866">
        <f t="shared" si="42"/>
        <v>0.84258983146563138</v>
      </c>
      <c r="UT53" s="866"/>
      <c r="UU53" s="866"/>
      <c r="UV53" s="866"/>
      <c r="UW53" s="866"/>
      <c r="VW53" s="144"/>
      <c r="VX53" s="144"/>
      <c r="VY53" s="144"/>
      <c r="VZ53" s="144"/>
      <c r="WA53" s="144"/>
      <c r="WC53" s="905"/>
      <c r="WD53" s="900"/>
      <c r="WE53" s="900"/>
      <c r="WF53" s="900"/>
      <c r="WG53" s="900"/>
      <c r="WH53" s="906"/>
      <c r="WI53" s="181"/>
      <c r="WJ53" s="182"/>
      <c r="WK53" s="182"/>
      <c r="WL53" s="182"/>
      <c r="WM53" s="182"/>
      <c r="WN53" s="185"/>
      <c r="WO53" s="880">
        <v>17</v>
      </c>
      <c r="WP53" s="880"/>
      <c r="WQ53" s="1033" t="s">
        <v>416</v>
      </c>
      <c r="WR53" s="1033"/>
      <c r="WS53" s="1034">
        <f>1.2+WS47+WS49+WS51</f>
        <v>233.94621592280592</v>
      </c>
      <c r="WT53" s="1034"/>
      <c r="WU53" s="1034">
        <f t="shared" ref="WU53" si="48">1.2+WU47+WU49+WU51</f>
        <v>83.911351005944766</v>
      </c>
      <c r="WV53" s="1034"/>
      <c r="WW53" s="1034">
        <f t="shared" ref="WW53" si="49">1.2+WW47+WW49+WW51</f>
        <v>96.983115304848582</v>
      </c>
      <c r="WX53" s="1034"/>
      <c r="WY53" s="1034">
        <f t="shared" ref="WY53" si="50">1.2+WY47+WY49+WY51</f>
        <v>1589.1449855550591</v>
      </c>
      <c r="WZ53" s="1034"/>
      <c r="XA53" s="1034">
        <f t="shared" ref="XA53" si="51">1.2+XA47+XA49+XA51</f>
        <v>2272.1152248059402</v>
      </c>
      <c r="XB53" s="1034"/>
      <c r="XC53" s="1034">
        <f t="shared" ref="XC53" si="52">1.2+XC47+XC49+XC51</f>
        <v>3044.6181398468038</v>
      </c>
      <c r="XD53" s="1034"/>
      <c r="XE53" s="181"/>
      <c r="XF53" s="182"/>
      <c r="XG53" s="182"/>
      <c r="XH53" s="182"/>
      <c r="XI53" s="185"/>
      <c r="YN53" s="144"/>
      <c r="YO53" s="144"/>
      <c r="YP53" s="144"/>
      <c r="YQ53" s="144"/>
      <c r="AAD53" s="947"/>
      <c r="AAE53" s="947"/>
      <c r="AAF53" s="947"/>
      <c r="AAG53" s="947"/>
      <c r="AAH53" s="465">
        <v>43</v>
      </c>
      <c r="AAI53" s="956"/>
      <c r="AAJ53" s="957"/>
      <c r="AAK53" s="956"/>
      <c r="AAL53" s="957"/>
      <c r="AAM53" s="958">
        <f t="shared" si="29"/>
        <v>0.57333333333333336</v>
      </c>
      <c r="AAN53" s="959"/>
      <c r="AAP53" s="947"/>
      <c r="AAQ53" s="947"/>
      <c r="AAR53" s="947"/>
      <c r="AAS53" s="947"/>
      <c r="AAT53" s="465">
        <v>103</v>
      </c>
      <c r="AAU53" s="956"/>
      <c r="AAV53" s="957"/>
      <c r="AAW53" s="956"/>
      <c r="AAX53" s="957"/>
      <c r="AAY53" s="958">
        <f t="shared" si="1"/>
        <v>1.3733333333333335</v>
      </c>
      <c r="AAZ53" s="959"/>
      <c r="ABB53" s="947"/>
      <c r="ABC53" s="947"/>
      <c r="ABD53" s="947"/>
      <c r="ABE53" s="947"/>
      <c r="ABF53" s="465">
        <v>163</v>
      </c>
      <c r="ABG53" s="956"/>
      <c r="ABH53" s="957"/>
      <c r="ABI53" s="956"/>
      <c r="ABJ53" s="957"/>
      <c r="ABK53" s="958">
        <f t="shared" si="2"/>
        <v>2.1733333333333333</v>
      </c>
      <c r="ABL53" s="959"/>
      <c r="ABN53" s="947"/>
      <c r="ABO53" s="947"/>
      <c r="ABP53" s="947"/>
      <c r="ABQ53" s="947"/>
      <c r="ABR53" s="465">
        <v>223</v>
      </c>
      <c r="ABS53" s="956"/>
      <c r="ABT53" s="957"/>
      <c r="ABU53" s="956"/>
      <c r="ABV53" s="957"/>
      <c r="ABW53" s="958">
        <f t="shared" si="3"/>
        <v>2.9733333333333336</v>
      </c>
      <c r="ABX53" s="959"/>
      <c r="ABZ53" s="947"/>
      <c r="ACA53" s="947"/>
      <c r="ACB53" s="947"/>
      <c r="ACC53" s="947"/>
      <c r="ACD53" s="465">
        <v>283</v>
      </c>
      <c r="ACE53" s="956"/>
      <c r="ACF53" s="957"/>
      <c r="ACG53" s="956"/>
      <c r="ACH53" s="957"/>
      <c r="ACI53" s="958">
        <f t="shared" si="4"/>
        <v>3.7733333333333334</v>
      </c>
      <c r="ACJ53" s="959"/>
      <c r="ACX53" s="144"/>
      <c r="ADB53" s="1033">
        <v>13</v>
      </c>
      <c r="ADC53" s="1033"/>
      <c r="ADD53" s="1025" t="s">
        <v>1468</v>
      </c>
      <c r="ADE53" s="1025"/>
      <c r="ADF53" s="1025"/>
      <c r="ADG53" s="1025"/>
      <c r="ADH53" s="756">
        <f>$MN$98</f>
        <v>0.55105560251025065</v>
      </c>
      <c r="ADI53" s="756"/>
      <c r="ADJ53" s="1032" t="s">
        <v>762</v>
      </c>
      <c r="ADK53" s="1032"/>
      <c r="ADL53" s="1075" t="s">
        <v>789</v>
      </c>
      <c r="ADM53" s="1076"/>
      <c r="ADN53" s="1076"/>
      <c r="ADO53" s="1076"/>
      <c r="ADP53" s="1076"/>
      <c r="ADQ53" s="1076"/>
      <c r="ADR53" s="1076"/>
      <c r="ADS53" s="1076"/>
      <c r="ADT53" s="1076"/>
      <c r="ADU53" s="1076"/>
      <c r="ADV53" s="1076"/>
      <c r="ADW53" s="1077"/>
      <c r="ADX53" s="857"/>
      <c r="ADY53" s="1015"/>
      <c r="ADZ53" s="1015"/>
      <c r="AEA53" s="1015"/>
      <c r="AEB53" s="1015"/>
      <c r="AEC53" s="1015"/>
      <c r="AED53" s="858"/>
      <c r="AEE53" s="176"/>
      <c r="AEF53" s="172"/>
      <c r="AEG53" s="172"/>
      <c r="AEH53" s="172"/>
      <c r="AEI53" s="172"/>
      <c r="AEJ53" s="172"/>
      <c r="AEK53" s="177"/>
      <c r="AEP53" s="947"/>
      <c r="AEQ53" s="947"/>
      <c r="AER53" s="947"/>
      <c r="AES53" s="947"/>
      <c r="AET53" s="656">
        <v>9</v>
      </c>
      <c r="AEU53" s="956"/>
      <c r="AEV53" s="957"/>
      <c r="AEW53" s="958">
        <f t="shared" si="35"/>
        <v>0.28500000000000003</v>
      </c>
      <c r="AEX53" s="959"/>
      <c r="AEZ53" s="947"/>
      <c r="AFA53" s="947"/>
      <c r="AFB53" s="947"/>
      <c r="AFC53" s="947"/>
      <c r="AFD53" s="656">
        <v>69</v>
      </c>
      <c r="AFE53" s="956"/>
      <c r="AFF53" s="957"/>
      <c r="AFG53" s="958">
        <f t="shared" si="36"/>
        <v>2.1850000000000001</v>
      </c>
      <c r="AFH53" s="959"/>
      <c r="AFJ53" s="947"/>
      <c r="AFK53" s="947"/>
      <c r="AFL53" s="947"/>
      <c r="AFM53" s="947"/>
      <c r="AFN53" s="657">
        <v>129</v>
      </c>
      <c r="AFO53" s="956"/>
      <c r="AFP53" s="957"/>
      <c r="AFQ53" s="958">
        <f t="shared" si="37"/>
        <v>4.085</v>
      </c>
      <c r="AFR53" s="959"/>
      <c r="AFT53" s="947"/>
      <c r="AFU53" s="947"/>
      <c r="AFV53" s="947"/>
      <c r="AFW53" s="947"/>
      <c r="AFX53" s="657">
        <v>189</v>
      </c>
      <c r="AFY53" s="956"/>
      <c r="AFZ53" s="957"/>
      <c r="AGA53" s="958"/>
      <c r="AGB53" s="959"/>
      <c r="AGD53" s="947"/>
      <c r="AGE53" s="947"/>
      <c r="AGF53" s="947"/>
      <c r="AGG53" s="947"/>
      <c r="AGH53" s="657">
        <v>249</v>
      </c>
      <c r="AGI53" s="956"/>
      <c r="AGJ53" s="957"/>
      <c r="AGK53" s="958"/>
      <c r="AGL53" s="959"/>
      <c r="AHO53" s="144"/>
      <c r="AIM53" s="827"/>
      <c r="AIN53" s="818"/>
      <c r="AIO53" s="818"/>
      <c r="AIP53" s="818"/>
      <c r="AIQ53" s="818"/>
      <c r="AIR53" s="818"/>
      <c r="AIS53" s="818"/>
      <c r="AIT53" s="818"/>
      <c r="AIU53" s="818"/>
      <c r="AIV53" s="818"/>
      <c r="AIW53" s="818"/>
      <c r="AIX53" s="818"/>
      <c r="AIY53" s="818"/>
      <c r="AIZ53" s="818"/>
      <c r="AJA53" s="750"/>
      <c r="AJB53" s="751"/>
      <c r="AJC53" s="706"/>
      <c r="AJD53" s="708"/>
      <c r="AJE53" s="713"/>
      <c r="AJF53" s="718"/>
      <c r="AJG53" s="719"/>
      <c r="AJH53" s="747"/>
    </row>
    <row r="54" spans="3:982" ht="48" customHeight="1" thickBot="1">
      <c r="C54" s="827"/>
      <c r="D54" s="706"/>
      <c r="E54" s="707"/>
      <c r="F54" s="707"/>
      <c r="G54" s="707"/>
      <c r="H54" s="707"/>
      <c r="I54" s="707"/>
      <c r="J54" s="707"/>
      <c r="K54" s="707"/>
      <c r="L54" s="707"/>
      <c r="M54" s="707"/>
      <c r="N54" s="707"/>
      <c r="O54" s="707"/>
      <c r="P54" s="1165"/>
      <c r="Q54" s="1234"/>
      <c r="R54" s="1235"/>
      <c r="W54" s="6"/>
      <c r="X54" s="3"/>
      <c r="Y54" s="3"/>
      <c r="AI54" s="795"/>
      <c r="AJ54" s="796"/>
      <c r="AK54" s="797"/>
      <c r="AL54" s="826"/>
      <c r="AM54" s="1488" t="s">
        <v>801</v>
      </c>
      <c r="AN54" s="1489"/>
      <c r="AO54" s="1489"/>
      <c r="AP54" s="1489"/>
      <c r="AQ54" s="1489"/>
      <c r="AR54" s="1489"/>
      <c r="AS54" s="1489"/>
      <c r="AT54" s="1489"/>
      <c r="AU54" s="1489"/>
      <c r="AV54" s="1489"/>
      <c r="AW54" s="1489"/>
      <c r="AX54" s="1489"/>
      <c r="AY54" s="1490"/>
      <c r="AZ54" s="1539">
        <v>0.98499999999999999</v>
      </c>
      <c r="BA54" s="1540"/>
      <c r="BB54" s="759" t="s">
        <v>736</v>
      </c>
      <c r="BC54" s="760"/>
      <c r="BD54" s="746"/>
      <c r="BE54" s="740" t="s">
        <v>728</v>
      </c>
      <c r="BF54" s="742"/>
      <c r="BG54" s="746"/>
      <c r="BQ54" s="144"/>
      <c r="BR54" s="144"/>
      <c r="BS54" s="144"/>
      <c r="DJ54" s="144"/>
      <c r="DK54" s="144"/>
      <c r="DL54" s="144"/>
      <c r="DM54" s="144"/>
      <c r="DN54" s="144"/>
      <c r="DO54" s="144"/>
      <c r="DP54" s="144"/>
      <c r="DQ54" s="144"/>
      <c r="DR54" s="144"/>
      <c r="DS54" s="144"/>
      <c r="DT54" s="144"/>
      <c r="DU54" s="144"/>
      <c r="DV54" s="144"/>
      <c r="DW54" s="144"/>
      <c r="DX54" s="144"/>
      <c r="DZ54" s="795"/>
      <c r="EA54" s="796"/>
      <c r="EB54" s="797"/>
      <c r="EC54" s="825"/>
      <c r="ED54" s="816" t="s">
        <v>1087</v>
      </c>
      <c r="EE54" s="816"/>
      <c r="EF54" s="816"/>
      <c r="EG54" s="816"/>
      <c r="EH54" s="816"/>
      <c r="EI54" s="816"/>
      <c r="EJ54" s="816"/>
      <c r="EK54" s="816"/>
      <c r="EL54" s="816"/>
      <c r="EM54" s="816"/>
      <c r="EN54" s="816"/>
      <c r="EO54" s="816"/>
      <c r="EP54" s="817"/>
      <c r="EQ54" s="808">
        <v>0.2</v>
      </c>
      <c r="ER54" s="809"/>
      <c r="ES54" s="759" t="s">
        <v>50</v>
      </c>
      <c r="ET54" s="760"/>
      <c r="EU54" s="712"/>
      <c r="EV54" s="952" t="s">
        <v>1216</v>
      </c>
      <c r="EW54" s="953"/>
      <c r="EX54" s="746"/>
      <c r="LZ54" s="827"/>
      <c r="MA54" s="377" t="s">
        <v>1340</v>
      </c>
      <c r="MB54" s="738">
        <f>$AQ$6</f>
        <v>380</v>
      </c>
      <c r="MC54" s="738"/>
      <c r="MD54" s="943"/>
      <c r="ME54" s="944"/>
      <c r="MF54" s="944"/>
      <c r="MG54" s="944"/>
      <c r="MH54" s="944"/>
      <c r="MI54" s="944"/>
      <c r="MJ54" s="944"/>
      <c r="MK54" s="944"/>
      <c r="ML54" s="944"/>
      <c r="MM54" s="1004"/>
      <c r="MN54" s="765"/>
      <c r="MO54" s="766"/>
      <c r="MP54" s="897"/>
      <c r="MQ54" s="898"/>
      <c r="MR54" s="715"/>
      <c r="MS54" s="743"/>
      <c r="MT54" s="745"/>
      <c r="MU54" s="747"/>
      <c r="MV54" s="892"/>
      <c r="MW54" s="893"/>
      <c r="MX54" s="893"/>
      <c r="MY54" s="894"/>
      <c r="NI54" s="144"/>
      <c r="NJ54" s="144"/>
      <c r="NK54" s="144"/>
      <c r="NL54" s="144"/>
      <c r="NM54" s="144"/>
      <c r="NN54" s="144"/>
      <c r="NO54" s="144"/>
      <c r="PG54" s="144"/>
      <c r="PH54" s="144"/>
      <c r="PJ54" s="827"/>
      <c r="PK54" s="505" t="s">
        <v>1709</v>
      </c>
      <c r="PL54" s="828">
        <f>$PY$45</f>
        <v>7800</v>
      </c>
      <c r="PM54" s="828"/>
      <c r="PN54" s="930"/>
      <c r="PO54" s="931"/>
      <c r="PP54" s="951"/>
      <c r="PQ54" s="707"/>
      <c r="PR54" s="707"/>
      <c r="PS54" s="707"/>
      <c r="PT54" s="707"/>
      <c r="PU54" s="707"/>
      <c r="PV54" s="707"/>
      <c r="PW54" s="708"/>
      <c r="PX54" s="1294"/>
      <c r="PY54" s="1295"/>
      <c r="PZ54" s="897"/>
      <c r="QA54" s="898"/>
      <c r="QB54" s="1086"/>
      <c r="QC54" s="994"/>
      <c r="QD54" s="994"/>
      <c r="QE54" s="994"/>
      <c r="QF54" s="1086"/>
      <c r="QG54" s="768"/>
      <c r="QH54" s="768"/>
      <c r="QI54" s="768"/>
      <c r="QJ54" s="768"/>
      <c r="QK54" s="768"/>
      <c r="QL54" s="768"/>
      <c r="QM54" s="768"/>
      <c r="QN54" s="768"/>
      <c r="QO54" s="768"/>
      <c r="QP54" s="768"/>
      <c r="QQ54" s="768"/>
      <c r="RC54" s="369">
        <v>36</v>
      </c>
      <c r="RD54" s="668">
        <v>3.5999999999999997E-2</v>
      </c>
      <c r="RE54" s="669"/>
      <c r="RF54" s="670">
        <f t="shared" si="30"/>
        <v>18.917548045855433</v>
      </c>
      <c r="RG54" s="670"/>
      <c r="RH54" s="670"/>
      <c r="RI54" s="670"/>
      <c r="RJ54" s="698">
        <f t="shared" si="12"/>
        <v>30</v>
      </c>
      <c r="RK54" s="699"/>
      <c r="RL54" s="726"/>
      <c r="RM54" s="670">
        <f t="shared" si="13"/>
        <v>19.106049216071877</v>
      </c>
      <c r="RN54" s="670"/>
      <c r="RO54" s="670"/>
      <c r="RP54" s="670"/>
      <c r="RQ54" s="670"/>
      <c r="RR54" s="670"/>
      <c r="RS54" s="671">
        <f t="shared" si="38"/>
        <v>1.560804663639157</v>
      </c>
      <c r="RT54" s="671"/>
      <c r="RU54" s="671"/>
      <c r="RV54" s="671"/>
      <c r="RW54" s="671"/>
      <c r="RX54" s="671"/>
      <c r="RY54" s="681">
        <f t="shared" si="14"/>
        <v>19.169695559528286</v>
      </c>
      <c r="RZ54" s="681"/>
      <c r="SA54" s="681"/>
      <c r="SB54" s="681"/>
      <c r="SC54" s="681">
        <f>'Вывод расчетов'!$AQ$6/RY54</f>
        <v>19.822954351047127</v>
      </c>
      <c r="SD54" s="681"/>
      <c r="SE54" s="681"/>
      <c r="SF54" s="681"/>
      <c r="SG54" s="867">
        <f t="shared" si="31"/>
        <v>0.99667984589224357</v>
      </c>
      <c r="SH54" s="867"/>
      <c r="SI54" s="867"/>
      <c r="SJ54" s="867"/>
      <c r="SK54" s="865">
        <f t="shared" si="16"/>
        <v>8.1420419995317031E-2</v>
      </c>
      <c r="SL54" s="865"/>
      <c r="SM54" s="865"/>
      <c r="SN54" s="865"/>
      <c r="SO54" s="692">
        <f t="shared" si="26"/>
        <v>20.107461528861879</v>
      </c>
      <c r="SP54" s="693"/>
      <c r="SQ54" s="693"/>
      <c r="SR54" s="693"/>
      <c r="SS54" s="694"/>
      <c r="ST54" s="668">
        <f t="shared" si="24"/>
        <v>12.596070030806249</v>
      </c>
      <c r="SU54" s="678"/>
      <c r="SV54" s="678"/>
      <c r="SW54" s="678"/>
      <c r="SX54" s="678"/>
      <c r="SY54" s="669"/>
      <c r="SZ54" s="682">
        <f t="shared" si="19"/>
        <v>23.727009701090356</v>
      </c>
      <c r="TA54" s="683"/>
      <c r="TB54" s="683"/>
      <c r="TC54" s="683"/>
      <c r="TD54" s="683"/>
      <c r="TE54" s="684"/>
      <c r="TF54" s="682">
        <f>'Вывод расчетов'!$XC$174*SC54</f>
        <v>20.138647154206303</v>
      </c>
      <c r="TG54" s="683"/>
      <c r="TH54" s="684"/>
      <c r="TI54" s="681">
        <f t="shared" si="25"/>
        <v>22.922506142902542</v>
      </c>
      <c r="TJ54" s="681"/>
      <c r="TK54" s="681"/>
      <c r="TL54" s="681"/>
      <c r="TM54" s="685">
        <f t="shared" si="21"/>
        <v>0.31337143700483205</v>
      </c>
      <c r="TN54" s="686"/>
      <c r="TO54" s="686"/>
      <c r="TP54" s="687"/>
      <c r="TQ54" s="688">
        <f t="shared" si="22"/>
        <v>0.80283327218622891</v>
      </c>
      <c r="TR54" s="688"/>
      <c r="TS54" s="688"/>
      <c r="TT54" s="688"/>
      <c r="TU54" s="689">
        <f t="shared" si="27"/>
        <v>8.889390737864003E-2</v>
      </c>
      <c r="TV54" s="690"/>
      <c r="TW54" s="690"/>
      <c r="TX54" s="690"/>
      <c r="TY54" s="690"/>
      <c r="TZ54" s="691"/>
      <c r="UA54" s="756">
        <v>3.5999999999999997E-2</v>
      </c>
      <c r="UB54" s="756"/>
      <c r="UC54" s="650">
        <v>0.36</v>
      </c>
      <c r="UD54" s="866">
        <f t="shared" si="39"/>
        <v>2.0853854323971146</v>
      </c>
      <c r="UE54" s="866"/>
      <c r="UF54" s="866"/>
      <c r="UG54" s="866"/>
      <c r="UH54" s="866"/>
      <c r="UI54" s="866"/>
      <c r="UJ54" s="866"/>
      <c r="UK54" s="681">
        <f t="shared" si="40"/>
        <v>20.837120710505427</v>
      </c>
      <c r="UL54" s="681"/>
      <c r="UM54" s="681"/>
      <c r="UN54" s="681"/>
      <c r="UO54" s="816">
        <f t="shared" si="41"/>
        <v>0.90902454472488781</v>
      </c>
      <c r="UP54" s="816"/>
      <c r="UQ54" s="816"/>
      <c r="UR54" s="816"/>
      <c r="US54" s="866">
        <f t="shared" si="42"/>
        <v>0.8474503016677174</v>
      </c>
      <c r="UT54" s="866"/>
      <c r="UU54" s="866"/>
      <c r="UV54" s="866"/>
      <c r="UW54" s="866"/>
      <c r="VW54" s="144"/>
      <c r="VX54" s="144"/>
      <c r="VY54" s="144"/>
      <c r="VZ54" s="144"/>
      <c r="WA54" s="144"/>
      <c r="WC54" s="905"/>
      <c r="WD54" s="900"/>
      <c r="WE54" s="900"/>
      <c r="WF54" s="900"/>
      <c r="WG54" s="900"/>
      <c r="WH54" s="906"/>
      <c r="WI54" s="183"/>
      <c r="WJ54" s="184"/>
      <c r="WK54" s="184"/>
      <c r="WL54" s="184"/>
      <c r="WM54" s="184"/>
      <c r="WN54" s="186"/>
      <c r="WO54" s="880"/>
      <c r="WP54" s="880"/>
      <c r="WQ54" s="1033"/>
      <c r="WR54" s="1033"/>
      <c r="WS54" s="1034"/>
      <c r="WT54" s="1034"/>
      <c r="WU54" s="1034"/>
      <c r="WV54" s="1034"/>
      <c r="WW54" s="1034"/>
      <c r="WX54" s="1034"/>
      <c r="WY54" s="1034"/>
      <c r="WZ54" s="1034"/>
      <c r="XA54" s="1034"/>
      <c r="XB54" s="1034"/>
      <c r="XC54" s="1034"/>
      <c r="XD54" s="1034"/>
      <c r="XE54" s="183"/>
      <c r="XF54" s="184"/>
      <c r="XG54" s="184"/>
      <c r="XH54" s="184"/>
      <c r="XI54" s="186"/>
      <c r="XQ54" s="216"/>
      <c r="XR54" s="665" t="s">
        <v>927</v>
      </c>
      <c r="XS54" s="667"/>
      <c r="XT54" s="216"/>
      <c r="XU54" s="685" t="s">
        <v>1114</v>
      </c>
      <c r="XV54" s="686"/>
      <c r="XW54" s="686"/>
      <c r="XX54" s="686"/>
      <c r="XY54" s="686"/>
      <c r="XZ54" s="686"/>
      <c r="YA54" s="686"/>
      <c r="YB54" s="686"/>
      <c r="YC54" s="686"/>
      <c r="YD54" s="686"/>
      <c r="YE54" s="687"/>
      <c r="YF54" s="216"/>
      <c r="YN54" s="144"/>
      <c r="YO54" s="144"/>
      <c r="YP54" s="144"/>
      <c r="YQ54" s="144"/>
      <c r="AAD54" s="947"/>
      <c r="AAE54" s="947"/>
      <c r="AAF54" s="947"/>
      <c r="AAG54" s="947"/>
      <c r="AAH54" s="465">
        <v>44</v>
      </c>
      <c r="AAI54" s="956"/>
      <c r="AAJ54" s="957"/>
      <c r="AAK54" s="956"/>
      <c r="AAL54" s="957"/>
      <c r="AAM54" s="958">
        <f t="shared" si="29"/>
        <v>0.58666666666666667</v>
      </c>
      <c r="AAN54" s="959"/>
      <c r="AAP54" s="947"/>
      <c r="AAQ54" s="947"/>
      <c r="AAR54" s="947"/>
      <c r="AAS54" s="947"/>
      <c r="AAT54" s="465">
        <v>104</v>
      </c>
      <c r="AAU54" s="956"/>
      <c r="AAV54" s="957"/>
      <c r="AAW54" s="956"/>
      <c r="AAX54" s="957"/>
      <c r="AAY54" s="958">
        <f t="shared" si="1"/>
        <v>1.3866666666666667</v>
      </c>
      <c r="AAZ54" s="959"/>
      <c r="ABB54" s="947"/>
      <c r="ABC54" s="947"/>
      <c r="ABD54" s="947"/>
      <c r="ABE54" s="947"/>
      <c r="ABF54" s="465">
        <v>164</v>
      </c>
      <c r="ABG54" s="956"/>
      <c r="ABH54" s="957"/>
      <c r="ABI54" s="956"/>
      <c r="ABJ54" s="957"/>
      <c r="ABK54" s="958">
        <f t="shared" si="2"/>
        <v>2.186666666666667</v>
      </c>
      <c r="ABL54" s="959"/>
      <c r="ABN54" s="947"/>
      <c r="ABO54" s="947"/>
      <c r="ABP54" s="947"/>
      <c r="ABQ54" s="947"/>
      <c r="ABR54" s="465">
        <v>224</v>
      </c>
      <c r="ABS54" s="956"/>
      <c r="ABT54" s="957"/>
      <c r="ABU54" s="956"/>
      <c r="ABV54" s="957"/>
      <c r="ABW54" s="958">
        <f t="shared" si="3"/>
        <v>2.9866666666666668</v>
      </c>
      <c r="ABX54" s="959"/>
      <c r="ABZ54" s="947"/>
      <c r="ACA54" s="947"/>
      <c r="ACB54" s="947"/>
      <c r="ACC54" s="947"/>
      <c r="ACD54" s="465">
        <v>284</v>
      </c>
      <c r="ACE54" s="956"/>
      <c r="ACF54" s="957"/>
      <c r="ACG54" s="956"/>
      <c r="ACH54" s="957"/>
      <c r="ACI54" s="958">
        <f t="shared" si="4"/>
        <v>3.7866666666666671</v>
      </c>
      <c r="ACJ54" s="959"/>
      <c r="ADB54" s="1033"/>
      <c r="ADC54" s="1033"/>
      <c r="ADD54" s="863" t="s">
        <v>1607</v>
      </c>
      <c r="ADE54" s="863"/>
      <c r="ADF54" s="863"/>
      <c r="ADG54" s="863"/>
      <c r="ADH54" s="948">
        <f>$YC$125</f>
        <v>39.104916258795605</v>
      </c>
      <c r="ADI54" s="965"/>
      <c r="ADJ54" s="1032"/>
      <c r="ADK54" s="1032"/>
      <c r="ADL54" s="1078"/>
      <c r="ADM54" s="1079"/>
      <c r="ADN54" s="1079"/>
      <c r="ADO54" s="1079"/>
      <c r="ADP54" s="1079"/>
      <c r="ADQ54" s="1079"/>
      <c r="ADR54" s="1079"/>
      <c r="ADS54" s="1079"/>
      <c r="ADT54" s="1079"/>
      <c r="ADU54" s="1079"/>
      <c r="ADV54" s="1079"/>
      <c r="ADW54" s="1080"/>
      <c r="ADX54" s="859"/>
      <c r="ADY54" s="1016"/>
      <c r="ADZ54" s="1016"/>
      <c r="AEA54" s="1016"/>
      <c r="AEB54" s="1016"/>
      <c r="AEC54" s="1016"/>
      <c r="AED54" s="860"/>
      <c r="AEE54" s="176"/>
      <c r="AEF54" s="172"/>
      <c r="AEG54" s="172"/>
      <c r="AEH54" s="172"/>
      <c r="AEI54" s="172"/>
      <c r="AEJ54" s="172"/>
      <c r="AEK54" s="177"/>
      <c r="AEP54" s="947"/>
      <c r="AEQ54" s="947"/>
      <c r="AER54" s="947"/>
      <c r="AES54" s="947"/>
      <c r="AET54" s="656">
        <v>10</v>
      </c>
      <c r="AEU54" s="956"/>
      <c r="AEV54" s="957"/>
      <c r="AEW54" s="958">
        <f t="shared" si="35"/>
        <v>0.31666666666666671</v>
      </c>
      <c r="AEX54" s="959"/>
      <c r="AEZ54" s="947"/>
      <c r="AFA54" s="947"/>
      <c r="AFB54" s="947"/>
      <c r="AFC54" s="947"/>
      <c r="AFD54" s="656">
        <v>70</v>
      </c>
      <c r="AFE54" s="956"/>
      <c r="AFF54" s="957"/>
      <c r="AFG54" s="958">
        <f t="shared" si="36"/>
        <v>2.2166666666666668</v>
      </c>
      <c r="AFH54" s="959"/>
      <c r="AFJ54" s="947"/>
      <c r="AFK54" s="947"/>
      <c r="AFL54" s="947"/>
      <c r="AFM54" s="947"/>
      <c r="AFN54" s="657">
        <v>130</v>
      </c>
      <c r="AFO54" s="956"/>
      <c r="AFP54" s="957"/>
      <c r="AFQ54" s="958">
        <f t="shared" si="37"/>
        <v>4.1166666666666671</v>
      </c>
      <c r="AFR54" s="959"/>
      <c r="AFT54" s="947"/>
      <c r="AFU54" s="947"/>
      <c r="AFV54" s="947"/>
      <c r="AFW54" s="947"/>
      <c r="AFX54" s="657">
        <v>190</v>
      </c>
      <c r="AFY54" s="956"/>
      <c r="AFZ54" s="957"/>
      <c r="AGA54" s="958"/>
      <c r="AGB54" s="959"/>
      <c r="AGD54" s="947"/>
      <c r="AGE54" s="947"/>
      <c r="AGF54" s="947"/>
      <c r="AGG54" s="947"/>
      <c r="AGH54" s="657">
        <v>250</v>
      </c>
      <c r="AGI54" s="956"/>
      <c r="AGJ54" s="957"/>
      <c r="AGK54" s="958"/>
      <c r="AGL54" s="959"/>
      <c r="AHO54" s="144"/>
    </row>
    <row r="55" spans="3:982" ht="48" customHeight="1" thickBot="1">
      <c r="W55" s="6"/>
      <c r="X55" s="3"/>
      <c r="Y55" s="3"/>
      <c r="AI55" s="798"/>
      <c r="AJ55" s="799"/>
      <c r="AK55" s="800"/>
      <c r="AL55" s="827"/>
      <c r="AM55" s="1491"/>
      <c r="AN55" s="805"/>
      <c r="AO55" s="805"/>
      <c r="AP55" s="805"/>
      <c r="AQ55" s="805"/>
      <c r="AR55" s="805"/>
      <c r="AS55" s="805"/>
      <c r="AT55" s="805"/>
      <c r="AU55" s="805"/>
      <c r="AV55" s="805"/>
      <c r="AW55" s="805"/>
      <c r="AX55" s="805"/>
      <c r="AY55" s="1492"/>
      <c r="AZ55" s="810"/>
      <c r="BA55" s="1541"/>
      <c r="BB55" s="761"/>
      <c r="BC55" s="762"/>
      <c r="BD55" s="747"/>
      <c r="BE55" s="743"/>
      <c r="BF55" s="745"/>
      <c r="BG55" s="747"/>
      <c r="BQ55" s="144"/>
      <c r="BR55" s="144"/>
      <c r="BS55" s="144"/>
      <c r="BX55" s="792" t="s">
        <v>1078</v>
      </c>
      <c r="BY55" s="793"/>
      <c r="BZ55" s="794"/>
      <c r="CA55" s="825"/>
      <c r="CB55" s="695" t="s">
        <v>442</v>
      </c>
      <c r="CC55" s="695"/>
      <c r="CD55" s="146"/>
      <c r="CE55" s="87"/>
      <c r="CF55" s="87"/>
      <c r="CG55" s="87"/>
      <c r="CH55" s="87"/>
      <c r="CI55" s="146"/>
      <c r="CJ55" s="84" t="s">
        <v>477</v>
      </c>
      <c r="CK55" s="146"/>
      <c r="CL55" s="85" t="s">
        <v>467</v>
      </c>
      <c r="CM55" s="757" t="s">
        <v>461</v>
      </c>
      <c r="CN55" s="758"/>
      <c r="CO55" s="819" t="s">
        <v>126</v>
      </c>
      <c r="CP55" s="820"/>
      <c r="CQ55" s="675" t="s">
        <v>731</v>
      </c>
      <c r="CR55" s="676"/>
      <c r="CS55" s="821" t="s">
        <v>473</v>
      </c>
      <c r="CT55" s="822"/>
      <c r="CU55" s="822"/>
      <c r="CV55" s="823"/>
      <c r="DJ55" s="144"/>
      <c r="DK55" s="144"/>
      <c r="DL55" s="144"/>
      <c r="DM55" s="144"/>
      <c r="DN55" s="144"/>
      <c r="DO55" s="144"/>
      <c r="DP55" s="144"/>
      <c r="DQ55" s="144"/>
      <c r="DR55" s="144"/>
      <c r="DS55" s="144"/>
      <c r="DT55" s="144"/>
      <c r="DU55" s="144"/>
      <c r="DV55" s="144"/>
      <c r="DZ55" s="798"/>
      <c r="EA55" s="799"/>
      <c r="EB55" s="800"/>
      <c r="EC55" s="827"/>
      <c r="ED55" s="818"/>
      <c r="EE55" s="818"/>
      <c r="EF55" s="818"/>
      <c r="EG55" s="818"/>
      <c r="EH55" s="818"/>
      <c r="EI55" s="818"/>
      <c r="EJ55" s="818"/>
      <c r="EK55" s="818"/>
      <c r="EL55" s="818"/>
      <c r="EM55" s="818"/>
      <c r="EN55" s="818"/>
      <c r="EO55" s="818"/>
      <c r="EP55" s="766"/>
      <c r="EQ55" s="810"/>
      <c r="ER55" s="811"/>
      <c r="ES55" s="761"/>
      <c r="ET55" s="762"/>
      <c r="EU55" s="713"/>
      <c r="EV55" s="954"/>
      <c r="EW55" s="955"/>
      <c r="EX55" s="747"/>
      <c r="GF55" s="792" t="s">
        <v>1079</v>
      </c>
      <c r="GG55" s="793"/>
      <c r="GH55" s="794"/>
      <c r="GI55" s="825"/>
      <c r="GJ55" s="147" t="s">
        <v>442</v>
      </c>
      <c r="GK55" s="148"/>
      <c r="GL55" s="152"/>
      <c r="GM55" s="87"/>
      <c r="GN55" s="87"/>
      <c r="GO55" s="87"/>
      <c r="GP55" s="87"/>
      <c r="GQ55" s="216"/>
      <c r="GR55" s="84" t="s">
        <v>729</v>
      </c>
      <c r="GS55" s="152"/>
      <c r="GT55" s="85" t="s">
        <v>467</v>
      </c>
      <c r="GU55" s="757" t="s">
        <v>461</v>
      </c>
      <c r="GV55" s="758"/>
      <c r="GW55" s="819" t="s">
        <v>126</v>
      </c>
      <c r="GX55" s="820"/>
      <c r="GY55" s="675" t="s">
        <v>731</v>
      </c>
      <c r="GZ55" s="676"/>
      <c r="HA55" s="821" t="s">
        <v>473</v>
      </c>
      <c r="HB55" s="822"/>
      <c r="HC55" s="822"/>
      <c r="HD55" s="823"/>
      <c r="HL55" s="1674" t="s">
        <v>994</v>
      </c>
      <c r="HM55" s="727" t="s">
        <v>1801</v>
      </c>
      <c r="HN55" s="727"/>
      <c r="HO55" s="727"/>
      <c r="HP55" s="727"/>
      <c r="HQ55" s="727"/>
      <c r="HR55" s="727"/>
      <c r="IU55" s="202"/>
      <c r="IV55" s="665" t="s">
        <v>882</v>
      </c>
      <c r="IW55" s="667"/>
      <c r="IX55" s="202"/>
      <c r="IY55" s="685" t="s">
        <v>74</v>
      </c>
      <c r="IZ55" s="686"/>
      <c r="JA55" s="686"/>
      <c r="JB55" s="686"/>
      <c r="JC55" s="686"/>
      <c r="JD55" s="686"/>
      <c r="JE55" s="686"/>
      <c r="JF55" s="686"/>
      <c r="JG55" s="686"/>
      <c r="JH55" s="686"/>
      <c r="JI55" s="687"/>
      <c r="JJ55" s="202"/>
      <c r="NI55" s="144"/>
      <c r="NJ55" s="144"/>
      <c r="NK55" s="144"/>
      <c r="NL55" s="144"/>
      <c r="NM55" s="144"/>
      <c r="NN55" s="144"/>
      <c r="NO55" s="144"/>
      <c r="PG55" s="144"/>
      <c r="PH55" s="144"/>
      <c r="RC55" s="369">
        <v>37</v>
      </c>
      <c r="RD55" s="668">
        <v>3.6999999999999998E-2</v>
      </c>
      <c r="RE55" s="669"/>
      <c r="RF55" s="670">
        <f t="shared" si="30"/>
        <v>18.406262963535013</v>
      </c>
      <c r="RG55" s="670"/>
      <c r="RH55" s="670"/>
      <c r="RI55" s="670"/>
      <c r="RJ55" s="698">
        <f t="shared" si="12"/>
        <v>30</v>
      </c>
      <c r="RK55" s="699"/>
      <c r="RL55" s="726"/>
      <c r="RM55" s="670">
        <f t="shared" si="13"/>
        <v>18.594764133751458</v>
      </c>
      <c r="RN55" s="670"/>
      <c r="RO55" s="670"/>
      <c r="RP55" s="670"/>
      <c r="RQ55" s="670"/>
      <c r="RR55" s="670"/>
      <c r="RS55" s="671">
        <f t="shared" si="38"/>
        <v>1.560804663639157</v>
      </c>
      <c r="RT55" s="671"/>
      <c r="RU55" s="671"/>
      <c r="RV55" s="671"/>
      <c r="RW55" s="671"/>
      <c r="RX55" s="671"/>
      <c r="RY55" s="681">
        <f t="shared" si="14"/>
        <v>18.660154457771441</v>
      </c>
      <c r="RZ55" s="681"/>
      <c r="SA55" s="681"/>
      <c r="SB55" s="681"/>
      <c r="SC55" s="681">
        <f>'Вывод расчетов'!$AQ$6/RY55</f>
        <v>20.364247298164269</v>
      </c>
      <c r="SD55" s="681"/>
      <c r="SE55" s="681"/>
      <c r="SF55" s="681"/>
      <c r="SG55" s="867">
        <f t="shared" si="31"/>
        <v>0.99649572439671041</v>
      </c>
      <c r="SH55" s="867"/>
      <c r="SI55" s="867"/>
      <c r="SJ55" s="867"/>
      <c r="SK55" s="865">
        <f t="shared" si="16"/>
        <v>8.364371619598919E-2</v>
      </c>
      <c r="SL55" s="865"/>
      <c r="SM55" s="865"/>
      <c r="SN55" s="865"/>
      <c r="SO55" s="692">
        <f t="shared" si="26"/>
        <v>20.643207804309206</v>
      </c>
      <c r="SP55" s="693"/>
      <c r="SQ55" s="693"/>
      <c r="SR55" s="693"/>
      <c r="SS55" s="694"/>
      <c r="ST55" s="668">
        <f t="shared" si="24"/>
        <v>12.685418083548587</v>
      </c>
      <c r="SU55" s="678"/>
      <c r="SV55" s="678"/>
      <c r="SW55" s="678"/>
      <c r="SX55" s="678"/>
      <c r="SY55" s="669"/>
      <c r="SZ55" s="682">
        <f t="shared" si="19"/>
        <v>24.229359471647491</v>
      </c>
      <c r="TA55" s="683"/>
      <c r="TB55" s="683"/>
      <c r="TC55" s="683"/>
      <c r="TD55" s="683"/>
      <c r="TE55" s="684"/>
      <c r="TF55" s="682">
        <f>'Вывод расчетов'!$XC$174*SC55</f>
        <v>20.688560526149107</v>
      </c>
      <c r="TG55" s="683"/>
      <c r="TH55" s="684"/>
      <c r="TI55" s="681">
        <f t="shared" si="25"/>
        <v>23.533256896912494</v>
      </c>
      <c r="TJ55" s="681"/>
      <c r="TK55" s="681"/>
      <c r="TL55" s="681"/>
      <c r="TM55" s="685">
        <f t="shared" si="21"/>
        <v>0.32678134803504338</v>
      </c>
      <c r="TN55" s="686"/>
      <c r="TO55" s="686"/>
      <c r="TP55" s="687"/>
      <c r="TQ55" s="688">
        <f t="shared" si="22"/>
        <v>0.84727682156947715</v>
      </c>
      <c r="TR55" s="688"/>
      <c r="TS55" s="688"/>
      <c r="TT55" s="688"/>
      <c r="TU55" s="689">
        <f t="shared" si="27"/>
        <v>9.2697889644761555E-2</v>
      </c>
      <c r="TV55" s="690"/>
      <c r="TW55" s="690"/>
      <c r="TX55" s="690"/>
      <c r="TY55" s="690"/>
      <c r="TZ55" s="691"/>
      <c r="UA55" s="679">
        <v>3.6999999999999998E-2</v>
      </c>
      <c r="UB55" s="680"/>
      <c r="UC55" s="650">
        <v>0.37</v>
      </c>
      <c r="UD55" s="866">
        <f t="shared" si="39"/>
        <v>2.1470428750766959</v>
      </c>
      <c r="UE55" s="866"/>
      <c r="UF55" s="866"/>
      <c r="UG55" s="866"/>
      <c r="UH55" s="866"/>
      <c r="UI55" s="866"/>
      <c r="UJ55" s="866"/>
      <c r="UK55" s="681">
        <f t="shared" si="40"/>
        <v>21.386214021835798</v>
      </c>
      <c r="UL55" s="681"/>
      <c r="UM55" s="681"/>
      <c r="UN55" s="681"/>
      <c r="UO55" s="816">
        <f t="shared" si="41"/>
        <v>0.90876558716535394</v>
      </c>
      <c r="UP55" s="816"/>
      <c r="UQ55" s="816"/>
      <c r="UR55" s="816"/>
      <c r="US55" s="866">
        <f t="shared" si="42"/>
        <v>0.85199147870439174</v>
      </c>
      <c r="UT55" s="866"/>
      <c r="UU55" s="866"/>
      <c r="UV55" s="866"/>
      <c r="UW55" s="866"/>
      <c r="VW55" s="144"/>
      <c r="VX55" s="144"/>
      <c r="VY55" s="144"/>
      <c r="VZ55" s="144"/>
      <c r="WA55" s="144"/>
      <c r="WC55" s="905"/>
      <c r="WD55" s="900"/>
      <c r="WE55" s="900"/>
      <c r="WF55" s="900"/>
      <c r="WG55" s="900"/>
      <c r="WH55" s="906"/>
      <c r="WI55" s="181"/>
      <c r="WJ55" s="182"/>
      <c r="WK55" s="182"/>
      <c r="WL55" s="182"/>
      <c r="WM55" s="182"/>
      <c r="WN55" s="185"/>
      <c r="WO55" s="880">
        <v>18</v>
      </c>
      <c r="WP55" s="880"/>
      <c r="WQ55" s="1033" t="s">
        <v>416</v>
      </c>
      <c r="WR55" s="1033"/>
      <c r="WS55" s="1034">
        <f>WS45-WS53</f>
        <v>12165.482753479851</v>
      </c>
      <c r="WT55" s="1034"/>
      <c r="WU55" s="1034">
        <f t="shared" ref="WU55" si="53">WU45-WU53</f>
        <v>2411.5356636858755</v>
      </c>
      <c r="WV55" s="1034"/>
      <c r="WW55" s="1034">
        <f t="shared" ref="WW55" si="54">WW45-WW53</f>
        <v>3643.7787771992389</v>
      </c>
      <c r="WX55" s="1034"/>
      <c r="WY55" s="1034">
        <f t="shared" ref="WY55" si="55">WY45-WY53</f>
        <v>45842.232647782977</v>
      </c>
      <c r="WZ55" s="1034"/>
      <c r="XA55" s="1034">
        <f t="shared" ref="XA55" si="56">XA45-XA53</f>
        <v>55749.427486273031</v>
      </c>
      <c r="XB55" s="1034"/>
      <c r="XC55" s="1034">
        <f t="shared" ref="XC55" si="57">XC45-XC53</f>
        <v>64892.71878798242</v>
      </c>
      <c r="XD55" s="1034"/>
      <c r="XE55" s="857" t="s">
        <v>1020</v>
      </c>
      <c r="XF55" s="1015"/>
      <c r="XG55" s="1015"/>
      <c r="XH55" s="858"/>
      <c r="XI55" s="189"/>
      <c r="YN55" s="144"/>
      <c r="YO55" s="144"/>
      <c r="YP55" s="144"/>
      <c r="YQ55" s="144"/>
      <c r="AAD55" s="947"/>
      <c r="AAE55" s="947"/>
      <c r="AAF55" s="947"/>
      <c r="AAG55" s="947"/>
      <c r="AAH55" s="465">
        <v>45</v>
      </c>
      <c r="AAI55" s="956"/>
      <c r="AAJ55" s="957"/>
      <c r="AAK55" s="956"/>
      <c r="AAL55" s="957"/>
      <c r="AAM55" s="958">
        <f t="shared" si="29"/>
        <v>0.60000000000000009</v>
      </c>
      <c r="AAN55" s="959"/>
      <c r="AAP55" s="947"/>
      <c r="AAQ55" s="947"/>
      <c r="AAR55" s="947"/>
      <c r="AAS55" s="947"/>
      <c r="AAT55" s="465">
        <v>105</v>
      </c>
      <c r="AAU55" s="956"/>
      <c r="AAV55" s="957"/>
      <c r="AAW55" s="956"/>
      <c r="AAX55" s="957"/>
      <c r="AAY55" s="958">
        <f t="shared" si="1"/>
        <v>1.4000000000000001</v>
      </c>
      <c r="AAZ55" s="959"/>
      <c r="ABB55" s="947"/>
      <c r="ABC55" s="947"/>
      <c r="ABD55" s="947"/>
      <c r="ABE55" s="947"/>
      <c r="ABF55" s="465">
        <v>165</v>
      </c>
      <c r="ABG55" s="956"/>
      <c r="ABH55" s="957"/>
      <c r="ABI55" s="956"/>
      <c r="ABJ55" s="957"/>
      <c r="ABK55" s="958">
        <f t="shared" si="2"/>
        <v>2.2000000000000002</v>
      </c>
      <c r="ABL55" s="959"/>
      <c r="ABN55" s="947"/>
      <c r="ABO55" s="947"/>
      <c r="ABP55" s="947"/>
      <c r="ABQ55" s="947"/>
      <c r="ABR55" s="465">
        <v>225</v>
      </c>
      <c r="ABS55" s="956"/>
      <c r="ABT55" s="957"/>
      <c r="ABU55" s="956"/>
      <c r="ABV55" s="957"/>
      <c r="ABW55" s="958">
        <f t="shared" si="3"/>
        <v>3</v>
      </c>
      <c r="ABX55" s="959"/>
      <c r="ABZ55" s="947"/>
      <c r="ACA55" s="947"/>
      <c r="ACB55" s="947"/>
      <c r="ACC55" s="947"/>
      <c r="ACD55" s="465">
        <v>285</v>
      </c>
      <c r="ACE55" s="956"/>
      <c r="ACF55" s="957"/>
      <c r="ACG55" s="956"/>
      <c r="ACH55" s="957"/>
      <c r="ACI55" s="958">
        <f t="shared" si="4"/>
        <v>3.8000000000000003</v>
      </c>
      <c r="ACJ55" s="959"/>
      <c r="ACX55" s="144"/>
      <c r="ADB55" s="1033"/>
      <c r="ADC55" s="1033"/>
      <c r="ADD55" s="184"/>
      <c r="ADE55" s="184"/>
      <c r="ADF55" s="184"/>
      <c r="ADG55" s="184"/>
      <c r="ADH55" s="184"/>
      <c r="ADI55" s="186"/>
      <c r="ADJ55" s="1032"/>
      <c r="ADK55" s="1032"/>
      <c r="ADL55" s="1078"/>
      <c r="ADM55" s="1079"/>
      <c r="ADN55" s="1079"/>
      <c r="ADO55" s="1079"/>
      <c r="ADP55" s="1079"/>
      <c r="ADQ55" s="1079"/>
      <c r="ADR55" s="1079"/>
      <c r="ADS55" s="1079"/>
      <c r="ADT55" s="1079"/>
      <c r="ADU55" s="1079"/>
      <c r="ADV55" s="1079"/>
      <c r="ADW55" s="1080"/>
      <c r="ADX55" s="861"/>
      <c r="ADY55" s="1017"/>
      <c r="ADZ55" s="1017"/>
      <c r="AEA55" s="1017"/>
      <c r="AEB55" s="1017"/>
      <c r="AEC55" s="1017"/>
      <c r="AED55" s="862"/>
      <c r="AEE55" s="176"/>
      <c r="AEF55" s="172"/>
      <c r="AEG55" s="172"/>
      <c r="AEH55" s="172"/>
      <c r="AEI55" s="172"/>
      <c r="AEJ55" s="172"/>
      <c r="AEK55" s="177"/>
      <c r="AEP55" s="947"/>
      <c r="AEQ55" s="947"/>
      <c r="AER55" s="947"/>
      <c r="AES55" s="947"/>
      <c r="AET55" s="656">
        <v>11</v>
      </c>
      <c r="AEU55" s="956"/>
      <c r="AEV55" s="957"/>
      <c r="AEW55" s="958">
        <f t="shared" si="35"/>
        <v>0.34833333333333338</v>
      </c>
      <c r="AEX55" s="959"/>
      <c r="AEZ55" s="947"/>
      <c r="AFA55" s="947"/>
      <c r="AFB55" s="947"/>
      <c r="AFC55" s="947"/>
      <c r="AFD55" s="656">
        <v>71</v>
      </c>
      <c r="AFE55" s="956"/>
      <c r="AFF55" s="957"/>
      <c r="AFG55" s="958">
        <f t="shared" si="36"/>
        <v>2.2483333333333335</v>
      </c>
      <c r="AFH55" s="959"/>
      <c r="AFJ55" s="947"/>
      <c r="AFK55" s="947"/>
      <c r="AFL55" s="947"/>
      <c r="AFM55" s="947"/>
      <c r="AFN55" s="657">
        <v>131</v>
      </c>
      <c r="AFO55" s="956"/>
      <c r="AFP55" s="957"/>
      <c r="AFQ55" s="958">
        <f t="shared" si="37"/>
        <v>4.1483333333333334</v>
      </c>
      <c r="AFR55" s="959"/>
      <c r="AFT55" s="947"/>
      <c r="AFU55" s="947"/>
      <c r="AFV55" s="947"/>
      <c r="AFW55" s="947"/>
      <c r="AFX55" s="657">
        <v>191</v>
      </c>
      <c r="AFY55" s="956"/>
      <c r="AFZ55" s="957"/>
      <c r="AGA55" s="958"/>
      <c r="AGB55" s="959"/>
      <c r="AGD55" s="947"/>
      <c r="AGE55" s="947"/>
      <c r="AGF55" s="947"/>
      <c r="AGG55" s="947"/>
      <c r="AGH55" s="657">
        <v>251</v>
      </c>
      <c r="AGI55" s="956"/>
      <c r="AGJ55" s="957"/>
      <c r="AGK55" s="958"/>
      <c r="AGL55" s="959"/>
      <c r="AHO55" s="144"/>
      <c r="AIM55" s="214" t="s">
        <v>899</v>
      </c>
      <c r="AIN55" s="147" t="s">
        <v>442</v>
      </c>
      <c r="AIO55" s="148"/>
      <c r="AIP55" s="219"/>
      <c r="AIQ55" s="87"/>
      <c r="AIR55" s="87"/>
      <c r="AIS55" s="87"/>
      <c r="AIT55" s="87"/>
      <c r="AIU55" s="87"/>
      <c r="AIV55" s="87"/>
      <c r="AIW55" s="219"/>
      <c r="AIX55" s="85" t="s">
        <v>467</v>
      </c>
      <c r="AIY55" s="757" t="s">
        <v>461</v>
      </c>
      <c r="AIZ55" s="973"/>
      <c r="AJA55" s="1275" t="s">
        <v>994</v>
      </c>
      <c r="AJB55" s="1276"/>
      <c r="AJC55" s="1277"/>
      <c r="AJD55" s="822" t="s">
        <v>473</v>
      </c>
      <c r="AJE55" s="822"/>
      <c r="AJF55" s="822"/>
      <c r="AJG55" s="823"/>
    </row>
    <row r="56" spans="3:982" ht="48" customHeight="1" thickBot="1">
      <c r="BQ56" s="144"/>
      <c r="BR56" s="144"/>
      <c r="BS56" s="144"/>
      <c r="BX56" s="795"/>
      <c r="BY56" s="796"/>
      <c r="BZ56" s="797"/>
      <c r="CA56" s="826"/>
      <c r="CB56" s="1591" t="s">
        <v>32</v>
      </c>
      <c r="CC56" s="1592"/>
      <c r="CD56" s="1592"/>
      <c r="CE56" s="1592"/>
      <c r="CF56" s="1592"/>
      <c r="CG56" s="1592"/>
      <c r="CH56" s="1592"/>
      <c r="CI56" s="1592"/>
      <c r="CJ56" s="1592"/>
      <c r="CK56" s="1592"/>
      <c r="CL56" s="1592"/>
      <c r="CM56" s="1592"/>
      <c r="CN56" s="1593"/>
      <c r="CO56" s="1441">
        <v>1</v>
      </c>
      <c r="CP56" s="1442"/>
      <c r="CQ56" s="849" t="s">
        <v>758</v>
      </c>
      <c r="CR56" s="850"/>
      <c r="CS56" s="712"/>
      <c r="CT56" s="740" t="s">
        <v>774</v>
      </c>
      <c r="CU56" s="742"/>
      <c r="CV56" s="746"/>
      <c r="GF56" s="795"/>
      <c r="GG56" s="796"/>
      <c r="GH56" s="797"/>
      <c r="GI56" s="826"/>
      <c r="GJ56" s="700" t="s">
        <v>419</v>
      </c>
      <c r="GK56" s="701"/>
      <c r="GL56" s="701"/>
      <c r="GM56" s="701"/>
      <c r="GN56" s="701"/>
      <c r="GO56" s="701"/>
      <c r="GP56" s="701"/>
      <c r="GQ56" s="701"/>
      <c r="GR56" s="701"/>
      <c r="GS56" s="701"/>
      <c r="GT56" s="701"/>
      <c r="GU56" s="701"/>
      <c r="GV56" s="701"/>
      <c r="GW56" s="808">
        <v>0.9</v>
      </c>
      <c r="GX56" s="809"/>
      <c r="GY56" s="849" t="s">
        <v>762</v>
      </c>
      <c r="GZ56" s="850"/>
      <c r="HA56" s="712"/>
      <c r="HB56" s="952" t="s">
        <v>1107</v>
      </c>
      <c r="HC56" s="953"/>
      <c r="HD56" s="746"/>
      <c r="HL56" s="1674"/>
      <c r="HM56" s="727"/>
      <c r="HN56" s="727"/>
      <c r="HO56" s="727"/>
      <c r="HP56" s="727"/>
      <c r="HQ56" s="727"/>
      <c r="HR56" s="727"/>
      <c r="MB56" s="213"/>
      <c r="MC56" s="665" t="s">
        <v>908</v>
      </c>
      <c r="MD56" s="666"/>
      <c r="ME56" s="213"/>
      <c r="MF56" s="685" t="s">
        <v>918</v>
      </c>
      <c r="MG56" s="686"/>
      <c r="MH56" s="686"/>
      <c r="MI56" s="686"/>
      <c r="MJ56" s="686"/>
      <c r="MK56" s="686"/>
      <c r="ML56" s="686"/>
      <c r="MM56" s="686"/>
      <c r="MN56" s="686"/>
      <c r="MO56" s="686"/>
      <c r="MP56" s="687"/>
      <c r="MQ56" s="213"/>
      <c r="NI56" s="144"/>
      <c r="NJ56" s="144"/>
      <c r="NK56" s="144"/>
      <c r="NL56" s="144"/>
      <c r="NM56" s="144"/>
      <c r="NN56" s="144"/>
      <c r="NO56" s="144"/>
      <c r="PG56" s="144"/>
      <c r="PH56" s="144"/>
      <c r="PJ56" s="792" t="s">
        <v>1078</v>
      </c>
      <c r="PK56" s="793"/>
      <c r="PL56" s="794"/>
      <c r="PM56" s="825"/>
      <c r="PN56" s="695" t="s">
        <v>442</v>
      </c>
      <c r="PO56" s="695"/>
      <c r="PP56" s="171"/>
      <c r="PQ56" s="87"/>
      <c r="PR56" s="87"/>
      <c r="PS56" s="87"/>
      <c r="PT56" s="87"/>
      <c r="PU56" s="515"/>
      <c r="PV56" s="84" t="s">
        <v>477</v>
      </c>
      <c r="PW56" s="171"/>
      <c r="PX56" s="85" t="s">
        <v>467</v>
      </c>
      <c r="PY56" s="757" t="s">
        <v>461</v>
      </c>
      <c r="PZ56" s="899"/>
      <c r="QA56" s="819" t="s">
        <v>126</v>
      </c>
      <c r="QB56" s="820"/>
      <c r="QC56" s="675" t="s">
        <v>731</v>
      </c>
      <c r="QD56" s="676"/>
      <c r="QE56" s="821" t="s">
        <v>473</v>
      </c>
      <c r="QF56" s="822"/>
      <c r="QG56" s="822"/>
      <c r="QH56" s="823"/>
      <c r="RC56" s="369">
        <v>38</v>
      </c>
      <c r="RD56" s="668">
        <v>3.7999999999999999E-2</v>
      </c>
      <c r="RE56" s="669"/>
      <c r="RF56" s="670">
        <f t="shared" si="30"/>
        <v>17.921887622389356</v>
      </c>
      <c r="RG56" s="670"/>
      <c r="RH56" s="670"/>
      <c r="RI56" s="670"/>
      <c r="RJ56" s="698">
        <f t="shared" si="12"/>
        <v>30</v>
      </c>
      <c r="RK56" s="699"/>
      <c r="RL56" s="726"/>
      <c r="RM56" s="670">
        <f t="shared" si="13"/>
        <v>18.1103887926058</v>
      </c>
      <c r="RN56" s="670"/>
      <c r="RO56" s="670"/>
      <c r="RP56" s="670"/>
      <c r="RQ56" s="670"/>
      <c r="RR56" s="670"/>
      <c r="RS56" s="671">
        <f t="shared" si="38"/>
        <v>1.560804663639157</v>
      </c>
      <c r="RT56" s="671"/>
      <c r="RU56" s="671"/>
      <c r="RV56" s="671"/>
      <c r="RW56" s="671"/>
      <c r="RX56" s="671"/>
      <c r="RY56" s="681">
        <f t="shared" si="14"/>
        <v>18.17752165223245</v>
      </c>
      <c r="RZ56" s="681"/>
      <c r="SA56" s="681"/>
      <c r="SB56" s="681"/>
      <c r="SC56" s="681">
        <f>'Вывод расчетов'!$AQ$6/RY56</f>
        <v>20.904940028132536</v>
      </c>
      <c r="SD56" s="681"/>
      <c r="SE56" s="681"/>
      <c r="SF56" s="681"/>
      <c r="SG56" s="867">
        <f t="shared" si="31"/>
        <v>0.9963068199883891</v>
      </c>
      <c r="SH56" s="867"/>
      <c r="SI56" s="867"/>
      <c r="SJ56" s="867"/>
      <c r="SK56" s="865">
        <f t="shared" si="16"/>
        <v>8.5864547076331982E-2</v>
      </c>
      <c r="SL56" s="865"/>
      <c r="SM56" s="865"/>
      <c r="SN56" s="865"/>
      <c r="SO56" s="692">
        <f t="shared" si="26"/>
        <v>21.178056762607962</v>
      </c>
      <c r="SP56" s="693"/>
      <c r="SQ56" s="693"/>
      <c r="SR56" s="693"/>
      <c r="SS56" s="694"/>
      <c r="ST56" s="668">
        <f t="shared" si="24"/>
        <v>12.777069969169478</v>
      </c>
      <c r="SU56" s="678"/>
      <c r="SV56" s="678"/>
      <c r="SW56" s="678"/>
      <c r="SX56" s="678"/>
      <c r="SY56" s="669"/>
      <c r="SZ56" s="682">
        <f t="shared" si="19"/>
        <v>24.733855446276412</v>
      </c>
      <c r="TA56" s="683"/>
      <c r="TB56" s="683"/>
      <c r="TC56" s="683"/>
      <c r="TD56" s="683"/>
      <c r="TE56" s="684"/>
      <c r="TF56" s="682">
        <f>'Вывод расчетов'!$XC$174*SC56</f>
        <v>21.237864122113869</v>
      </c>
      <c r="TG56" s="683"/>
      <c r="TH56" s="684"/>
      <c r="TI56" s="681">
        <f t="shared" si="25"/>
        <v>24.142984709373078</v>
      </c>
      <c r="TJ56" s="681"/>
      <c r="TK56" s="681"/>
      <c r="TL56" s="681"/>
      <c r="TM56" s="685">
        <f t="shared" si="21"/>
        <v>0.34053129504931473</v>
      </c>
      <c r="TN56" s="686"/>
      <c r="TO56" s="686"/>
      <c r="TP56" s="687"/>
      <c r="TQ56" s="688">
        <f t="shared" si="22"/>
        <v>0.89286634456005221</v>
      </c>
      <c r="TR56" s="688"/>
      <c r="TS56" s="688"/>
      <c r="TT56" s="688"/>
      <c r="TU56" s="689">
        <f t="shared" si="27"/>
        <v>9.6598329736016605E-2</v>
      </c>
      <c r="TV56" s="690"/>
      <c r="TW56" s="690"/>
      <c r="TX56" s="690"/>
      <c r="TY56" s="690"/>
      <c r="TZ56" s="691"/>
      <c r="UA56" s="679">
        <v>3.7999999999999999E-2</v>
      </c>
      <c r="UB56" s="680"/>
      <c r="UC56" s="650">
        <v>0.38</v>
      </c>
      <c r="UD56" s="866">
        <f t="shared" si="39"/>
        <v>2.2102827851727973</v>
      </c>
      <c r="UE56" s="866"/>
      <c r="UF56" s="866"/>
      <c r="UG56" s="866"/>
      <c r="UH56" s="866"/>
      <c r="UI56" s="866"/>
      <c r="UJ56" s="866"/>
      <c r="UK56" s="681">
        <f t="shared" si="40"/>
        <v>21.932701924200281</v>
      </c>
      <c r="UL56" s="681"/>
      <c r="UM56" s="681"/>
      <c r="UN56" s="681"/>
      <c r="UO56" s="816">
        <f t="shared" si="41"/>
        <v>0.90845030919831982</v>
      </c>
      <c r="UP56" s="816"/>
      <c r="UQ56" s="816"/>
      <c r="UR56" s="816"/>
      <c r="US56" s="866">
        <f t="shared" si="42"/>
        <v>0.85623758934825667</v>
      </c>
      <c r="UT56" s="866"/>
      <c r="UU56" s="866"/>
      <c r="UV56" s="866"/>
      <c r="UW56" s="866"/>
      <c r="VW56" s="144"/>
      <c r="VX56" s="144"/>
      <c r="VY56" s="144"/>
      <c r="VZ56" s="144"/>
      <c r="WA56" s="144"/>
      <c r="WC56" s="905"/>
      <c r="WD56" s="900"/>
      <c r="WE56" s="900"/>
      <c r="WF56" s="900"/>
      <c r="WG56" s="900"/>
      <c r="WH56" s="906"/>
      <c r="WI56" s="183"/>
      <c r="WJ56" s="184"/>
      <c r="WK56" s="184"/>
      <c r="WL56" s="184"/>
      <c r="WM56" s="184"/>
      <c r="WN56" s="186"/>
      <c r="WO56" s="880"/>
      <c r="WP56" s="880"/>
      <c r="WQ56" s="1033"/>
      <c r="WR56" s="1033"/>
      <c r="WS56" s="1034"/>
      <c r="WT56" s="1034"/>
      <c r="WU56" s="1034"/>
      <c r="WV56" s="1034"/>
      <c r="WW56" s="1034"/>
      <c r="WX56" s="1034"/>
      <c r="WY56" s="1034"/>
      <c r="WZ56" s="1034"/>
      <c r="XA56" s="1034"/>
      <c r="XB56" s="1034"/>
      <c r="XC56" s="1034"/>
      <c r="XD56" s="1034"/>
      <c r="XE56" s="861"/>
      <c r="XF56" s="1017"/>
      <c r="XG56" s="1017"/>
      <c r="XH56" s="862"/>
      <c r="XI56" s="190"/>
      <c r="XO56" s="825"/>
      <c r="XP56" s="665" t="s">
        <v>442</v>
      </c>
      <c r="XQ56" s="666"/>
      <c r="XR56" s="459"/>
      <c r="XS56" s="489" t="s">
        <v>1645</v>
      </c>
      <c r="XT56" s="948">
        <f>$YC$51</f>
        <v>5.5120481927710845</v>
      </c>
      <c r="XU56" s="965"/>
      <c r="XV56" s="87"/>
      <c r="XW56" s="87"/>
      <c r="XX56" s="87"/>
      <c r="XY56" s="459"/>
      <c r="XZ56" s="85" t="s">
        <v>467</v>
      </c>
      <c r="YA56" s="757" t="s">
        <v>461</v>
      </c>
      <c r="YB56" s="899"/>
      <c r="YC56" s="819" t="s">
        <v>126</v>
      </c>
      <c r="YD56" s="820"/>
      <c r="YE56" s="675" t="s">
        <v>731</v>
      </c>
      <c r="YF56" s="676"/>
      <c r="YG56" s="821" t="s">
        <v>473</v>
      </c>
      <c r="YH56" s="822"/>
      <c r="YI56" s="822"/>
      <c r="YJ56" s="823"/>
      <c r="YK56" s="769" t="s">
        <v>462</v>
      </c>
      <c r="YL56" s="769"/>
      <c r="YM56" s="769"/>
      <c r="YN56" s="769"/>
      <c r="YO56" s="769"/>
      <c r="YP56" s="769"/>
      <c r="YQ56" s="769"/>
      <c r="YR56" s="769"/>
      <c r="YS56" s="769"/>
      <c r="YT56" s="769"/>
      <c r="YU56" s="769"/>
      <c r="AAD56" s="947"/>
      <c r="AAE56" s="947"/>
      <c r="AAF56" s="947"/>
      <c r="AAG56" s="947"/>
      <c r="AAH56" s="465">
        <v>46</v>
      </c>
      <c r="AAI56" s="956"/>
      <c r="AAJ56" s="957"/>
      <c r="AAK56" s="956"/>
      <c r="AAL56" s="957"/>
      <c r="AAM56" s="958">
        <f t="shared" si="29"/>
        <v>0.6133333333333334</v>
      </c>
      <c r="AAN56" s="959"/>
      <c r="AAP56" s="947"/>
      <c r="AAQ56" s="947"/>
      <c r="AAR56" s="947"/>
      <c r="AAS56" s="947"/>
      <c r="AAT56" s="465">
        <v>106</v>
      </c>
      <c r="AAU56" s="956"/>
      <c r="AAV56" s="957"/>
      <c r="AAW56" s="956"/>
      <c r="AAX56" s="957"/>
      <c r="AAY56" s="958">
        <f t="shared" si="1"/>
        <v>1.4133333333333333</v>
      </c>
      <c r="AAZ56" s="959"/>
      <c r="ABB56" s="947"/>
      <c r="ABC56" s="947"/>
      <c r="ABD56" s="947"/>
      <c r="ABE56" s="947"/>
      <c r="ABF56" s="465">
        <v>166</v>
      </c>
      <c r="ABG56" s="956"/>
      <c r="ABH56" s="957"/>
      <c r="ABI56" s="956"/>
      <c r="ABJ56" s="957"/>
      <c r="ABK56" s="958">
        <f t="shared" si="2"/>
        <v>2.2133333333333334</v>
      </c>
      <c r="ABL56" s="959"/>
      <c r="ABN56" s="947"/>
      <c r="ABO56" s="947"/>
      <c r="ABP56" s="947"/>
      <c r="ABQ56" s="947"/>
      <c r="ABR56" s="465">
        <v>226</v>
      </c>
      <c r="ABS56" s="956"/>
      <c r="ABT56" s="957"/>
      <c r="ABU56" s="956"/>
      <c r="ABV56" s="957"/>
      <c r="ABW56" s="958">
        <f t="shared" si="3"/>
        <v>3.0133333333333336</v>
      </c>
      <c r="ABX56" s="959"/>
      <c r="ABZ56" s="947"/>
      <c r="ACA56" s="947"/>
      <c r="ACB56" s="947"/>
      <c r="ACC56" s="947"/>
      <c r="ACD56" s="465">
        <v>286</v>
      </c>
      <c r="ACE56" s="956"/>
      <c r="ACF56" s="957"/>
      <c r="ACG56" s="956"/>
      <c r="ACH56" s="957"/>
      <c r="ACI56" s="958">
        <f t="shared" si="4"/>
        <v>3.8133333333333335</v>
      </c>
      <c r="ACJ56" s="959"/>
      <c r="ACX56" s="144"/>
      <c r="ACY56" s="144"/>
      <c r="ACZ56" s="144"/>
      <c r="ADB56" s="1033">
        <v>14</v>
      </c>
      <c r="ADC56" s="1033"/>
      <c r="ADD56" s="863" t="s">
        <v>1593</v>
      </c>
      <c r="ADE56" s="863"/>
      <c r="ADF56" s="863"/>
      <c r="ADG56" s="863"/>
      <c r="ADH56" s="884">
        <f>$MN$23</f>
        <v>0.18554623176557763</v>
      </c>
      <c r="ADI56" s="884"/>
      <c r="ADJ56" s="1032" t="s">
        <v>415</v>
      </c>
      <c r="ADK56" s="1032"/>
      <c r="ADL56" s="1032">
        <f>$XC$166+('Вывод расчетов'!$YC$269*'Вывод расчетов'!$YC$93)/ADN11</f>
        <v>0.68137620257962217</v>
      </c>
      <c r="ADM56" s="1032"/>
      <c r="ADN56" s="1032">
        <f>$XC$166+('Вывод расчетов'!$YC$269*'Вывод расчетов'!$YC$93)/ADP11</f>
        <v>0.84775436988081554</v>
      </c>
      <c r="ADO56" s="1032"/>
      <c r="ADP56" s="1032">
        <f>$XC$166+('Вывод расчетов'!$YC$269*'Вывод расчетов'!$YC$93)/ADR11</f>
        <v>1.1250513153828048</v>
      </c>
      <c r="ADQ56" s="1032"/>
      <c r="ADR56" s="1032">
        <f>$XC$166+('Вывод расчетов'!$YC$269*'Вывод расчетов'!$YC$93)/ADT11</f>
        <v>1.3468888717843959</v>
      </c>
      <c r="ADS56" s="1032"/>
      <c r="ADT56" s="1032">
        <f>$XC$166+('Вывод расчетов'!$YC$269*'Вывод расчетов'!$YC$93)/ADV11</f>
        <v>3.3434268793987165</v>
      </c>
      <c r="ADU56" s="1032"/>
      <c r="ADV56" s="1032">
        <f>$XC$166+('Вывод расчетов'!$YC$269*'Вывод расчетов'!$YC$93)/ADX11</f>
        <v>6.6709902254225852</v>
      </c>
      <c r="ADW56" s="1032"/>
      <c r="ADX56" s="1049"/>
      <c r="ADY56" s="1049"/>
      <c r="ADZ56" s="1049"/>
      <c r="AEA56" s="1049"/>
      <c r="AEB56" s="1049"/>
      <c r="AEC56" s="1049"/>
      <c r="AED56" s="1049"/>
      <c r="AEE56" s="1049"/>
      <c r="AEF56" s="176"/>
      <c r="AEG56" s="172"/>
      <c r="AEH56" s="172"/>
      <c r="AEI56" s="172"/>
      <c r="AEJ56" s="172"/>
      <c r="AEK56" s="177"/>
      <c r="AEP56" s="947"/>
      <c r="AEQ56" s="947"/>
      <c r="AER56" s="947"/>
      <c r="AES56" s="947"/>
      <c r="AET56" s="656">
        <v>12</v>
      </c>
      <c r="AEU56" s="956"/>
      <c r="AEV56" s="957"/>
      <c r="AEW56" s="958">
        <f t="shared" si="35"/>
        <v>0.38</v>
      </c>
      <c r="AEX56" s="959"/>
      <c r="AEZ56" s="947"/>
      <c r="AFA56" s="947"/>
      <c r="AFB56" s="947"/>
      <c r="AFC56" s="947"/>
      <c r="AFD56" s="656">
        <v>72</v>
      </c>
      <c r="AFE56" s="956"/>
      <c r="AFF56" s="957"/>
      <c r="AFG56" s="958">
        <f t="shared" si="36"/>
        <v>2.2800000000000002</v>
      </c>
      <c r="AFH56" s="959"/>
      <c r="AFJ56" s="947"/>
      <c r="AFK56" s="947"/>
      <c r="AFL56" s="947"/>
      <c r="AFM56" s="947"/>
      <c r="AFN56" s="657">
        <v>132</v>
      </c>
      <c r="AFO56" s="956"/>
      <c r="AFP56" s="957"/>
      <c r="AFQ56" s="958">
        <f t="shared" si="37"/>
        <v>4.1800000000000006</v>
      </c>
      <c r="AFR56" s="959"/>
      <c r="AFT56" s="947"/>
      <c r="AFU56" s="947"/>
      <c r="AFV56" s="947"/>
      <c r="AFW56" s="947"/>
      <c r="AFX56" s="657">
        <v>192</v>
      </c>
      <c r="AFY56" s="956"/>
      <c r="AFZ56" s="957"/>
      <c r="AGA56" s="958"/>
      <c r="AGB56" s="959"/>
      <c r="AGD56" s="947"/>
      <c r="AGE56" s="947"/>
      <c r="AGF56" s="947"/>
      <c r="AGG56" s="947"/>
      <c r="AGH56" s="657">
        <v>252</v>
      </c>
      <c r="AGI56" s="956"/>
      <c r="AGJ56" s="957"/>
      <c r="AGK56" s="958"/>
      <c r="AGL56" s="959"/>
      <c r="AHO56" s="144"/>
      <c r="AIM56" s="825"/>
      <c r="AIN56" s="940" t="s">
        <v>1065</v>
      </c>
      <c r="AIO56" s="940"/>
      <c r="AIP56" s="940"/>
      <c r="AIQ56" s="940"/>
      <c r="AIR56" s="940"/>
      <c r="AIS56" s="940"/>
      <c r="AIT56" s="940"/>
      <c r="AIU56" s="940"/>
      <c r="AIV56" s="940"/>
      <c r="AIW56" s="940"/>
      <c r="AIX56" s="940"/>
      <c r="AIY56" s="940"/>
      <c r="AIZ56" s="1003"/>
      <c r="AJA56" s="1278"/>
      <c r="AJB56" s="1279"/>
      <c r="AJC56" s="1280"/>
      <c r="AJD56" s="712"/>
      <c r="AJE56" s="740" t="s">
        <v>978</v>
      </c>
      <c r="AJF56" s="742"/>
      <c r="AJG56" s="746"/>
    </row>
    <row r="57" spans="3:982" ht="48" customHeight="1" thickBot="1">
      <c r="AI57" s="792" t="s">
        <v>1079</v>
      </c>
      <c r="AJ57" s="793"/>
      <c r="AK57" s="794"/>
      <c r="AL57" s="825"/>
      <c r="AM57" s="695" t="s">
        <v>753</v>
      </c>
      <c r="AN57" s="695"/>
      <c r="AO57" s="129"/>
      <c r="AP57" s="87"/>
      <c r="AQ57" s="87"/>
      <c r="AR57" s="87"/>
      <c r="AS57" s="87"/>
      <c r="AT57" s="146"/>
      <c r="AU57" s="84" t="s">
        <v>729</v>
      </c>
      <c r="AV57" s="129"/>
      <c r="AW57" s="85" t="s">
        <v>467</v>
      </c>
      <c r="AX57" s="757" t="s">
        <v>461</v>
      </c>
      <c r="AY57" s="758"/>
      <c r="AZ57" s="819" t="s">
        <v>126</v>
      </c>
      <c r="BA57" s="820"/>
      <c r="BB57" s="675" t="s">
        <v>731</v>
      </c>
      <c r="BC57" s="676"/>
      <c r="BD57" s="821" t="s">
        <v>473</v>
      </c>
      <c r="BE57" s="822"/>
      <c r="BF57" s="822"/>
      <c r="BG57" s="823"/>
      <c r="BQ57" s="144"/>
      <c r="BR57" s="144"/>
      <c r="BS57" s="144"/>
      <c r="BX57" s="798"/>
      <c r="BY57" s="799"/>
      <c r="BZ57" s="800"/>
      <c r="CA57" s="827"/>
      <c r="CB57" s="1594"/>
      <c r="CC57" s="1595"/>
      <c r="CD57" s="1595"/>
      <c r="CE57" s="1595"/>
      <c r="CF57" s="1595"/>
      <c r="CG57" s="1595"/>
      <c r="CH57" s="1595"/>
      <c r="CI57" s="1595"/>
      <c r="CJ57" s="1595"/>
      <c r="CK57" s="1595"/>
      <c r="CL57" s="1595"/>
      <c r="CM57" s="1595"/>
      <c r="CN57" s="1596"/>
      <c r="CO57" s="1443"/>
      <c r="CP57" s="1444"/>
      <c r="CQ57" s="851"/>
      <c r="CR57" s="852"/>
      <c r="CS57" s="713"/>
      <c r="CT57" s="743"/>
      <c r="CU57" s="745"/>
      <c r="CV57" s="747"/>
      <c r="DZ57" s="792" t="s">
        <v>1013</v>
      </c>
      <c r="EA57" s="793"/>
      <c r="EB57" s="794"/>
      <c r="EC57" s="85" t="s">
        <v>839</v>
      </c>
      <c r="ED57" s="665" t="s">
        <v>442</v>
      </c>
      <c r="EE57" s="666"/>
      <c r="EF57" s="152"/>
      <c r="EG57" s="87"/>
      <c r="EH57" s="87"/>
      <c r="EI57" s="87"/>
      <c r="EJ57" s="87"/>
      <c r="EK57" s="87"/>
      <c r="EL57" s="87"/>
      <c r="EM57" s="152"/>
      <c r="EN57" s="85" t="s">
        <v>467</v>
      </c>
      <c r="EO57" s="757" t="s">
        <v>461</v>
      </c>
      <c r="EP57" s="758"/>
      <c r="EQ57" s="819" t="s">
        <v>126</v>
      </c>
      <c r="ER57" s="820"/>
      <c r="ES57" s="675" t="s">
        <v>731</v>
      </c>
      <c r="ET57" s="676"/>
      <c r="EU57" s="821" t="s">
        <v>473</v>
      </c>
      <c r="EV57" s="822"/>
      <c r="EW57" s="822"/>
      <c r="EX57" s="823"/>
      <c r="GF57" s="798"/>
      <c r="GG57" s="799"/>
      <c r="GH57" s="800"/>
      <c r="GI57" s="827"/>
      <c r="GJ57" s="706"/>
      <c r="GK57" s="707"/>
      <c r="GL57" s="707"/>
      <c r="GM57" s="707"/>
      <c r="GN57" s="707"/>
      <c r="GO57" s="707"/>
      <c r="GP57" s="707"/>
      <c r="GQ57" s="707"/>
      <c r="GR57" s="707"/>
      <c r="GS57" s="707"/>
      <c r="GT57" s="707"/>
      <c r="GU57" s="707"/>
      <c r="GV57" s="707"/>
      <c r="GW57" s="810"/>
      <c r="GX57" s="811"/>
      <c r="GY57" s="851"/>
      <c r="GZ57" s="852"/>
      <c r="HA57" s="713"/>
      <c r="HB57" s="954"/>
      <c r="HC57" s="955"/>
      <c r="HD57" s="747"/>
      <c r="HL57" s="1674"/>
      <c r="HM57" s="727"/>
      <c r="HN57" s="727"/>
      <c r="HO57" s="727"/>
      <c r="HP57" s="727"/>
      <c r="HQ57" s="727"/>
      <c r="HR57" s="727"/>
      <c r="IR57" s="767"/>
      <c r="IS57" s="665" t="s">
        <v>442</v>
      </c>
      <c r="IT57" s="667"/>
      <c r="IU57" s="254"/>
      <c r="IV57" s="87"/>
      <c r="IW57" s="87"/>
      <c r="IX57" s="87"/>
      <c r="IY57" s="87"/>
      <c r="IZ57" s="87"/>
      <c r="JA57" s="87"/>
      <c r="JB57" s="254"/>
      <c r="JC57" s="85" t="s">
        <v>467</v>
      </c>
      <c r="JD57" s="757" t="s">
        <v>461</v>
      </c>
      <c r="JE57" s="899"/>
      <c r="JF57" s="819" t="s">
        <v>126</v>
      </c>
      <c r="JG57" s="820"/>
      <c r="JH57" s="675" t="s">
        <v>731</v>
      </c>
      <c r="JI57" s="676"/>
      <c r="JJ57" s="821" t="s">
        <v>473</v>
      </c>
      <c r="JK57" s="822"/>
      <c r="JL57" s="822"/>
      <c r="JM57" s="823"/>
      <c r="JN57" s="769" t="s">
        <v>462</v>
      </c>
      <c r="JO57" s="769"/>
      <c r="JP57" s="769"/>
      <c r="JQ57" s="769"/>
      <c r="JR57" s="769"/>
      <c r="LD57" s="144"/>
      <c r="LE57" s="144"/>
      <c r="LF57" s="144"/>
      <c r="LG57" s="144"/>
      <c r="LH57" s="144"/>
      <c r="LI57" s="144"/>
      <c r="LJ57" s="144"/>
      <c r="LK57" s="144"/>
      <c r="LL57" s="144"/>
      <c r="LM57" s="144"/>
      <c r="LN57" s="144"/>
      <c r="LO57" s="144"/>
      <c r="LP57" s="144"/>
      <c r="LQ57" s="144"/>
      <c r="LR57" s="144"/>
      <c r="LS57" s="144"/>
      <c r="LT57" s="144"/>
      <c r="NI57" s="144"/>
      <c r="NJ57" s="144"/>
      <c r="NK57" s="144"/>
      <c r="NL57" s="144"/>
      <c r="NM57" s="144"/>
      <c r="NN57" s="144"/>
      <c r="NO57" s="144"/>
      <c r="PJ57" s="795"/>
      <c r="PK57" s="796"/>
      <c r="PL57" s="797"/>
      <c r="PM57" s="826"/>
      <c r="PN57" s="700" t="s">
        <v>169</v>
      </c>
      <c r="PO57" s="701"/>
      <c r="PP57" s="701"/>
      <c r="PQ57" s="701"/>
      <c r="PR57" s="701"/>
      <c r="PS57" s="701"/>
      <c r="PT57" s="701"/>
      <c r="PU57" s="701"/>
      <c r="PV57" s="701"/>
      <c r="PW57" s="701"/>
      <c r="PX57" s="701"/>
      <c r="PY57" s="701"/>
      <c r="PZ57" s="702"/>
      <c r="QA57" s="974">
        <v>1.5</v>
      </c>
      <c r="QB57" s="975"/>
      <c r="QC57" s="849" t="s">
        <v>762</v>
      </c>
      <c r="QD57" s="850"/>
      <c r="QE57" s="714"/>
      <c r="QF57" s="740" t="s">
        <v>451</v>
      </c>
      <c r="QG57" s="742"/>
      <c r="QH57" s="746"/>
      <c r="RC57" s="369">
        <v>39</v>
      </c>
      <c r="RD57" s="668">
        <v>3.9E-2</v>
      </c>
      <c r="RE57" s="669"/>
      <c r="RF57" s="670">
        <f t="shared" si="30"/>
        <v>17.462352042328089</v>
      </c>
      <c r="RG57" s="670"/>
      <c r="RH57" s="670"/>
      <c r="RI57" s="670"/>
      <c r="RJ57" s="698">
        <f t="shared" si="12"/>
        <v>30</v>
      </c>
      <c r="RK57" s="699"/>
      <c r="RL57" s="726"/>
      <c r="RM57" s="670">
        <f t="shared" si="13"/>
        <v>17.650853212544533</v>
      </c>
      <c r="RN57" s="670"/>
      <c r="RO57" s="670"/>
      <c r="RP57" s="670"/>
      <c r="RQ57" s="670"/>
      <c r="RR57" s="670"/>
      <c r="RS57" s="671">
        <f t="shared" si="38"/>
        <v>1.560804663639157</v>
      </c>
      <c r="RT57" s="671"/>
      <c r="RU57" s="671"/>
      <c r="RV57" s="671"/>
      <c r="RW57" s="671"/>
      <c r="RX57" s="671"/>
      <c r="RY57" s="681">
        <f t="shared" si="14"/>
        <v>17.719727151647437</v>
      </c>
      <c r="RZ57" s="681"/>
      <c r="SA57" s="681"/>
      <c r="SB57" s="681"/>
      <c r="SC57" s="681">
        <f>'Вывод расчетов'!$AQ$6/RY57</f>
        <v>21.445025465003884</v>
      </c>
      <c r="SD57" s="681"/>
      <c r="SE57" s="681"/>
      <c r="SF57" s="681"/>
      <c r="SG57" s="867">
        <f t="shared" si="31"/>
        <v>0.99611314900542924</v>
      </c>
      <c r="SH57" s="867"/>
      <c r="SI57" s="867"/>
      <c r="SJ57" s="867"/>
      <c r="SK57" s="865">
        <f t="shared" si="16"/>
        <v>8.8082883572733014E-2</v>
      </c>
      <c r="SL57" s="865"/>
      <c r="SM57" s="865"/>
      <c r="SN57" s="865"/>
      <c r="SO57" s="692">
        <f t="shared" si="26"/>
        <v>21.711994287577888</v>
      </c>
      <c r="SP57" s="693"/>
      <c r="SQ57" s="693"/>
      <c r="SR57" s="693"/>
      <c r="SS57" s="694"/>
      <c r="ST57" s="668">
        <f t="shared" si="24"/>
        <v>12.871016443244226</v>
      </c>
      <c r="SU57" s="678"/>
      <c r="SV57" s="678"/>
      <c r="SW57" s="678"/>
      <c r="SX57" s="678"/>
      <c r="SY57" s="669"/>
      <c r="SZ57" s="682">
        <f t="shared" si="19"/>
        <v>25.240320129231286</v>
      </c>
      <c r="TA57" s="683"/>
      <c r="TB57" s="683"/>
      <c r="TC57" s="683"/>
      <c r="TD57" s="683"/>
      <c r="TE57" s="684"/>
      <c r="TF57" s="682">
        <f>'Вывод расчетов'!$XC$174*SC57</f>
        <v>21.786550753463693</v>
      </c>
      <c r="TG57" s="683"/>
      <c r="TH57" s="684"/>
      <c r="TI57" s="681">
        <f t="shared" ref="TI57:TI88" si="58">(3*$AQ$6*SO57)/1000</f>
        <v>24.75167348783879</v>
      </c>
      <c r="TJ57" s="681"/>
      <c r="TK57" s="681"/>
      <c r="TL57" s="681"/>
      <c r="TM57" s="685">
        <f t="shared" si="21"/>
        <v>0.35461990670002774</v>
      </c>
      <c r="TN57" s="686"/>
      <c r="TO57" s="686"/>
      <c r="TP57" s="687"/>
      <c r="TQ57" s="688">
        <f t="shared" si="22"/>
        <v>0.9395972427919802</v>
      </c>
      <c r="TR57" s="688"/>
      <c r="TS57" s="688"/>
      <c r="TT57" s="688"/>
      <c r="TU57" s="689">
        <f t="shared" si="27"/>
        <v>0.10059483864296209</v>
      </c>
      <c r="TV57" s="690"/>
      <c r="TW57" s="690"/>
      <c r="TX57" s="690"/>
      <c r="TY57" s="690"/>
      <c r="TZ57" s="691"/>
      <c r="UA57" s="756">
        <v>3.9E-2</v>
      </c>
      <c r="UB57" s="756"/>
      <c r="UC57" s="650">
        <v>0.39</v>
      </c>
      <c r="UD57" s="866">
        <f t="shared" si="39"/>
        <v>2.2750988039623841</v>
      </c>
      <c r="UE57" s="866"/>
      <c r="UF57" s="866"/>
      <c r="UG57" s="866"/>
      <c r="UH57" s="866"/>
      <c r="UI57" s="866"/>
      <c r="UJ57" s="866"/>
      <c r="UK57" s="681">
        <f t="shared" si="40"/>
        <v>22.476574683876407</v>
      </c>
      <c r="UL57" s="681"/>
      <c r="UM57" s="681"/>
      <c r="UN57" s="681"/>
      <c r="UO57" s="816">
        <f t="shared" si="41"/>
        <v>0.90808303102898458</v>
      </c>
      <c r="UP57" s="816"/>
      <c r="UQ57" s="816"/>
      <c r="UR57" s="816"/>
      <c r="US57" s="866">
        <f t="shared" si="42"/>
        <v>0.86021073331921893</v>
      </c>
      <c r="UT57" s="866"/>
      <c r="UU57" s="866"/>
      <c r="UV57" s="866"/>
      <c r="UW57" s="866"/>
      <c r="UY57" s="144"/>
      <c r="UZ57" s="144"/>
      <c r="VA57" s="144"/>
      <c r="VB57" s="144"/>
      <c r="VC57" s="144"/>
      <c r="VD57" s="144"/>
      <c r="VE57" s="144"/>
      <c r="VF57" s="144"/>
      <c r="VG57" s="144"/>
      <c r="VH57" s="144"/>
      <c r="VI57" s="144"/>
      <c r="VJ57" s="144"/>
      <c r="VK57" s="144"/>
      <c r="VL57" s="144"/>
      <c r="VM57" s="144"/>
      <c r="VN57" s="144"/>
      <c r="VO57" s="144"/>
      <c r="VP57" s="144"/>
      <c r="VQ57" s="144"/>
      <c r="VR57" s="144"/>
      <c r="VS57" s="144"/>
      <c r="VT57" s="144"/>
      <c r="VU57" s="144"/>
      <c r="VV57" s="144"/>
      <c r="WA57" s="144"/>
      <c r="WB57" s="228"/>
      <c r="WC57" s="905"/>
      <c r="WD57" s="900"/>
      <c r="WE57" s="900"/>
      <c r="WF57" s="900"/>
      <c r="WG57" s="900"/>
      <c r="WH57" s="906"/>
      <c r="WI57" s="181"/>
      <c r="WJ57" s="182"/>
      <c r="WK57" s="182"/>
      <c r="WL57" s="182"/>
      <c r="WM57" s="182"/>
      <c r="WN57" s="185"/>
      <c r="WO57" s="880">
        <v>19</v>
      </c>
      <c r="WP57" s="880"/>
      <c r="WQ57" s="1033" t="s">
        <v>400</v>
      </c>
      <c r="WR57" s="1033"/>
      <c r="WS57" s="1034">
        <f>1-(WS53/WS45)</f>
        <v>0.9811325008191828</v>
      </c>
      <c r="WT57" s="1034"/>
      <c r="WU57" s="1034">
        <f>1-(WU53/WU45)</f>
        <v>0.96637422052565292</v>
      </c>
      <c r="WV57" s="1034"/>
      <c r="WW57" s="1034">
        <f>1-(WW53/WW45)</f>
        <v>0.97407396725806372</v>
      </c>
      <c r="WX57" s="1034"/>
      <c r="WY57" s="1034">
        <f>1-(WY53/WY45)</f>
        <v>0.96649591336267449</v>
      </c>
      <c r="WZ57" s="1034"/>
      <c r="XA57" s="1034">
        <f>1-(XA53/XA45)</f>
        <v>0.96084014456285582</v>
      </c>
      <c r="XB57" s="1034"/>
      <c r="XC57" s="1034">
        <f>1-(XC53/XC45)</f>
        <v>0.95518490601006123</v>
      </c>
      <c r="XD57" s="1034"/>
      <c r="XE57" s="187"/>
      <c r="XF57" s="187"/>
      <c r="XG57" s="187"/>
      <c r="XH57" s="188"/>
      <c r="XI57" s="190"/>
      <c r="XO57" s="826"/>
      <c r="XP57" s="673" t="s">
        <v>1185</v>
      </c>
      <c r="XQ57" s="674"/>
      <c r="XR57" s="677">
        <f>$IH$88</f>
        <v>4.8</v>
      </c>
      <c r="XS57" s="677"/>
      <c r="XT57" s="939" t="s">
        <v>1575</v>
      </c>
      <c r="XU57" s="940"/>
      <c r="XV57" s="940"/>
      <c r="XW57" s="940"/>
      <c r="XX57" s="940"/>
      <c r="XY57" s="940"/>
      <c r="XZ57" s="940"/>
      <c r="YA57" s="940"/>
      <c r="YB57" s="1003"/>
      <c r="YC57" s="763">
        <f>XR57-((XR57-XR58)/XR59)*(XT56-XR58/2)</f>
        <v>4.4345599790466208</v>
      </c>
      <c r="YD57" s="764"/>
      <c r="YE57" s="849"/>
      <c r="YF57" s="850"/>
      <c r="YG57" s="712"/>
      <c r="YH57" s="952" t="s">
        <v>1508</v>
      </c>
      <c r="YI57" s="953"/>
      <c r="YJ57" s="746"/>
      <c r="YK57" s="767"/>
      <c r="YL57" s="767"/>
      <c r="YM57" s="767"/>
      <c r="YN57" s="767"/>
      <c r="YO57" s="767"/>
      <c r="YP57" s="767"/>
      <c r="YQ57" s="767"/>
      <c r="YR57" s="767"/>
      <c r="YS57" s="767"/>
      <c r="YT57" s="767"/>
      <c r="YU57" s="767"/>
      <c r="AAD57" s="947"/>
      <c r="AAE57" s="947"/>
      <c r="AAF57" s="947"/>
      <c r="AAG57" s="947"/>
      <c r="AAH57" s="465">
        <v>47</v>
      </c>
      <c r="AAI57" s="956"/>
      <c r="AAJ57" s="957"/>
      <c r="AAK57" s="956"/>
      <c r="AAL57" s="957"/>
      <c r="AAM57" s="958">
        <f t="shared" si="29"/>
        <v>0.62666666666666671</v>
      </c>
      <c r="AAN57" s="959"/>
      <c r="AAP57" s="947"/>
      <c r="AAQ57" s="947"/>
      <c r="AAR57" s="947"/>
      <c r="AAS57" s="947"/>
      <c r="AAT57" s="465">
        <v>107</v>
      </c>
      <c r="AAU57" s="956"/>
      <c r="AAV57" s="957"/>
      <c r="AAW57" s="956"/>
      <c r="AAX57" s="957"/>
      <c r="AAY57" s="958">
        <f t="shared" si="1"/>
        <v>1.4266666666666667</v>
      </c>
      <c r="AAZ57" s="959"/>
      <c r="ABB57" s="947"/>
      <c r="ABC57" s="947"/>
      <c r="ABD57" s="947"/>
      <c r="ABE57" s="947"/>
      <c r="ABF57" s="465">
        <v>167</v>
      </c>
      <c r="ABG57" s="956"/>
      <c r="ABH57" s="957"/>
      <c r="ABI57" s="956"/>
      <c r="ABJ57" s="957"/>
      <c r="ABK57" s="958">
        <f t="shared" si="2"/>
        <v>2.226666666666667</v>
      </c>
      <c r="ABL57" s="959"/>
      <c r="ABN57" s="947"/>
      <c r="ABO57" s="947"/>
      <c r="ABP57" s="947"/>
      <c r="ABQ57" s="947"/>
      <c r="ABR57" s="465">
        <v>227</v>
      </c>
      <c r="ABS57" s="956"/>
      <c r="ABT57" s="957"/>
      <c r="ABU57" s="956"/>
      <c r="ABV57" s="957"/>
      <c r="ABW57" s="958">
        <f t="shared" si="3"/>
        <v>3.0266666666666668</v>
      </c>
      <c r="ABX57" s="959"/>
      <c r="ABZ57" s="947"/>
      <c r="ACA57" s="947"/>
      <c r="ACB57" s="947"/>
      <c r="ACC57" s="947"/>
      <c r="ACD57" s="465">
        <v>287</v>
      </c>
      <c r="ACE57" s="956"/>
      <c r="ACF57" s="957"/>
      <c r="ACG57" s="956"/>
      <c r="ACH57" s="957"/>
      <c r="ACI57" s="958">
        <f t="shared" si="4"/>
        <v>3.8266666666666671</v>
      </c>
      <c r="ACJ57" s="959"/>
      <c r="ACX57" s="144"/>
      <c r="ACY57" s="144"/>
      <c r="ACZ57" s="144"/>
      <c r="ADB57" s="1033"/>
      <c r="ADC57" s="1033"/>
      <c r="ADD57" s="696" t="s">
        <v>1606</v>
      </c>
      <c r="ADE57" s="720"/>
      <c r="ADF57" s="720"/>
      <c r="ADG57" s="697"/>
      <c r="ADH57" s="1055">
        <f>$YC$132</f>
        <v>1.0140917218403787</v>
      </c>
      <c r="ADI57" s="1056"/>
      <c r="ADJ57" s="1032"/>
      <c r="ADK57" s="1032"/>
      <c r="ADL57" s="1032"/>
      <c r="ADM57" s="1032"/>
      <c r="ADN57" s="1032"/>
      <c r="ADO57" s="1032"/>
      <c r="ADP57" s="1032"/>
      <c r="ADQ57" s="1032"/>
      <c r="ADR57" s="1032"/>
      <c r="ADS57" s="1032"/>
      <c r="ADT57" s="1032"/>
      <c r="ADU57" s="1032"/>
      <c r="ADV57" s="1032"/>
      <c r="ADW57" s="1032"/>
      <c r="ADX57" s="1049"/>
      <c r="ADY57" s="1049"/>
      <c r="ADZ57" s="1049"/>
      <c r="AEA57" s="1049"/>
      <c r="AEB57" s="1049"/>
      <c r="AEC57" s="1049"/>
      <c r="AED57" s="1049"/>
      <c r="AEE57" s="1049"/>
      <c r="AEF57" s="176"/>
      <c r="AEG57" s="172"/>
      <c r="AEH57" s="172"/>
      <c r="AEI57" s="172"/>
      <c r="AEJ57" s="172"/>
      <c r="AEK57" s="177"/>
      <c r="AEP57" s="947"/>
      <c r="AEQ57" s="947"/>
      <c r="AER57" s="947"/>
      <c r="AES57" s="947"/>
      <c r="AET57" s="656">
        <v>13</v>
      </c>
      <c r="AEU57" s="956"/>
      <c r="AEV57" s="957"/>
      <c r="AEW57" s="958">
        <f t="shared" si="35"/>
        <v>0.41166666666666668</v>
      </c>
      <c r="AEX57" s="959"/>
      <c r="AEZ57" s="947"/>
      <c r="AFA57" s="947"/>
      <c r="AFB57" s="947"/>
      <c r="AFC57" s="947"/>
      <c r="AFD57" s="656">
        <v>73</v>
      </c>
      <c r="AFE57" s="956"/>
      <c r="AFF57" s="957"/>
      <c r="AFG57" s="958">
        <f t="shared" si="36"/>
        <v>2.311666666666667</v>
      </c>
      <c r="AFH57" s="959"/>
      <c r="AFJ57" s="947"/>
      <c r="AFK57" s="947"/>
      <c r="AFL57" s="947"/>
      <c r="AFM57" s="947"/>
      <c r="AFN57" s="656">
        <v>133</v>
      </c>
      <c r="AFO57" s="956"/>
      <c r="AFP57" s="957"/>
      <c r="AFQ57" s="958">
        <f t="shared" si="37"/>
        <v>4.2116666666666669</v>
      </c>
      <c r="AFR57" s="959"/>
      <c r="AFT57" s="947"/>
      <c r="AFU57" s="947"/>
      <c r="AFV57" s="947"/>
      <c r="AFW57" s="947"/>
      <c r="AFX57" s="657">
        <v>193</v>
      </c>
      <c r="AFY57" s="956"/>
      <c r="AFZ57" s="957"/>
      <c r="AGA57" s="958"/>
      <c r="AGB57" s="959"/>
      <c r="AGD57" s="947"/>
      <c r="AGE57" s="947"/>
      <c r="AGF57" s="947"/>
      <c r="AGG57" s="947"/>
      <c r="AGH57" s="657">
        <v>253</v>
      </c>
      <c r="AGI57" s="956"/>
      <c r="AGJ57" s="957"/>
      <c r="AGK57" s="958"/>
      <c r="AGL57" s="959"/>
      <c r="AHO57" s="144"/>
      <c r="AIM57" s="826"/>
      <c r="AIN57" s="942"/>
      <c r="AIO57" s="942"/>
      <c r="AIP57" s="942"/>
      <c r="AIQ57" s="942"/>
      <c r="AIR57" s="942"/>
      <c r="AIS57" s="942"/>
      <c r="AIT57" s="942"/>
      <c r="AIU57" s="942"/>
      <c r="AIV57" s="942"/>
      <c r="AIW57" s="942"/>
      <c r="AIX57" s="942"/>
      <c r="AIY57" s="942"/>
      <c r="AIZ57" s="1011"/>
      <c r="AJA57" s="1278"/>
      <c r="AJB57" s="1279"/>
      <c r="AJC57" s="1280"/>
      <c r="AJD57" s="713"/>
      <c r="AJE57" s="743"/>
      <c r="AJF57" s="745"/>
      <c r="AJG57" s="747"/>
    </row>
    <row r="58" spans="3:982" ht="48" customHeight="1" thickBot="1">
      <c r="AI58" s="795"/>
      <c r="AJ58" s="796"/>
      <c r="AK58" s="797"/>
      <c r="AL58" s="826"/>
      <c r="AM58" s="1488" t="s">
        <v>802</v>
      </c>
      <c r="AN58" s="1489"/>
      <c r="AO58" s="1489"/>
      <c r="AP58" s="1489"/>
      <c r="AQ58" s="1489"/>
      <c r="AR58" s="1489"/>
      <c r="AS58" s="1489"/>
      <c r="AT58" s="1489"/>
      <c r="AU58" s="1489"/>
      <c r="AV58" s="1489"/>
      <c r="AW58" s="1489"/>
      <c r="AX58" s="1489"/>
      <c r="AY58" s="1490"/>
      <c r="AZ58" s="808">
        <v>0.8</v>
      </c>
      <c r="BA58" s="809"/>
      <c r="BB58" s="759" t="s">
        <v>18</v>
      </c>
      <c r="BC58" s="760"/>
      <c r="BD58" s="712"/>
      <c r="BE58" s="740" t="s">
        <v>785</v>
      </c>
      <c r="BF58" s="742"/>
      <c r="BG58" s="746"/>
      <c r="DZ58" s="795"/>
      <c r="EA58" s="796"/>
      <c r="EB58" s="797"/>
      <c r="EC58" s="825"/>
      <c r="ED58" s="816" t="s">
        <v>1086</v>
      </c>
      <c r="EE58" s="816"/>
      <c r="EF58" s="816"/>
      <c r="EG58" s="816"/>
      <c r="EH58" s="816"/>
      <c r="EI58" s="816"/>
      <c r="EJ58" s="816"/>
      <c r="EK58" s="816"/>
      <c r="EL58" s="816"/>
      <c r="EM58" s="816"/>
      <c r="EN58" s="816"/>
      <c r="EO58" s="816"/>
      <c r="EP58" s="817"/>
      <c r="EQ58" s="808">
        <v>0.2</v>
      </c>
      <c r="ER58" s="809"/>
      <c r="ES58" s="759" t="s">
        <v>50</v>
      </c>
      <c r="ET58" s="760"/>
      <c r="EU58" s="712"/>
      <c r="EV58" s="952" t="s">
        <v>1217</v>
      </c>
      <c r="EW58" s="953"/>
      <c r="EX58" s="746"/>
      <c r="IR58" s="767"/>
      <c r="IS58" s="257" t="s">
        <v>1194</v>
      </c>
      <c r="IT58" s="677">
        <f>$JF$66</f>
        <v>10.220000000000001</v>
      </c>
      <c r="IU58" s="677"/>
      <c r="IV58" s="700" t="s">
        <v>74</v>
      </c>
      <c r="IW58" s="701"/>
      <c r="IX58" s="701"/>
      <c r="IY58" s="701"/>
      <c r="IZ58" s="701"/>
      <c r="JA58" s="701"/>
      <c r="JB58" s="701"/>
      <c r="JC58" s="701"/>
      <c r="JD58" s="701"/>
      <c r="JE58" s="702"/>
      <c r="JF58" s="763">
        <f>2*IT58/1000*IT59</f>
        <v>31.0688</v>
      </c>
      <c r="JG58" s="764"/>
      <c r="JH58" s="1203" t="s">
        <v>35</v>
      </c>
      <c r="JI58" s="1063"/>
      <c r="JJ58" s="712"/>
      <c r="JK58" s="952" t="s">
        <v>1160</v>
      </c>
      <c r="JL58" s="953"/>
      <c r="JM58" s="746"/>
      <c r="JN58" s="767"/>
      <c r="JO58" s="767"/>
      <c r="JP58" s="767"/>
      <c r="JQ58" s="767"/>
      <c r="JR58" s="767"/>
      <c r="LD58" s="144"/>
      <c r="LE58" s="144"/>
      <c r="LF58" s="144"/>
      <c r="LG58" s="144"/>
      <c r="LH58" s="144"/>
      <c r="LI58" s="144"/>
      <c r="LJ58" s="144"/>
      <c r="LK58" s="144"/>
      <c r="LL58" s="144"/>
      <c r="LM58" s="144"/>
      <c r="LN58" s="144"/>
      <c r="LO58" s="144"/>
      <c r="LP58" s="144"/>
      <c r="LQ58" s="144"/>
      <c r="LR58" s="144"/>
      <c r="LS58" s="144"/>
      <c r="LT58" s="144"/>
      <c r="LZ58" s="825"/>
      <c r="MA58" s="665" t="s">
        <v>442</v>
      </c>
      <c r="MB58" s="666"/>
      <c r="MC58" s="370"/>
      <c r="MD58" s="374" t="s">
        <v>65</v>
      </c>
      <c r="ME58" s="739">
        <f>$GT$123</f>
        <v>0.10822297858429225</v>
      </c>
      <c r="MF58" s="739"/>
      <c r="MG58" s="87"/>
      <c r="MH58" s="87"/>
      <c r="MI58" s="87"/>
      <c r="MJ58" s="370"/>
      <c r="MK58" s="85" t="s">
        <v>467</v>
      </c>
      <c r="ML58" s="757" t="s">
        <v>461</v>
      </c>
      <c r="MM58" s="758"/>
      <c r="MN58" s="819" t="s">
        <v>126</v>
      </c>
      <c r="MO58" s="820"/>
      <c r="MP58" s="675" t="s">
        <v>731</v>
      </c>
      <c r="MQ58" s="676"/>
      <c r="MR58" s="821" t="s">
        <v>473</v>
      </c>
      <c r="MS58" s="822"/>
      <c r="MT58" s="822"/>
      <c r="MU58" s="823"/>
      <c r="MV58" s="769" t="s">
        <v>462</v>
      </c>
      <c r="MW58" s="769"/>
      <c r="MX58" s="769"/>
      <c r="MY58" s="769"/>
      <c r="NI58" s="144"/>
      <c r="NJ58" s="144"/>
      <c r="NK58" s="144"/>
      <c r="NL58" s="144"/>
      <c r="NM58" s="144"/>
      <c r="NN58" s="144"/>
      <c r="NO58" s="144"/>
      <c r="PJ58" s="798"/>
      <c r="PK58" s="799"/>
      <c r="PL58" s="800"/>
      <c r="PM58" s="827"/>
      <c r="PN58" s="706"/>
      <c r="PO58" s="707"/>
      <c r="PP58" s="707"/>
      <c r="PQ58" s="707"/>
      <c r="PR58" s="707"/>
      <c r="PS58" s="707"/>
      <c r="PT58" s="707"/>
      <c r="PU58" s="707"/>
      <c r="PV58" s="707"/>
      <c r="PW58" s="707"/>
      <c r="PX58" s="707"/>
      <c r="PY58" s="707"/>
      <c r="PZ58" s="708"/>
      <c r="QA58" s="976"/>
      <c r="QB58" s="977"/>
      <c r="QC58" s="851"/>
      <c r="QD58" s="852"/>
      <c r="QE58" s="715"/>
      <c r="QF58" s="743"/>
      <c r="QG58" s="745"/>
      <c r="QH58" s="747"/>
      <c r="QM58" s="144"/>
      <c r="QN58" s="144"/>
      <c r="QO58" s="144"/>
      <c r="QP58" s="144"/>
      <c r="QQ58" s="144"/>
      <c r="QR58" s="144"/>
      <c r="QS58" s="144"/>
      <c r="QT58" s="144"/>
      <c r="QU58" s="144"/>
      <c r="RC58" s="369">
        <v>40</v>
      </c>
      <c r="RD58" s="668">
        <v>0.04</v>
      </c>
      <c r="RE58" s="669"/>
      <c r="RF58" s="670">
        <f t="shared" si="30"/>
        <v>17.025793241269888</v>
      </c>
      <c r="RG58" s="670"/>
      <c r="RH58" s="670"/>
      <c r="RI58" s="670"/>
      <c r="RJ58" s="698">
        <f t="shared" si="12"/>
        <v>30</v>
      </c>
      <c r="RK58" s="699"/>
      <c r="RL58" s="726"/>
      <c r="RM58" s="670">
        <f t="shared" si="13"/>
        <v>17.214294411486332</v>
      </c>
      <c r="RN58" s="670"/>
      <c r="RO58" s="670"/>
      <c r="RP58" s="670"/>
      <c r="RQ58" s="670"/>
      <c r="RR58" s="670"/>
      <c r="RS58" s="671">
        <f t="shared" si="38"/>
        <v>1.560804663639157</v>
      </c>
      <c r="RT58" s="671"/>
      <c r="RU58" s="671"/>
      <c r="RV58" s="671"/>
      <c r="RW58" s="671"/>
      <c r="RX58" s="671"/>
      <c r="RY58" s="681">
        <f t="shared" si="14"/>
        <v>17.284907962826047</v>
      </c>
      <c r="RZ58" s="681"/>
      <c r="SA58" s="681"/>
      <c r="SB58" s="681"/>
      <c r="SC58" s="681">
        <f>'Вывод расчетов'!$AQ$6/RY58</f>
        <v>21.984496580326066</v>
      </c>
      <c r="SD58" s="681"/>
      <c r="SE58" s="681"/>
      <c r="SF58" s="681"/>
      <c r="SG58" s="867">
        <f t="shared" si="31"/>
        <v>0.99591472795275615</v>
      </c>
      <c r="SH58" s="867"/>
      <c r="SI58" s="867"/>
      <c r="SJ58" s="867"/>
      <c r="SK58" s="865">
        <f t="shared" si="16"/>
        <v>9.0298696816663221E-2</v>
      </c>
      <c r="SL58" s="865"/>
      <c r="SM58" s="865"/>
      <c r="SN58" s="865"/>
      <c r="SO58" s="692">
        <f t="shared" si="26"/>
        <v>22.245006372104982</v>
      </c>
      <c r="SP58" s="693"/>
      <c r="SQ58" s="693"/>
      <c r="SR58" s="693"/>
      <c r="SS58" s="694"/>
      <c r="ST58" s="668">
        <f t="shared" si="24"/>
        <v>12.967248153369827</v>
      </c>
      <c r="SU58" s="678"/>
      <c r="SV58" s="678"/>
      <c r="SW58" s="678"/>
      <c r="SX58" s="678"/>
      <c r="SY58" s="669"/>
      <c r="SZ58" s="682">
        <f t="shared" si="19"/>
        <v>25.748588954854679</v>
      </c>
      <c r="TA58" s="683"/>
      <c r="TB58" s="683"/>
      <c r="TC58" s="683"/>
      <c r="TD58" s="683"/>
      <c r="TE58" s="684"/>
      <c r="TF58" s="682">
        <f>'Вывод расчетов'!$XC$174*SC58</f>
        <v>22.334613279813894</v>
      </c>
      <c r="TG58" s="683"/>
      <c r="TH58" s="684"/>
      <c r="TI58" s="681">
        <f t="shared" si="58"/>
        <v>25.359307264199682</v>
      </c>
      <c r="TJ58" s="681"/>
      <c r="TK58" s="681"/>
      <c r="TL58" s="681"/>
      <c r="TM58" s="685">
        <f t="shared" si="21"/>
        <v>0.36904579572855672</v>
      </c>
      <c r="TN58" s="686"/>
      <c r="TO58" s="686"/>
      <c r="TP58" s="687"/>
      <c r="TQ58" s="688">
        <f t="shared" si="22"/>
        <v>0.98746486418866863</v>
      </c>
      <c r="TR58" s="688"/>
      <c r="TS58" s="688"/>
      <c r="TT58" s="688"/>
      <c r="TU58" s="689">
        <f t="shared" si="27"/>
        <v>0.10468702284268802</v>
      </c>
      <c r="TV58" s="690"/>
      <c r="TW58" s="690"/>
      <c r="TX58" s="690"/>
      <c r="TY58" s="690"/>
      <c r="TZ58" s="691"/>
      <c r="UA58" s="679">
        <v>0.04</v>
      </c>
      <c r="UB58" s="680"/>
      <c r="UC58" s="650">
        <v>0.4</v>
      </c>
      <c r="UD58" s="866">
        <f t="shared" si="39"/>
        <v>2.3414844985873269</v>
      </c>
      <c r="UE58" s="866"/>
      <c r="UF58" s="866"/>
      <c r="UG58" s="866"/>
      <c r="UH58" s="866"/>
      <c r="UI58" s="866"/>
      <c r="UJ58" s="866"/>
      <c r="UK58" s="681">
        <f t="shared" si="40"/>
        <v>23.017822765612355</v>
      </c>
      <c r="UL58" s="681"/>
      <c r="UM58" s="681"/>
      <c r="UN58" s="681"/>
      <c r="UO58" s="816">
        <f t="shared" si="41"/>
        <v>0.90766764745609374</v>
      </c>
      <c r="UP58" s="816"/>
      <c r="UQ58" s="816"/>
      <c r="UR58" s="816"/>
      <c r="US58" s="866">
        <f t="shared" si="42"/>
        <v>0.86393108418901821</v>
      </c>
      <c r="UT58" s="866"/>
      <c r="UU58" s="866"/>
      <c r="UV58" s="866"/>
      <c r="UW58" s="866"/>
      <c r="VA58" s="144"/>
      <c r="VB58" s="144"/>
      <c r="VC58" s="144"/>
      <c r="VD58" s="144"/>
      <c r="VE58" s="144"/>
      <c r="VF58" s="144"/>
      <c r="VG58" s="144"/>
      <c r="VH58" s="144"/>
      <c r="VI58" s="144"/>
      <c r="VJ58" s="144"/>
      <c r="VK58" s="144"/>
      <c r="VL58" s="144"/>
      <c r="VM58" s="144"/>
      <c r="VN58" s="144"/>
      <c r="VO58" s="144"/>
      <c r="VP58" s="144"/>
      <c r="VQ58" s="144"/>
      <c r="VR58" s="144"/>
      <c r="VS58" s="144"/>
      <c r="VT58" s="144"/>
      <c r="VU58" s="144"/>
      <c r="VV58" s="144"/>
      <c r="VW58" s="144"/>
      <c r="VX58" s="144"/>
      <c r="VY58" s="144"/>
      <c r="VZ58" s="144"/>
      <c r="WA58" s="144"/>
      <c r="WC58" s="905"/>
      <c r="WD58" s="900"/>
      <c r="WE58" s="900"/>
      <c r="WF58" s="900"/>
      <c r="WG58" s="900"/>
      <c r="WH58" s="906"/>
      <c r="WI58" s="183"/>
      <c r="WJ58" s="184"/>
      <c r="WK58" s="184"/>
      <c r="WL58" s="184"/>
      <c r="WM58" s="184"/>
      <c r="WN58" s="186"/>
      <c r="WO58" s="880"/>
      <c r="WP58" s="880"/>
      <c r="WQ58" s="1033"/>
      <c r="WR58" s="1033"/>
      <c r="WS58" s="1034"/>
      <c r="WT58" s="1034"/>
      <c r="WU58" s="1034"/>
      <c r="WV58" s="1034"/>
      <c r="WW58" s="1034"/>
      <c r="WX58" s="1034"/>
      <c r="WY58" s="1034"/>
      <c r="WZ58" s="1034"/>
      <c r="XA58" s="1034"/>
      <c r="XB58" s="1034"/>
      <c r="XC58" s="1034"/>
      <c r="XD58" s="1034"/>
      <c r="XE58" s="183"/>
      <c r="XF58" s="184"/>
      <c r="XG58" s="184"/>
      <c r="XH58" s="186"/>
      <c r="XI58" s="190"/>
      <c r="XO58" s="826"/>
      <c r="XP58" s="696" t="s">
        <v>1201</v>
      </c>
      <c r="XQ58" s="697"/>
      <c r="XR58" s="677">
        <f>$IH$92</f>
        <v>4.3</v>
      </c>
      <c r="XS58" s="677"/>
      <c r="XT58" s="941"/>
      <c r="XU58" s="942"/>
      <c r="XV58" s="942"/>
      <c r="XW58" s="942"/>
      <c r="XX58" s="942"/>
      <c r="XY58" s="942"/>
      <c r="XZ58" s="942"/>
      <c r="YA58" s="942"/>
      <c r="YB58" s="1011"/>
      <c r="YC58" s="765"/>
      <c r="YD58" s="766"/>
      <c r="YE58" s="851"/>
      <c r="YF58" s="852"/>
      <c r="YG58" s="713"/>
      <c r="YH58" s="954"/>
      <c r="YI58" s="955"/>
      <c r="YJ58" s="747"/>
      <c r="YK58" s="767"/>
      <c r="YL58" s="767"/>
      <c r="YM58" s="767"/>
      <c r="YN58" s="767"/>
      <c r="YO58" s="767"/>
      <c r="YP58" s="767"/>
      <c r="YQ58" s="767"/>
      <c r="YR58" s="767"/>
      <c r="YS58" s="767"/>
      <c r="YT58" s="767"/>
      <c r="YU58" s="767"/>
      <c r="AAD58" s="947"/>
      <c r="AAE58" s="947"/>
      <c r="AAF58" s="947"/>
      <c r="AAG58" s="947"/>
      <c r="AAH58" s="465">
        <v>48</v>
      </c>
      <c r="AAI58" s="956"/>
      <c r="AAJ58" s="957"/>
      <c r="AAK58" s="956"/>
      <c r="AAL58" s="957"/>
      <c r="AAM58" s="958">
        <f t="shared" si="29"/>
        <v>0.64</v>
      </c>
      <c r="AAN58" s="959"/>
      <c r="AAP58" s="947"/>
      <c r="AAQ58" s="947"/>
      <c r="AAR58" s="947"/>
      <c r="AAS58" s="947"/>
      <c r="AAT58" s="465">
        <v>108</v>
      </c>
      <c r="AAU58" s="956"/>
      <c r="AAV58" s="957"/>
      <c r="AAW58" s="956"/>
      <c r="AAX58" s="957"/>
      <c r="AAY58" s="958">
        <f t="shared" si="1"/>
        <v>1.4400000000000002</v>
      </c>
      <c r="AAZ58" s="959"/>
      <c r="ABB58" s="947"/>
      <c r="ABC58" s="947"/>
      <c r="ABD58" s="947"/>
      <c r="ABE58" s="947"/>
      <c r="ABF58" s="465">
        <v>168</v>
      </c>
      <c r="ABG58" s="956"/>
      <c r="ABH58" s="957"/>
      <c r="ABI58" s="956"/>
      <c r="ABJ58" s="957"/>
      <c r="ABK58" s="958">
        <f t="shared" si="2"/>
        <v>2.2400000000000002</v>
      </c>
      <c r="ABL58" s="959"/>
      <c r="ABN58" s="947"/>
      <c r="ABO58" s="947"/>
      <c r="ABP58" s="947"/>
      <c r="ABQ58" s="947"/>
      <c r="ABR58" s="465">
        <v>228</v>
      </c>
      <c r="ABS58" s="956"/>
      <c r="ABT58" s="957"/>
      <c r="ABU58" s="956"/>
      <c r="ABV58" s="957"/>
      <c r="ABW58" s="958">
        <f t="shared" si="3"/>
        <v>3.04</v>
      </c>
      <c r="ABX58" s="959"/>
      <c r="ABZ58" s="947"/>
      <c r="ACA58" s="947"/>
      <c r="ACB58" s="947"/>
      <c r="ACC58" s="947"/>
      <c r="ACD58" s="465">
        <v>288</v>
      </c>
      <c r="ACE58" s="956"/>
      <c r="ACF58" s="957"/>
      <c r="ACG58" s="956"/>
      <c r="ACH58" s="957"/>
      <c r="ACI58" s="958">
        <f t="shared" si="4"/>
        <v>3.8400000000000003</v>
      </c>
      <c r="ACJ58" s="959"/>
      <c r="ACX58" s="144"/>
      <c r="ACY58" s="144"/>
      <c r="ACZ58" s="144"/>
      <c r="ADB58" s="1033"/>
      <c r="ADC58" s="1033"/>
      <c r="ADD58" s="184"/>
      <c r="ADE58" s="184"/>
      <c r="ADF58" s="184"/>
      <c r="ADG58" s="184"/>
      <c r="ADH58" s="184"/>
      <c r="ADI58" s="186"/>
      <c r="ADJ58" s="1032"/>
      <c r="ADK58" s="1032"/>
      <c r="ADL58" s="1032"/>
      <c r="ADM58" s="1032"/>
      <c r="ADN58" s="1032"/>
      <c r="ADO58" s="1032"/>
      <c r="ADP58" s="1032"/>
      <c r="ADQ58" s="1032"/>
      <c r="ADR58" s="1032"/>
      <c r="ADS58" s="1032"/>
      <c r="ADT58" s="1032"/>
      <c r="ADU58" s="1032"/>
      <c r="ADV58" s="1032"/>
      <c r="ADW58" s="1032"/>
      <c r="ADX58" s="1073"/>
      <c r="ADY58" s="1073"/>
      <c r="ADZ58" s="1073"/>
      <c r="AEA58" s="1073"/>
      <c r="AEB58" s="1073"/>
      <c r="AEC58" s="1073"/>
      <c r="AED58" s="1073"/>
      <c r="AEE58" s="1073"/>
      <c r="AEF58" s="178"/>
      <c r="AEG58" s="172"/>
      <c r="AEH58" s="172"/>
      <c r="AEI58" s="172"/>
      <c r="AEJ58" s="172"/>
      <c r="AEK58" s="177"/>
      <c r="AEP58" s="947"/>
      <c r="AEQ58" s="947"/>
      <c r="AER58" s="947"/>
      <c r="AES58" s="947"/>
      <c r="AET58" s="656">
        <v>14</v>
      </c>
      <c r="AEU58" s="956"/>
      <c r="AEV58" s="957"/>
      <c r="AEW58" s="958">
        <f t="shared" si="35"/>
        <v>0.44333333333333336</v>
      </c>
      <c r="AEX58" s="959"/>
      <c r="AEZ58" s="947"/>
      <c r="AFA58" s="947"/>
      <c r="AFB58" s="947"/>
      <c r="AFC58" s="947"/>
      <c r="AFD58" s="656">
        <v>74</v>
      </c>
      <c r="AFE58" s="956"/>
      <c r="AFF58" s="957"/>
      <c r="AFG58" s="958">
        <f t="shared" si="36"/>
        <v>2.3433333333333337</v>
      </c>
      <c r="AFH58" s="959"/>
      <c r="AFJ58" s="947"/>
      <c r="AFK58" s="947"/>
      <c r="AFL58" s="947"/>
      <c r="AFM58" s="947"/>
      <c r="AFN58" s="656">
        <v>134</v>
      </c>
      <c r="AFO58" s="956"/>
      <c r="AFP58" s="957"/>
      <c r="AFQ58" s="958">
        <f t="shared" si="37"/>
        <v>4.2433333333333341</v>
      </c>
      <c r="AFR58" s="959"/>
      <c r="AFT58" s="947"/>
      <c r="AFU58" s="947"/>
      <c r="AFV58" s="947"/>
      <c r="AFW58" s="947"/>
      <c r="AFX58" s="657">
        <v>194</v>
      </c>
      <c r="AFY58" s="956"/>
      <c r="AFZ58" s="957"/>
      <c r="AGA58" s="958"/>
      <c r="AGB58" s="959"/>
      <c r="AGD58" s="947"/>
      <c r="AGE58" s="947"/>
      <c r="AGF58" s="947"/>
      <c r="AGG58" s="947"/>
      <c r="AGH58" s="657">
        <v>254</v>
      </c>
      <c r="AGI58" s="956"/>
      <c r="AGJ58" s="957"/>
      <c r="AGK58" s="958"/>
      <c r="AGL58" s="959"/>
      <c r="AHO58" s="144"/>
      <c r="AIM58" s="827"/>
      <c r="AIN58" s="944"/>
      <c r="AIO58" s="944"/>
      <c r="AIP58" s="944"/>
      <c r="AIQ58" s="944"/>
      <c r="AIR58" s="944"/>
      <c r="AIS58" s="944"/>
      <c r="AIT58" s="944"/>
      <c r="AIU58" s="944"/>
      <c r="AIV58" s="944"/>
      <c r="AIW58" s="944"/>
      <c r="AIX58" s="944"/>
      <c r="AIY58" s="944"/>
      <c r="AIZ58" s="1004"/>
      <c r="AJA58" s="1281"/>
      <c r="AJB58" s="1282"/>
      <c r="AJC58" s="1283"/>
      <c r="AJD58" s="222"/>
      <c r="AJE58" s="222"/>
      <c r="AJF58" s="222"/>
      <c r="AJG58" s="223"/>
    </row>
    <row r="59" spans="3:982" ht="48" customHeight="1" thickBot="1">
      <c r="AI59" s="798"/>
      <c r="AJ59" s="799"/>
      <c r="AK59" s="800"/>
      <c r="AL59" s="827"/>
      <c r="AM59" s="1491"/>
      <c r="AN59" s="805"/>
      <c r="AO59" s="805"/>
      <c r="AP59" s="805"/>
      <c r="AQ59" s="805"/>
      <c r="AR59" s="805"/>
      <c r="AS59" s="805"/>
      <c r="AT59" s="805"/>
      <c r="AU59" s="805"/>
      <c r="AV59" s="805"/>
      <c r="AW59" s="805"/>
      <c r="AX59" s="805"/>
      <c r="AY59" s="1492"/>
      <c r="AZ59" s="810"/>
      <c r="BA59" s="811"/>
      <c r="BB59" s="761"/>
      <c r="BC59" s="762"/>
      <c r="BD59" s="713"/>
      <c r="BE59" s="743"/>
      <c r="BF59" s="745"/>
      <c r="BG59" s="747"/>
      <c r="BX59" s="825"/>
      <c r="BY59" s="695" t="s">
        <v>442</v>
      </c>
      <c r="BZ59" s="695"/>
      <c r="CA59" s="146"/>
      <c r="CB59" s="87"/>
      <c r="CC59" s="87"/>
      <c r="CD59" s="87"/>
      <c r="CE59" s="87"/>
      <c r="CF59" s="87"/>
      <c r="CG59" s="87"/>
      <c r="CH59" s="146"/>
      <c r="CI59" s="85" t="s">
        <v>467</v>
      </c>
      <c r="CJ59" s="757" t="s">
        <v>461</v>
      </c>
      <c r="CK59" s="758"/>
      <c r="CL59" s="774" t="s">
        <v>126</v>
      </c>
      <c r="CM59" s="776"/>
      <c r="CN59" s="675" t="s">
        <v>731</v>
      </c>
      <c r="CO59" s="676"/>
      <c r="CP59" s="821" t="s">
        <v>473</v>
      </c>
      <c r="CQ59" s="822"/>
      <c r="CR59" s="822"/>
      <c r="CS59" s="823"/>
      <c r="CT59" s="769" t="s">
        <v>462</v>
      </c>
      <c r="CU59" s="769"/>
      <c r="CV59" s="769"/>
      <c r="CW59" s="769"/>
      <c r="DJ59" s="144"/>
      <c r="DK59" s="144"/>
      <c r="DL59" s="144"/>
      <c r="DM59" s="144"/>
      <c r="DN59" s="144"/>
      <c r="DO59" s="144"/>
      <c r="DP59" s="144"/>
      <c r="DQ59" s="144"/>
      <c r="DR59" s="144"/>
      <c r="DS59" s="144"/>
      <c r="DT59" s="144"/>
      <c r="DU59" s="144"/>
      <c r="DV59" s="144"/>
      <c r="DZ59" s="798"/>
      <c r="EA59" s="799"/>
      <c r="EB59" s="800"/>
      <c r="EC59" s="827"/>
      <c r="ED59" s="818"/>
      <c r="EE59" s="818"/>
      <c r="EF59" s="818"/>
      <c r="EG59" s="818"/>
      <c r="EH59" s="818"/>
      <c r="EI59" s="818"/>
      <c r="EJ59" s="818"/>
      <c r="EK59" s="818"/>
      <c r="EL59" s="818"/>
      <c r="EM59" s="818"/>
      <c r="EN59" s="818"/>
      <c r="EO59" s="818"/>
      <c r="EP59" s="766"/>
      <c r="EQ59" s="810"/>
      <c r="ER59" s="811"/>
      <c r="ES59" s="761"/>
      <c r="ET59" s="762"/>
      <c r="EU59" s="713"/>
      <c r="EV59" s="954"/>
      <c r="EW59" s="955"/>
      <c r="EX59" s="747"/>
      <c r="GF59" s="767"/>
      <c r="GG59" s="695" t="s">
        <v>442</v>
      </c>
      <c r="GH59" s="695"/>
      <c r="GI59" s="456"/>
      <c r="GJ59" s="457" t="s">
        <v>1189</v>
      </c>
      <c r="GK59" s="677">
        <f>$CL$52</f>
        <v>32.488628979857047</v>
      </c>
      <c r="GL59" s="677"/>
      <c r="GM59" s="457" t="s">
        <v>1188</v>
      </c>
      <c r="GN59" s="724">
        <f>$GW$65</f>
        <v>8000000</v>
      </c>
      <c r="GO59" s="724"/>
      <c r="GP59" s="150"/>
      <c r="GQ59" s="85" t="s">
        <v>467</v>
      </c>
      <c r="GR59" s="1359" t="s">
        <v>461</v>
      </c>
      <c r="GS59" s="1359"/>
      <c r="GT59" s="775" t="s">
        <v>126</v>
      </c>
      <c r="GU59" s="776"/>
      <c r="GV59" s="675" t="s">
        <v>731</v>
      </c>
      <c r="GW59" s="676"/>
      <c r="GX59" s="821" t="s">
        <v>473</v>
      </c>
      <c r="GY59" s="822"/>
      <c r="GZ59" s="822"/>
      <c r="HA59" s="822"/>
      <c r="HB59" s="823"/>
      <c r="HC59" s="769" t="s">
        <v>462</v>
      </c>
      <c r="HD59" s="769"/>
      <c r="HE59" s="769"/>
      <c r="HF59" s="769"/>
      <c r="IR59" s="768"/>
      <c r="IS59" s="247" t="s">
        <v>1195</v>
      </c>
      <c r="IT59" s="738">
        <f>$JI$62</f>
        <v>1520</v>
      </c>
      <c r="IU59" s="738"/>
      <c r="IV59" s="706"/>
      <c r="IW59" s="707"/>
      <c r="IX59" s="707"/>
      <c r="IY59" s="707"/>
      <c r="IZ59" s="707"/>
      <c r="JA59" s="707"/>
      <c r="JB59" s="707"/>
      <c r="JC59" s="707"/>
      <c r="JD59" s="707"/>
      <c r="JE59" s="708"/>
      <c r="JF59" s="765"/>
      <c r="JG59" s="766"/>
      <c r="JH59" s="1204"/>
      <c r="JI59" s="1065"/>
      <c r="JJ59" s="713"/>
      <c r="JK59" s="954"/>
      <c r="JL59" s="955"/>
      <c r="JM59" s="747"/>
      <c r="JN59" s="768"/>
      <c r="JO59" s="768"/>
      <c r="JP59" s="768"/>
      <c r="JQ59" s="768"/>
      <c r="JR59" s="768"/>
      <c r="LD59" s="144"/>
      <c r="LE59" s="144"/>
      <c r="LF59" s="144"/>
      <c r="LG59" s="144"/>
      <c r="LH59" s="144"/>
      <c r="LI59" s="144"/>
      <c r="LJ59" s="144"/>
      <c r="LK59" s="144"/>
      <c r="LL59" s="144"/>
      <c r="LM59" s="144"/>
      <c r="LN59" s="144"/>
      <c r="LO59" s="144"/>
      <c r="LP59" s="144"/>
      <c r="LQ59" s="144"/>
      <c r="LR59" s="144"/>
      <c r="LS59" s="144"/>
      <c r="LT59" s="144"/>
      <c r="LZ59" s="826"/>
      <c r="MA59" s="371" t="s">
        <v>1341</v>
      </c>
      <c r="MB59" s="884">
        <f>$MN$69</f>
        <v>1.5573482713531094E-4</v>
      </c>
      <c r="MC59" s="884"/>
      <c r="MD59" s="1383" t="s">
        <v>1561</v>
      </c>
      <c r="ME59" s="1384"/>
      <c r="MF59" s="1384"/>
      <c r="MG59" s="1121"/>
      <c r="MH59" s="1121"/>
      <c r="MI59" s="1121"/>
      <c r="MJ59" s="1121"/>
      <c r="MK59" s="1121"/>
      <c r="ML59" s="1121"/>
      <c r="MM59" s="1254"/>
      <c r="MN59" s="989">
        <f>MB59+2*(MB60/(ME58^2))</f>
        <v>3.1821941356160961E-4</v>
      </c>
      <c r="MO59" s="990"/>
      <c r="MP59" s="895" t="s">
        <v>415</v>
      </c>
      <c r="MQ59" s="896"/>
      <c r="MR59" s="714"/>
      <c r="MS59" s="740" t="s">
        <v>902</v>
      </c>
      <c r="MT59" s="742"/>
      <c r="MU59" s="746"/>
      <c r="MV59" s="890"/>
      <c r="MW59" s="841"/>
      <c r="MX59" s="841"/>
      <c r="MY59" s="891"/>
      <c r="NI59" s="144"/>
      <c r="NJ59" s="144"/>
      <c r="NK59" s="144"/>
      <c r="NL59" s="144"/>
      <c r="NM59" s="144"/>
      <c r="NN59" s="144"/>
      <c r="NO59" s="144"/>
      <c r="QM59" s="144"/>
      <c r="QN59" s="144"/>
      <c r="QO59" s="144"/>
      <c r="QP59" s="144"/>
      <c r="QQ59" s="144"/>
      <c r="QR59" s="144"/>
      <c r="QS59" s="144"/>
      <c r="QT59" s="144"/>
      <c r="QU59" s="144"/>
      <c r="RC59" s="369">
        <v>41</v>
      </c>
      <c r="RD59" s="668">
        <v>4.1000000000000002E-2</v>
      </c>
      <c r="RE59" s="669"/>
      <c r="RF59" s="670">
        <f t="shared" si="30"/>
        <v>16.610529991482817</v>
      </c>
      <c r="RG59" s="670"/>
      <c r="RH59" s="670"/>
      <c r="RI59" s="670"/>
      <c r="RJ59" s="698">
        <f t="shared" si="12"/>
        <v>30</v>
      </c>
      <c r="RK59" s="699"/>
      <c r="RL59" s="726"/>
      <c r="RM59" s="670">
        <f t="shared" si="13"/>
        <v>16.799031161699261</v>
      </c>
      <c r="RN59" s="670"/>
      <c r="RO59" s="670"/>
      <c r="RP59" s="670"/>
      <c r="RQ59" s="670"/>
      <c r="RR59" s="670"/>
      <c r="RS59" s="671">
        <f t="shared" si="38"/>
        <v>1.560804663639157</v>
      </c>
      <c r="RT59" s="671"/>
      <c r="RU59" s="671"/>
      <c r="RV59" s="671"/>
      <c r="RW59" s="671"/>
      <c r="RX59" s="671"/>
      <c r="RY59" s="681">
        <f t="shared" si="14"/>
        <v>16.871382846992141</v>
      </c>
      <c r="RZ59" s="681"/>
      <c r="SA59" s="681"/>
      <c r="SB59" s="681"/>
      <c r="SC59" s="681">
        <f>'Вывод расчетов'!$AQ$6/RY59</f>
        <v>22.523346393490623</v>
      </c>
      <c r="SD59" s="681"/>
      <c r="SE59" s="681"/>
      <c r="SF59" s="681"/>
      <c r="SG59" s="867">
        <f t="shared" si="31"/>
        <v>0.99571157349998851</v>
      </c>
      <c r="SH59" s="867"/>
      <c r="SI59" s="867"/>
      <c r="SJ59" s="867"/>
      <c r="SK59" s="865">
        <f t="shared" si="16"/>
        <v>9.2511958136106187E-2</v>
      </c>
      <c r="SL59" s="865"/>
      <c r="SM59" s="865"/>
      <c r="SN59" s="865"/>
      <c r="SO59" s="692">
        <f t="shared" si="26"/>
        <v>22.77707911907909</v>
      </c>
      <c r="SP59" s="693"/>
      <c r="SQ59" s="693"/>
      <c r="SR59" s="693"/>
      <c r="SS59" s="694"/>
      <c r="ST59" s="668">
        <f t="shared" si="24"/>
        <v>13.065755640635617</v>
      </c>
      <c r="SU59" s="678"/>
      <c r="SV59" s="678"/>
      <c r="SW59" s="678"/>
      <c r="SX59" s="678"/>
      <c r="SY59" s="669"/>
      <c r="SZ59" s="682">
        <f t="shared" si="19"/>
        <v>26.25850916669852</v>
      </c>
      <c r="TA59" s="683"/>
      <c r="TB59" s="683"/>
      <c r="TC59" s="683"/>
      <c r="TD59" s="683"/>
      <c r="TE59" s="684"/>
      <c r="TF59" s="682">
        <f>'Вывод расчетов'!$XC$174*SC59</f>
        <v>22.882044609385503</v>
      </c>
      <c r="TG59" s="683"/>
      <c r="TH59" s="684"/>
      <c r="TI59" s="681">
        <f t="shared" si="58"/>
        <v>25.965870195750163</v>
      </c>
      <c r="TJ59" s="681"/>
      <c r="TK59" s="681"/>
      <c r="TL59" s="681"/>
      <c r="TM59" s="685">
        <f t="shared" si="21"/>
        <v>0.38380755918291987</v>
      </c>
      <c r="TN59" s="686"/>
      <c r="TO59" s="686"/>
      <c r="TP59" s="687"/>
      <c r="TQ59" s="688">
        <f t="shared" si="22"/>
        <v>1.0364645036944364</v>
      </c>
      <c r="TR59" s="688"/>
      <c r="TS59" s="688"/>
      <c r="TT59" s="688"/>
      <c r="TU59" s="689">
        <f t="shared" si="27"/>
        <v>0.10887448436055865</v>
      </c>
      <c r="TV59" s="690"/>
      <c r="TW59" s="690"/>
      <c r="TX59" s="690"/>
      <c r="TY59" s="690"/>
      <c r="TZ59" s="691"/>
      <c r="UA59" s="679">
        <v>4.1000000000000002E-2</v>
      </c>
      <c r="UB59" s="680"/>
      <c r="UC59" s="650">
        <v>0.41</v>
      </c>
      <c r="UD59" s="866">
        <f t="shared" si="39"/>
        <v>2.4094333630653284</v>
      </c>
      <c r="UE59" s="866"/>
      <c r="UF59" s="866"/>
      <c r="UG59" s="866"/>
      <c r="UH59" s="866"/>
      <c r="UI59" s="866"/>
      <c r="UJ59" s="866"/>
      <c r="UK59" s="681">
        <f t="shared" si="40"/>
        <v>23.556436832684835</v>
      </c>
      <c r="UL59" s="681"/>
      <c r="UM59" s="681"/>
      <c r="UN59" s="681"/>
      <c r="UO59" s="816">
        <f t="shared" si="41"/>
        <v>0.90720767896853771</v>
      </c>
      <c r="UP59" s="816"/>
      <c r="UQ59" s="816"/>
      <c r="UR59" s="816"/>
      <c r="US59" s="866">
        <f t="shared" si="42"/>
        <v>0.86741707133797841</v>
      </c>
      <c r="UT59" s="866"/>
      <c r="UU59" s="866"/>
      <c r="UV59" s="866"/>
      <c r="UW59" s="866"/>
      <c r="VA59" s="144"/>
      <c r="VB59" s="144"/>
      <c r="VC59" s="144"/>
      <c r="VD59" s="144"/>
      <c r="VE59" s="144"/>
      <c r="VF59" s="144"/>
      <c r="VG59" s="144"/>
      <c r="VH59" s="144"/>
      <c r="VI59" s="144"/>
      <c r="VJ59" s="144"/>
      <c r="VK59" s="144"/>
      <c r="VL59" s="144"/>
      <c r="VM59" s="144"/>
      <c r="VN59" s="144"/>
      <c r="VO59" s="144"/>
      <c r="VP59" s="144"/>
      <c r="VQ59" s="144"/>
      <c r="VR59" s="144"/>
      <c r="VS59" s="144"/>
      <c r="VT59" s="144"/>
      <c r="VU59" s="144"/>
      <c r="VV59" s="144"/>
      <c r="VW59" s="144"/>
      <c r="VX59" s="144"/>
      <c r="VY59" s="144"/>
      <c r="VZ59" s="144"/>
      <c r="WA59" s="144"/>
      <c r="WC59" s="905"/>
      <c r="WD59" s="900"/>
      <c r="WE59" s="900"/>
      <c r="WF59" s="900"/>
      <c r="WG59" s="900"/>
      <c r="WH59" s="906"/>
      <c r="WI59" s="181"/>
      <c r="WJ59" s="182"/>
      <c r="WK59" s="182"/>
      <c r="WL59" s="182"/>
      <c r="WM59" s="182"/>
      <c r="WN59" s="185"/>
      <c r="WO59" s="880">
        <v>20</v>
      </c>
      <c r="WP59" s="880"/>
      <c r="WQ59" s="1033" t="s">
        <v>400</v>
      </c>
      <c r="WR59" s="1033"/>
      <c r="WS59" s="1034">
        <f>WS37/WS41</f>
        <v>0.40699645313454574</v>
      </c>
      <c r="WT59" s="1034"/>
      <c r="WU59" s="1034">
        <f>WU37/WU41</f>
        <v>0.15798044017672336</v>
      </c>
      <c r="WV59" s="1034"/>
      <c r="WW59" s="1034">
        <f>WW37/WW41</f>
        <v>0.21330170544099392</v>
      </c>
      <c r="WX59" s="1034"/>
      <c r="WY59" s="1034">
        <f>WY37/WY41</f>
        <v>0.55053999505819284</v>
      </c>
      <c r="WZ59" s="1034"/>
      <c r="XA59" s="1034">
        <f>XA37/XA41</f>
        <v>0.56026746349788992</v>
      </c>
      <c r="XB59" s="1034"/>
      <c r="XC59" s="1034">
        <f>XC37/XC41</f>
        <v>0.56531181485745363</v>
      </c>
      <c r="XD59" s="1034"/>
      <c r="XE59" s="187"/>
      <c r="XF59" s="187"/>
      <c r="XG59" s="187"/>
      <c r="XH59" s="188"/>
      <c r="XI59" s="190"/>
      <c r="XO59" s="827"/>
      <c r="XP59" s="949" t="s">
        <v>1219</v>
      </c>
      <c r="XQ59" s="950"/>
      <c r="XR59" s="672">
        <f>$IH$96</f>
        <v>4.5999999999999996</v>
      </c>
      <c r="XS59" s="672"/>
      <c r="XT59" s="943"/>
      <c r="XU59" s="944"/>
      <c r="XV59" s="944"/>
      <c r="XW59" s="944"/>
      <c r="XX59" s="944"/>
      <c r="XY59" s="944"/>
      <c r="XZ59" s="944"/>
      <c r="YA59" s="944"/>
      <c r="YB59" s="1004"/>
      <c r="YC59" s="1022"/>
      <c r="YD59" s="1023"/>
      <c r="YE59" s="1023"/>
      <c r="YF59" s="1023"/>
      <c r="YG59" s="1023"/>
      <c r="YH59" s="1023"/>
      <c r="YI59" s="1023"/>
      <c r="YJ59" s="1024"/>
      <c r="YK59" s="768"/>
      <c r="YL59" s="768"/>
      <c r="YM59" s="768"/>
      <c r="YN59" s="768"/>
      <c r="YO59" s="768"/>
      <c r="YP59" s="768"/>
      <c r="YQ59" s="768"/>
      <c r="YR59" s="768"/>
      <c r="YS59" s="768"/>
      <c r="YT59" s="768"/>
      <c r="YU59" s="768"/>
      <c r="AAD59" s="947"/>
      <c r="AAE59" s="947"/>
      <c r="AAF59" s="947"/>
      <c r="AAG59" s="947"/>
      <c r="AAH59" s="465">
        <v>49</v>
      </c>
      <c r="AAI59" s="956"/>
      <c r="AAJ59" s="957"/>
      <c r="AAK59" s="956"/>
      <c r="AAL59" s="957"/>
      <c r="AAM59" s="958">
        <f t="shared" si="29"/>
        <v>0.65333333333333332</v>
      </c>
      <c r="AAN59" s="959"/>
      <c r="AAP59" s="947"/>
      <c r="AAQ59" s="947"/>
      <c r="AAR59" s="947"/>
      <c r="AAS59" s="947"/>
      <c r="AAT59" s="465">
        <v>109</v>
      </c>
      <c r="AAU59" s="956"/>
      <c r="AAV59" s="957"/>
      <c r="AAW59" s="956"/>
      <c r="AAX59" s="957"/>
      <c r="AAY59" s="958">
        <f t="shared" si="1"/>
        <v>1.4533333333333334</v>
      </c>
      <c r="AAZ59" s="959"/>
      <c r="ABB59" s="947"/>
      <c r="ABC59" s="947"/>
      <c r="ABD59" s="947"/>
      <c r="ABE59" s="947"/>
      <c r="ABF59" s="465">
        <v>169</v>
      </c>
      <c r="ABG59" s="956"/>
      <c r="ABH59" s="957"/>
      <c r="ABI59" s="956"/>
      <c r="ABJ59" s="957"/>
      <c r="ABK59" s="958">
        <f t="shared" si="2"/>
        <v>2.2533333333333334</v>
      </c>
      <c r="ABL59" s="959"/>
      <c r="ABN59" s="947"/>
      <c r="ABO59" s="947"/>
      <c r="ABP59" s="947"/>
      <c r="ABQ59" s="947"/>
      <c r="ABR59" s="465">
        <v>229</v>
      </c>
      <c r="ABS59" s="956"/>
      <c r="ABT59" s="957"/>
      <c r="ABU59" s="956"/>
      <c r="ABV59" s="957"/>
      <c r="ABW59" s="958">
        <f t="shared" si="3"/>
        <v>3.0533333333333337</v>
      </c>
      <c r="ABX59" s="959"/>
      <c r="ABZ59" s="947"/>
      <c r="ACA59" s="947"/>
      <c r="ACB59" s="947"/>
      <c r="ACC59" s="947"/>
      <c r="ACD59" s="465">
        <v>289</v>
      </c>
      <c r="ACE59" s="956"/>
      <c r="ACF59" s="957"/>
      <c r="ACG59" s="956"/>
      <c r="ACH59" s="957"/>
      <c r="ACI59" s="958">
        <f t="shared" si="4"/>
        <v>3.8533333333333335</v>
      </c>
      <c r="ACJ59" s="959"/>
      <c r="ACX59" s="144"/>
      <c r="ACY59" s="144"/>
      <c r="ACZ59" s="144"/>
      <c r="ADB59" s="1033">
        <v>15</v>
      </c>
      <c r="ADC59" s="1033"/>
      <c r="ADD59" s="1025" t="s">
        <v>1468</v>
      </c>
      <c r="ADE59" s="1025"/>
      <c r="ADF59" s="1025"/>
      <c r="ADG59" s="1025"/>
      <c r="ADH59" s="756">
        <f>$MN$98</f>
        <v>0.55105560251025065</v>
      </c>
      <c r="ADI59" s="756"/>
      <c r="ADJ59" s="1035" t="s">
        <v>1565</v>
      </c>
      <c r="ADK59" s="1036"/>
      <c r="ADL59" s="1034">
        <f>'Вывод расчетов'!$MN$98+'Вывод расчетов'!$YC$269*'Вывод расчетов'!$YC$93</f>
        <v>1.2165682717150244</v>
      </c>
      <c r="ADM59" s="1034"/>
      <c r="ADN59" s="1034" t="s">
        <v>400</v>
      </c>
      <c r="ADO59" s="1034"/>
      <c r="ADP59" s="1034" t="s">
        <v>400</v>
      </c>
      <c r="ADQ59" s="1034"/>
      <c r="ADR59" s="1034" t="s">
        <v>400</v>
      </c>
      <c r="ADS59" s="1034"/>
      <c r="ADT59" s="1034" t="s">
        <v>400</v>
      </c>
      <c r="ADU59" s="1034"/>
      <c r="ADV59" s="1034" t="s">
        <v>400</v>
      </c>
      <c r="ADW59" s="1034"/>
      <c r="ADX59" s="1049"/>
      <c r="ADY59" s="1049"/>
      <c r="ADZ59" s="1049"/>
      <c r="AEA59" s="1049"/>
      <c r="AEB59" s="1049"/>
      <c r="AEC59" s="1049"/>
      <c r="AED59" s="1049"/>
      <c r="AEE59" s="1049"/>
      <c r="AEF59" s="1049"/>
      <c r="AEG59" s="172"/>
      <c r="AEH59" s="172"/>
      <c r="AEI59" s="172"/>
      <c r="AEJ59" s="172"/>
      <c r="AEK59" s="177"/>
      <c r="AEP59" s="947"/>
      <c r="AEQ59" s="947"/>
      <c r="AER59" s="947"/>
      <c r="AES59" s="947"/>
      <c r="AET59" s="656">
        <v>15</v>
      </c>
      <c r="AEU59" s="956"/>
      <c r="AEV59" s="957"/>
      <c r="AEW59" s="958">
        <f t="shared" si="35"/>
        <v>0.47500000000000003</v>
      </c>
      <c r="AEX59" s="959"/>
      <c r="AEZ59" s="947"/>
      <c r="AFA59" s="947"/>
      <c r="AFB59" s="947"/>
      <c r="AFC59" s="947"/>
      <c r="AFD59" s="656">
        <v>75</v>
      </c>
      <c r="AFE59" s="956"/>
      <c r="AFF59" s="957"/>
      <c r="AFG59" s="958">
        <f t="shared" si="36"/>
        <v>2.375</v>
      </c>
      <c r="AFH59" s="959"/>
      <c r="AFJ59" s="947"/>
      <c r="AFK59" s="947"/>
      <c r="AFL59" s="947"/>
      <c r="AFM59" s="947"/>
      <c r="AFN59" s="656">
        <v>135</v>
      </c>
      <c r="AFO59" s="956"/>
      <c r="AFP59" s="957"/>
      <c r="AFQ59" s="958">
        <f t="shared" si="37"/>
        <v>4.2750000000000004</v>
      </c>
      <c r="AFR59" s="959"/>
      <c r="AFT59" s="947"/>
      <c r="AFU59" s="947"/>
      <c r="AFV59" s="947"/>
      <c r="AFW59" s="947"/>
      <c r="AFX59" s="657">
        <v>195</v>
      </c>
      <c r="AFY59" s="956"/>
      <c r="AFZ59" s="957"/>
      <c r="AGA59" s="958"/>
      <c r="AGB59" s="959"/>
      <c r="AGD59" s="947"/>
      <c r="AGE59" s="947"/>
      <c r="AGF59" s="947"/>
      <c r="AGG59" s="947"/>
      <c r="AGH59" s="657">
        <v>255</v>
      </c>
      <c r="AGI59" s="956"/>
      <c r="AGJ59" s="957"/>
      <c r="AGK59" s="958"/>
      <c r="AGL59" s="959"/>
      <c r="AHO59" s="144"/>
    </row>
    <row r="60" spans="3:982" ht="48" customHeight="1" thickBot="1">
      <c r="BX60" s="826"/>
      <c r="BY60" s="731" t="s">
        <v>417</v>
      </c>
      <c r="BZ60" s="732"/>
      <c r="CA60" s="732"/>
      <c r="CB60" s="732"/>
      <c r="CC60" s="732"/>
      <c r="CD60" s="732"/>
      <c r="CE60" s="732"/>
      <c r="CF60" s="732"/>
      <c r="CG60" s="732"/>
      <c r="CH60" s="732"/>
      <c r="CI60" s="732"/>
      <c r="CJ60" s="732"/>
      <c r="CK60" s="733"/>
      <c r="CL60" s="1208">
        <f>CL48*CO56</f>
        <v>18.984919506545456</v>
      </c>
      <c r="CM60" s="705"/>
      <c r="CN60" s="849" t="s">
        <v>762</v>
      </c>
      <c r="CO60" s="850"/>
      <c r="CP60" s="712"/>
      <c r="CQ60" s="740" t="s">
        <v>1626</v>
      </c>
      <c r="CR60" s="742"/>
      <c r="CS60" s="746"/>
      <c r="CT60" s="767"/>
      <c r="CU60" s="767"/>
      <c r="CV60" s="767"/>
      <c r="CW60" s="767"/>
      <c r="DJ60" s="144"/>
      <c r="DK60" s="144"/>
      <c r="DL60" s="144"/>
      <c r="DM60" s="144"/>
      <c r="DN60" s="144"/>
      <c r="DO60" s="144"/>
      <c r="DP60" s="144"/>
      <c r="DQ60" s="144"/>
      <c r="DR60" s="144"/>
      <c r="DS60" s="144"/>
      <c r="DT60" s="144"/>
      <c r="DU60" s="144"/>
      <c r="DV60" s="144"/>
      <c r="GF60" s="767"/>
      <c r="GG60" s="727" t="s">
        <v>833</v>
      </c>
      <c r="GH60" s="727"/>
      <c r="GI60" s="727"/>
      <c r="GJ60" s="727"/>
      <c r="GK60" s="727"/>
      <c r="GL60" s="727"/>
      <c r="GM60" s="727"/>
      <c r="GN60" s="727"/>
      <c r="GO60" s="727"/>
      <c r="GP60" s="727"/>
      <c r="GQ60" s="727"/>
      <c r="GR60" s="727"/>
      <c r="GS60" s="728"/>
      <c r="GT60" s="1397">
        <f>(GT48/GW65)*10^6</f>
        <v>37.535919540229884</v>
      </c>
      <c r="GU60" s="1398"/>
      <c r="GV60" s="759" t="s">
        <v>798</v>
      </c>
      <c r="GW60" s="760"/>
      <c r="GX60" s="714"/>
      <c r="GY60" s="740" t="s">
        <v>1469</v>
      </c>
      <c r="GZ60" s="741"/>
      <c r="HA60" s="742"/>
      <c r="HB60" s="746"/>
      <c r="HC60" s="767"/>
      <c r="HD60" s="767"/>
      <c r="HE60" s="767"/>
      <c r="HF60" s="767"/>
      <c r="IT60" s="585" t="s">
        <v>1794</v>
      </c>
      <c r="IU60" s="677">
        <f>JF70</f>
        <v>1.8500000000000003</v>
      </c>
      <c r="IV60" s="677"/>
      <c r="LD60" s="144"/>
      <c r="LE60" s="144"/>
      <c r="LF60" s="144"/>
      <c r="LG60" s="144"/>
      <c r="LH60" s="144"/>
      <c r="LI60" s="144"/>
      <c r="LJ60" s="144"/>
      <c r="LK60" s="144"/>
      <c r="LL60" s="144"/>
      <c r="LM60" s="144"/>
      <c r="LN60" s="144"/>
      <c r="LO60" s="144"/>
      <c r="LP60" s="144"/>
      <c r="LQ60" s="144"/>
      <c r="LR60" s="144"/>
      <c r="LS60" s="144"/>
      <c r="LT60" s="144"/>
      <c r="LZ60" s="827"/>
      <c r="MA60" s="377" t="s">
        <v>1342</v>
      </c>
      <c r="MB60" s="1597">
        <f>$MN$79</f>
        <v>9.5152705032970217E-7</v>
      </c>
      <c r="MC60" s="1597"/>
      <c r="MD60" s="1255"/>
      <c r="ME60" s="1255"/>
      <c r="MF60" s="1255"/>
      <c r="MG60" s="1255"/>
      <c r="MH60" s="1255"/>
      <c r="MI60" s="1255"/>
      <c r="MJ60" s="1255"/>
      <c r="MK60" s="1255"/>
      <c r="ML60" s="1255"/>
      <c r="MM60" s="1256"/>
      <c r="MN60" s="991"/>
      <c r="MO60" s="992"/>
      <c r="MP60" s="897"/>
      <c r="MQ60" s="898"/>
      <c r="MR60" s="715"/>
      <c r="MS60" s="743"/>
      <c r="MT60" s="745"/>
      <c r="MU60" s="747"/>
      <c r="MV60" s="892"/>
      <c r="MW60" s="893"/>
      <c r="MX60" s="893"/>
      <c r="MY60" s="894"/>
      <c r="NI60" s="144"/>
      <c r="NJ60" s="144"/>
      <c r="NK60" s="144"/>
      <c r="NL60" s="144"/>
      <c r="NM60" s="144"/>
      <c r="NN60" s="144"/>
      <c r="NO60" s="144"/>
      <c r="PJ60" s="792" t="s">
        <v>1078</v>
      </c>
      <c r="PK60" s="793"/>
      <c r="PL60" s="794"/>
      <c r="PM60" s="825"/>
      <c r="PN60" s="695" t="s">
        <v>442</v>
      </c>
      <c r="PO60" s="695"/>
      <c r="PP60" s="171"/>
      <c r="PQ60" s="87"/>
      <c r="PR60" s="87"/>
      <c r="PS60" s="87"/>
      <c r="PT60" s="87"/>
      <c r="PU60" s="515"/>
      <c r="PV60" s="84" t="s">
        <v>477</v>
      </c>
      <c r="PW60" s="171"/>
      <c r="PX60" s="85" t="s">
        <v>467</v>
      </c>
      <c r="PY60" s="757" t="s">
        <v>461</v>
      </c>
      <c r="PZ60" s="899"/>
      <c r="QA60" s="819" t="s">
        <v>126</v>
      </c>
      <c r="QB60" s="820"/>
      <c r="QC60" s="675" t="s">
        <v>731</v>
      </c>
      <c r="QD60" s="1094"/>
      <c r="QE60" s="769" t="s">
        <v>473</v>
      </c>
      <c r="QF60" s="769"/>
      <c r="QG60" s="769"/>
      <c r="QH60" s="769"/>
      <c r="QI60" s="769"/>
      <c r="QM60" s="144"/>
      <c r="QN60" s="144"/>
      <c r="QO60" s="144"/>
      <c r="QP60" s="144"/>
      <c r="QQ60" s="144"/>
      <c r="QR60" s="144"/>
      <c r="QS60" s="144"/>
      <c r="QT60" s="144"/>
      <c r="QU60" s="144"/>
      <c r="QX60" s="144"/>
      <c r="QY60" s="144"/>
      <c r="QZ60" s="144"/>
      <c r="RA60" s="144"/>
      <c r="RC60" s="369">
        <v>42</v>
      </c>
      <c r="RD60" s="668">
        <v>4.2000000000000003E-2</v>
      </c>
      <c r="RE60" s="669"/>
      <c r="RF60" s="670">
        <f t="shared" si="30"/>
        <v>16.215041182161798</v>
      </c>
      <c r="RG60" s="670"/>
      <c r="RH60" s="670"/>
      <c r="RI60" s="670"/>
      <c r="RJ60" s="698">
        <f t="shared" si="12"/>
        <v>30</v>
      </c>
      <c r="RK60" s="699"/>
      <c r="RL60" s="726"/>
      <c r="RM60" s="670">
        <f t="shared" si="13"/>
        <v>16.403542352378242</v>
      </c>
      <c r="RN60" s="670"/>
      <c r="RO60" s="670"/>
      <c r="RP60" s="670"/>
      <c r="RQ60" s="670"/>
      <c r="RR60" s="670"/>
      <c r="RS60" s="671">
        <f t="shared" si="38"/>
        <v>1.560804663639157</v>
      </c>
      <c r="RT60" s="671"/>
      <c r="RU60" s="671"/>
      <c r="RV60" s="671"/>
      <c r="RW60" s="671"/>
      <c r="RX60" s="671"/>
      <c r="RY60" s="681">
        <f t="shared" si="14"/>
        <v>16.4776306823616</v>
      </c>
      <c r="RZ60" s="681"/>
      <c r="SA60" s="681"/>
      <c r="SB60" s="681"/>
      <c r="SC60" s="681">
        <f>'Вывод расчетов'!$AQ$6/RY60</f>
        <v>23.061567972073142</v>
      </c>
      <c r="SD60" s="681"/>
      <c r="SE60" s="681"/>
      <c r="SF60" s="681"/>
      <c r="SG60" s="867">
        <f t="shared" si="31"/>
        <v>0.99550370247934583</v>
      </c>
      <c r="SH60" s="867"/>
      <c r="SI60" s="867"/>
      <c r="SJ60" s="867"/>
      <c r="SK60" s="865">
        <f t="shared" si="16"/>
        <v>9.4722639056955729E-2</v>
      </c>
      <c r="SL60" s="865"/>
      <c r="SM60" s="865"/>
      <c r="SN60" s="865"/>
      <c r="SO60" s="692">
        <f t="shared" si="26"/>
        <v>23.308198742309163</v>
      </c>
      <c r="SP60" s="693"/>
      <c r="SQ60" s="693"/>
      <c r="SR60" s="693"/>
      <c r="SS60" s="694"/>
      <c r="ST60" s="668">
        <f t="shared" si="24"/>
        <v>13.16652934110213</v>
      </c>
      <c r="SU60" s="678"/>
      <c r="SV60" s="678"/>
      <c r="SW60" s="678"/>
      <c r="SX60" s="678"/>
      <c r="SY60" s="669"/>
      <c r="SZ60" s="682">
        <f t="shared" si="19"/>
        <v>26.769938802714616</v>
      </c>
      <c r="TA60" s="683"/>
      <c r="TB60" s="683"/>
      <c r="TC60" s="683"/>
      <c r="TD60" s="683"/>
      <c r="TE60" s="684"/>
      <c r="TF60" s="682">
        <f>'Вывод расчетов'!$XC$174*SC60</f>
        <v>23.428837699350957</v>
      </c>
      <c r="TG60" s="683"/>
      <c r="TH60" s="684"/>
      <c r="TI60" s="681">
        <f t="shared" si="58"/>
        <v>26.571346566232446</v>
      </c>
      <c r="TJ60" s="681"/>
      <c r="TK60" s="681"/>
      <c r="TL60" s="681"/>
      <c r="TM60" s="685">
        <f t="shared" si="21"/>
        <v>0.39890377863663323</v>
      </c>
      <c r="TN60" s="686"/>
      <c r="TO60" s="686"/>
      <c r="TP60" s="687"/>
      <c r="TQ60" s="688">
        <f t="shared" si="22"/>
        <v>1.0865914040101252</v>
      </c>
      <c r="TR60" s="688"/>
      <c r="TS60" s="688"/>
      <c r="TT60" s="688"/>
      <c r="TU60" s="689">
        <f t="shared" si="27"/>
        <v>0.11315682083229435</v>
      </c>
      <c r="TV60" s="690"/>
      <c r="TW60" s="690"/>
      <c r="TX60" s="690"/>
      <c r="TY60" s="690"/>
      <c r="TZ60" s="691"/>
      <c r="UA60" s="756">
        <v>4.2000000000000003E-2</v>
      </c>
      <c r="UB60" s="756"/>
      <c r="UC60" s="650">
        <v>0.42</v>
      </c>
      <c r="UD60" s="866">
        <f t="shared" si="39"/>
        <v>2.4789388193064661</v>
      </c>
      <c r="UE60" s="866"/>
      <c r="UF60" s="866"/>
      <c r="UG60" s="866"/>
      <c r="UH60" s="866"/>
      <c r="UI60" s="866"/>
      <c r="UJ60" s="866"/>
      <c r="UK60" s="681">
        <f t="shared" si="40"/>
        <v>24.092407746925979</v>
      </c>
      <c r="UL60" s="681"/>
      <c r="UM60" s="681"/>
      <c r="UN60" s="681"/>
      <c r="UO60" s="816">
        <f t="shared" si="41"/>
        <v>0.90670631564992776</v>
      </c>
      <c r="UP60" s="816"/>
      <c r="UQ60" s="816"/>
      <c r="UR60" s="816"/>
      <c r="US60" s="866">
        <f t="shared" si="42"/>
        <v>0.87068554448639923</v>
      </c>
      <c r="UT60" s="866"/>
      <c r="UU60" s="866"/>
      <c r="UV60" s="866"/>
      <c r="UW60" s="866"/>
      <c r="UY60" s="144"/>
      <c r="UZ60" s="144"/>
      <c r="VA60" s="144"/>
      <c r="VB60" s="144"/>
      <c r="VC60" s="144"/>
      <c r="VD60" s="144"/>
      <c r="VE60" s="144"/>
      <c r="VF60" s="144"/>
      <c r="VG60" s="144"/>
      <c r="VH60" s="144"/>
      <c r="VI60" s="144"/>
      <c r="VJ60" s="144"/>
      <c r="VK60" s="144"/>
      <c r="VL60" s="144"/>
      <c r="VM60" s="144"/>
      <c r="VN60" s="144"/>
      <c r="VO60" s="144"/>
      <c r="VP60" s="144"/>
      <c r="VQ60" s="144"/>
      <c r="VR60" s="144"/>
      <c r="VS60" s="144"/>
      <c r="VT60" s="144"/>
      <c r="VU60" s="144"/>
      <c r="VV60" s="144"/>
      <c r="VW60" s="144"/>
      <c r="VX60" s="228"/>
      <c r="VY60" s="228"/>
      <c r="VZ60" s="228"/>
      <c r="WA60" s="228"/>
      <c r="WB60" s="228"/>
      <c r="WC60" s="907"/>
      <c r="WD60" s="901"/>
      <c r="WE60" s="901"/>
      <c r="WF60" s="901"/>
      <c r="WG60" s="901"/>
      <c r="WH60" s="908"/>
      <c r="WI60" s="183"/>
      <c r="WJ60" s="184"/>
      <c r="WK60" s="184"/>
      <c r="WL60" s="184"/>
      <c r="WM60" s="184"/>
      <c r="WN60" s="186"/>
      <c r="WO60" s="880"/>
      <c r="WP60" s="880"/>
      <c r="WQ60" s="1033"/>
      <c r="WR60" s="1033"/>
      <c r="WS60" s="1034"/>
      <c r="WT60" s="1034"/>
      <c r="WU60" s="1034"/>
      <c r="WV60" s="1034"/>
      <c r="WW60" s="1034"/>
      <c r="WX60" s="1034"/>
      <c r="WY60" s="1034"/>
      <c r="WZ60" s="1034"/>
      <c r="XA60" s="1034"/>
      <c r="XB60" s="1034"/>
      <c r="XC60" s="1034"/>
      <c r="XD60" s="1034"/>
      <c r="XE60" s="183"/>
      <c r="XF60" s="184"/>
      <c r="XG60" s="184"/>
      <c r="XH60" s="186"/>
      <c r="XI60" s="191"/>
      <c r="AAD60" s="947"/>
      <c r="AAE60" s="947"/>
      <c r="AAF60" s="947"/>
      <c r="AAG60" s="947"/>
      <c r="AAH60" s="465">
        <v>50</v>
      </c>
      <c r="AAI60" s="956"/>
      <c r="AAJ60" s="957"/>
      <c r="AAK60" s="956"/>
      <c r="AAL60" s="957"/>
      <c r="AAM60" s="958">
        <f t="shared" si="29"/>
        <v>0.66666666666666674</v>
      </c>
      <c r="AAN60" s="959"/>
      <c r="AAP60" s="947"/>
      <c r="AAQ60" s="947"/>
      <c r="AAR60" s="947"/>
      <c r="AAS60" s="947"/>
      <c r="AAT60" s="465">
        <v>110</v>
      </c>
      <c r="AAU60" s="956"/>
      <c r="AAV60" s="957"/>
      <c r="AAW60" s="956"/>
      <c r="AAX60" s="957"/>
      <c r="AAY60" s="958">
        <f t="shared" si="1"/>
        <v>1.4666666666666668</v>
      </c>
      <c r="AAZ60" s="959"/>
      <c r="ABB60" s="947"/>
      <c r="ABC60" s="947"/>
      <c r="ABD60" s="947"/>
      <c r="ABE60" s="947"/>
      <c r="ABF60" s="465">
        <v>170</v>
      </c>
      <c r="ABG60" s="956"/>
      <c r="ABH60" s="957"/>
      <c r="ABI60" s="956"/>
      <c r="ABJ60" s="957"/>
      <c r="ABK60" s="958">
        <f t="shared" si="2"/>
        <v>2.2666666666666666</v>
      </c>
      <c r="ABL60" s="959"/>
      <c r="ABN60" s="947"/>
      <c r="ABO60" s="947"/>
      <c r="ABP60" s="947"/>
      <c r="ABQ60" s="947"/>
      <c r="ABR60" s="465">
        <v>230</v>
      </c>
      <c r="ABS60" s="956"/>
      <c r="ABT60" s="957"/>
      <c r="ABU60" s="956"/>
      <c r="ABV60" s="957"/>
      <c r="ABW60" s="958">
        <f t="shared" si="3"/>
        <v>3.0666666666666669</v>
      </c>
      <c r="ABX60" s="959"/>
      <c r="ABZ60" s="947"/>
      <c r="ACA60" s="947"/>
      <c r="ACB60" s="947"/>
      <c r="ACC60" s="947"/>
      <c r="ACD60" s="465">
        <v>290</v>
      </c>
      <c r="ACE60" s="956"/>
      <c r="ACF60" s="957"/>
      <c r="ACG60" s="956"/>
      <c r="ACH60" s="957"/>
      <c r="ACI60" s="958">
        <f t="shared" si="4"/>
        <v>3.8666666666666667</v>
      </c>
      <c r="ACJ60" s="959"/>
      <c r="ACX60" s="144"/>
      <c r="ACY60" s="144"/>
      <c r="ACZ60" s="144"/>
      <c r="ADB60" s="1033"/>
      <c r="ADC60" s="1033"/>
      <c r="ADD60" s="184"/>
      <c r="ADE60" s="184"/>
      <c r="ADF60" s="184"/>
      <c r="ADG60" s="184"/>
      <c r="ADH60" s="184"/>
      <c r="ADI60" s="186"/>
      <c r="ADJ60" s="1039"/>
      <c r="ADK60" s="1040"/>
      <c r="ADL60" s="1034"/>
      <c r="ADM60" s="1034"/>
      <c r="ADN60" s="1034"/>
      <c r="ADO60" s="1034"/>
      <c r="ADP60" s="1034"/>
      <c r="ADQ60" s="1034"/>
      <c r="ADR60" s="1034"/>
      <c r="ADS60" s="1034"/>
      <c r="ADT60" s="1034"/>
      <c r="ADU60" s="1034"/>
      <c r="ADV60" s="1034"/>
      <c r="ADW60" s="1034"/>
      <c r="ADX60" s="1049"/>
      <c r="ADY60" s="1049"/>
      <c r="ADZ60" s="1049"/>
      <c r="AEA60" s="1049"/>
      <c r="AEB60" s="1049"/>
      <c r="AEC60" s="1049"/>
      <c r="AED60" s="1049"/>
      <c r="AEE60" s="1049"/>
      <c r="AEF60" s="1049"/>
      <c r="AEG60" s="172"/>
      <c r="AEH60" s="172"/>
      <c r="AEI60" s="172"/>
      <c r="AEJ60" s="172"/>
      <c r="AEK60" s="177"/>
      <c r="AEP60" s="947"/>
      <c r="AEQ60" s="947"/>
      <c r="AER60" s="947"/>
      <c r="AES60" s="947"/>
      <c r="AET60" s="656">
        <v>16</v>
      </c>
      <c r="AEU60" s="956"/>
      <c r="AEV60" s="957"/>
      <c r="AEW60" s="958">
        <f t="shared" si="35"/>
        <v>0.50666666666666671</v>
      </c>
      <c r="AEX60" s="959"/>
      <c r="AEZ60" s="947"/>
      <c r="AFA60" s="947"/>
      <c r="AFB60" s="947"/>
      <c r="AFC60" s="947"/>
      <c r="AFD60" s="656">
        <v>76</v>
      </c>
      <c r="AFE60" s="956"/>
      <c r="AFF60" s="957"/>
      <c r="AFG60" s="958">
        <f t="shared" si="36"/>
        <v>2.4066666666666667</v>
      </c>
      <c r="AFH60" s="959"/>
      <c r="AFJ60" s="947"/>
      <c r="AFK60" s="947"/>
      <c r="AFL60" s="947"/>
      <c r="AFM60" s="947"/>
      <c r="AFN60" s="656">
        <v>136</v>
      </c>
      <c r="AFO60" s="956"/>
      <c r="AFP60" s="957"/>
      <c r="AFQ60" s="958">
        <f t="shared" si="37"/>
        <v>4.3066666666666666</v>
      </c>
      <c r="AFR60" s="959"/>
      <c r="AFT60" s="947"/>
      <c r="AFU60" s="947"/>
      <c r="AFV60" s="947"/>
      <c r="AFW60" s="947"/>
      <c r="AFX60" s="657">
        <v>196</v>
      </c>
      <c r="AFY60" s="956"/>
      <c r="AFZ60" s="957"/>
      <c r="AGA60" s="958"/>
      <c r="AGB60" s="959"/>
      <c r="AGD60" s="947"/>
      <c r="AGE60" s="947"/>
      <c r="AGF60" s="947"/>
      <c r="AGG60" s="947"/>
      <c r="AGH60" s="657">
        <v>256</v>
      </c>
      <c r="AGI60" s="956"/>
      <c r="AGJ60" s="957"/>
      <c r="AGK60" s="958"/>
      <c r="AGL60" s="959"/>
      <c r="AHO60" s="144"/>
      <c r="AIM60" s="825"/>
      <c r="AIN60" s="665" t="s">
        <v>442</v>
      </c>
      <c r="AIO60" s="666"/>
      <c r="AIP60" s="156"/>
      <c r="AIQ60" s="87"/>
      <c r="AIR60" s="87"/>
      <c r="AIS60" s="87"/>
      <c r="AIT60" s="87"/>
      <c r="AIU60" s="87"/>
      <c r="AIV60" s="87"/>
      <c r="AIW60" s="156"/>
      <c r="AIX60" s="85" t="s">
        <v>467</v>
      </c>
      <c r="AIY60" s="757" t="s">
        <v>461</v>
      </c>
      <c r="AIZ60" s="758"/>
      <c r="AJA60" s="819" t="s">
        <v>126</v>
      </c>
      <c r="AJB60" s="820"/>
      <c r="AJC60" s="675" t="s">
        <v>731</v>
      </c>
      <c r="AJD60" s="676"/>
      <c r="AJE60" s="821" t="s">
        <v>473</v>
      </c>
      <c r="AJF60" s="822"/>
      <c r="AJG60" s="822"/>
      <c r="AJH60" s="823"/>
    </row>
    <row r="61" spans="3:982" ht="48" customHeight="1" thickBot="1">
      <c r="AI61" s="792" t="s">
        <v>1079</v>
      </c>
      <c r="AJ61" s="793"/>
      <c r="AK61" s="794"/>
      <c r="AL61" s="825"/>
      <c r="AM61" s="695" t="s">
        <v>442</v>
      </c>
      <c r="AN61" s="695"/>
      <c r="AO61" s="129"/>
      <c r="AP61" s="87"/>
      <c r="AQ61" s="87"/>
      <c r="AR61" s="87"/>
      <c r="AS61" s="87"/>
      <c r="AT61" s="146"/>
      <c r="AU61" s="84" t="s">
        <v>729</v>
      </c>
      <c r="AV61" s="129"/>
      <c r="AW61" s="85" t="s">
        <v>467</v>
      </c>
      <c r="AX61" s="757" t="s">
        <v>461</v>
      </c>
      <c r="AY61" s="758"/>
      <c r="AZ61" s="819" t="s">
        <v>126</v>
      </c>
      <c r="BA61" s="820"/>
      <c r="BB61" s="675" t="s">
        <v>731</v>
      </c>
      <c r="BC61" s="676"/>
      <c r="BD61" s="821" t="s">
        <v>473</v>
      </c>
      <c r="BE61" s="822"/>
      <c r="BF61" s="822"/>
      <c r="BG61" s="823"/>
      <c r="BO61" s="144"/>
      <c r="BP61" s="144"/>
      <c r="BQ61" s="144"/>
      <c r="BX61" s="827"/>
      <c r="BY61" s="734"/>
      <c r="BZ61" s="735"/>
      <c r="CA61" s="735"/>
      <c r="CB61" s="735"/>
      <c r="CC61" s="735"/>
      <c r="CD61" s="735"/>
      <c r="CE61" s="735"/>
      <c r="CF61" s="735"/>
      <c r="CG61" s="735"/>
      <c r="CH61" s="735"/>
      <c r="CI61" s="735"/>
      <c r="CJ61" s="735"/>
      <c r="CK61" s="736"/>
      <c r="CL61" s="1089"/>
      <c r="CM61" s="708"/>
      <c r="CN61" s="851"/>
      <c r="CO61" s="852"/>
      <c r="CP61" s="713"/>
      <c r="CQ61" s="743"/>
      <c r="CR61" s="745"/>
      <c r="CS61" s="747"/>
      <c r="CT61" s="768"/>
      <c r="CU61" s="768"/>
      <c r="CV61" s="768"/>
      <c r="CW61" s="768"/>
      <c r="DJ61" s="144"/>
      <c r="DK61" s="144"/>
      <c r="DL61" s="144"/>
      <c r="DM61" s="144"/>
      <c r="DN61" s="144"/>
      <c r="DO61" s="144"/>
      <c r="DP61" s="144"/>
      <c r="DQ61" s="144"/>
      <c r="DR61" s="144"/>
      <c r="DS61" s="144"/>
      <c r="DT61" s="144"/>
      <c r="DU61" s="144"/>
      <c r="DV61" s="144"/>
      <c r="DZ61" s="85" t="s">
        <v>839</v>
      </c>
      <c r="EA61" s="665" t="s">
        <v>442</v>
      </c>
      <c r="EB61" s="666"/>
      <c r="EC61" s="152"/>
      <c r="ED61" s="490" t="s">
        <v>1224</v>
      </c>
      <c r="EE61" s="1074">
        <f>$CO$28</f>
        <v>33</v>
      </c>
      <c r="EF61" s="1074"/>
      <c r="EG61" s="490" t="s">
        <v>470</v>
      </c>
      <c r="EH61" s="739">
        <f>$AW$34</f>
        <v>0.17058500000000001</v>
      </c>
      <c r="EI61" s="739"/>
      <c r="EJ61" s="152"/>
      <c r="EK61" s="85" t="s">
        <v>467</v>
      </c>
      <c r="EL61" s="757" t="s">
        <v>461</v>
      </c>
      <c r="EM61" s="758"/>
      <c r="EN61" s="819" t="s">
        <v>126</v>
      </c>
      <c r="EO61" s="820"/>
      <c r="EP61" s="675" t="s">
        <v>731</v>
      </c>
      <c r="EQ61" s="676"/>
      <c r="ER61" s="821" t="s">
        <v>473</v>
      </c>
      <c r="ES61" s="822"/>
      <c r="ET61" s="822"/>
      <c r="EU61" s="822"/>
      <c r="EV61" s="823"/>
      <c r="EW61" s="769" t="s">
        <v>462</v>
      </c>
      <c r="EX61" s="769"/>
      <c r="EY61" s="769"/>
      <c r="EZ61" s="769"/>
      <c r="FA61" s="769"/>
      <c r="FB61" s="769"/>
      <c r="FC61" s="769"/>
      <c r="FD61" s="769"/>
      <c r="FE61" s="769"/>
      <c r="FF61" s="769"/>
      <c r="FG61" s="769"/>
      <c r="FH61" s="769"/>
      <c r="FI61" s="769"/>
      <c r="FJ61" s="769"/>
      <c r="GF61" s="767"/>
      <c r="GG61" s="727"/>
      <c r="GH61" s="727"/>
      <c r="GI61" s="727"/>
      <c r="GJ61" s="727"/>
      <c r="GK61" s="727"/>
      <c r="GL61" s="727"/>
      <c r="GM61" s="727"/>
      <c r="GN61" s="727"/>
      <c r="GO61" s="727"/>
      <c r="GP61" s="727"/>
      <c r="GQ61" s="727"/>
      <c r="GR61" s="727"/>
      <c r="GS61" s="728"/>
      <c r="GT61" s="1399"/>
      <c r="GU61" s="736"/>
      <c r="GV61" s="761"/>
      <c r="GW61" s="762"/>
      <c r="GX61" s="715"/>
      <c r="GY61" s="743"/>
      <c r="GZ61" s="744"/>
      <c r="HA61" s="745"/>
      <c r="HB61" s="747"/>
      <c r="HC61" s="767"/>
      <c r="HD61" s="767"/>
      <c r="HE61" s="767"/>
      <c r="HF61" s="767"/>
      <c r="IR61" s="792" t="s">
        <v>1078</v>
      </c>
      <c r="IS61" s="793"/>
      <c r="IT61" s="794"/>
      <c r="IU61" s="825"/>
      <c r="IV61" s="147" t="s">
        <v>442</v>
      </c>
      <c r="IW61" s="148"/>
      <c r="IX61" s="156"/>
      <c r="IY61" s="87"/>
      <c r="IZ61" s="87"/>
      <c r="JA61" s="87"/>
      <c r="JB61" s="87"/>
      <c r="JC61" s="231"/>
      <c r="JD61" s="84" t="s">
        <v>477</v>
      </c>
      <c r="JE61" s="156"/>
      <c r="JF61" s="85" t="s">
        <v>467</v>
      </c>
      <c r="JG61" s="1102" t="s">
        <v>461</v>
      </c>
      <c r="JH61" s="1103"/>
      <c r="JI61" s="819" t="s">
        <v>126</v>
      </c>
      <c r="JJ61" s="820"/>
      <c r="JK61" s="675" t="s">
        <v>731</v>
      </c>
      <c r="JL61" s="676"/>
      <c r="JM61" s="821" t="s">
        <v>473</v>
      </c>
      <c r="JN61" s="822"/>
      <c r="JO61" s="822"/>
      <c r="JP61" s="823"/>
      <c r="LD61" s="144"/>
      <c r="LE61" s="144"/>
      <c r="LF61" s="144"/>
      <c r="LG61" s="144"/>
      <c r="LH61" s="144"/>
      <c r="LI61" s="144"/>
      <c r="LJ61" s="144"/>
      <c r="LK61" s="144"/>
      <c r="LL61" s="144"/>
      <c r="LM61" s="144"/>
      <c r="LN61" s="144"/>
      <c r="LO61" s="144"/>
      <c r="LP61" s="144"/>
      <c r="LQ61" s="144"/>
      <c r="LR61" s="144"/>
      <c r="LS61" s="144"/>
      <c r="LT61" s="144"/>
      <c r="NI61" s="1617"/>
      <c r="NJ61" s="1618"/>
      <c r="NK61" s="1618"/>
      <c r="NL61" s="1618"/>
      <c r="NM61" s="1618"/>
      <c r="NN61" s="1618"/>
      <c r="NO61" s="1618"/>
      <c r="NP61" s="1618"/>
      <c r="NQ61" s="1618"/>
      <c r="NR61" s="1618"/>
      <c r="NS61" s="1618"/>
      <c r="NT61" s="1618"/>
      <c r="NU61" s="1618"/>
      <c r="NV61" s="1618"/>
      <c r="NW61" s="1618"/>
      <c r="NX61" s="1618"/>
      <c r="NY61" s="1618"/>
      <c r="NZ61" s="1618"/>
      <c r="OA61" s="1618"/>
      <c r="OB61" s="1618"/>
      <c r="OC61" s="1618"/>
      <c r="OD61" s="1619"/>
      <c r="PJ61" s="795"/>
      <c r="PK61" s="796"/>
      <c r="PL61" s="797"/>
      <c r="PM61" s="826"/>
      <c r="PN61" s="700" t="s">
        <v>170</v>
      </c>
      <c r="PO61" s="701"/>
      <c r="PP61" s="701"/>
      <c r="PQ61" s="701"/>
      <c r="PR61" s="701"/>
      <c r="PS61" s="701"/>
      <c r="PT61" s="701"/>
      <c r="PU61" s="701"/>
      <c r="PV61" s="701"/>
      <c r="PW61" s="701"/>
      <c r="PX61" s="701"/>
      <c r="PY61" s="701"/>
      <c r="PZ61" s="702"/>
      <c r="QA61" s="974">
        <v>2.5</v>
      </c>
      <c r="QB61" s="975"/>
      <c r="QC61" s="849" t="s">
        <v>762</v>
      </c>
      <c r="QD61" s="850"/>
      <c r="QE61" s="978"/>
      <c r="QF61" s="993" t="s">
        <v>1670</v>
      </c>
      <c r="QG61" s="993"/>
      <c r="QH61" s="993"/>
      <c r="QI61" s="1085"/>
      <c r="QM61" s="144"/>
      <c r="QN61" s="144"/>
      <c r="QO61" s="144"/>
      <c r="QP61" s="144"/>
      <c r="QQ61" s="144"/>
      <c r="QR61" s="144"/>
      <c r="QS61" s="144"/>
      <c r="QT61" s="144"/>
      <c r="QU61" s="144"/>
      <c r="QW61" s="144"/>
      <c r="QX61" s="144"/>
      <c r="QY61" s="144"/>
      <c r="QZ61" s="144"/>
      <c r="RA61" s="144"/>
      <c r="RC61" s="369">
        <v>43</v>
      </c>
      <c r="RD61" s="668">
        <v>4.2999999999999997E-2</v>
      </c>
      <c r="RE61" s="669"/>
      <c r="RF61" s="670">
        <f t="shared" si="30"/>
        <v>15.837947201181292</v>
      </c>
      <c r="RG61" s="670"/>
      <c r="RH61" s="670"/>
      <c r="RI61" s="670"/>
      <c r="RJ61" s="698">
        <f t="shared" si="12"/>
        <v>30</v>
      </c>
      <c r="RK61" s="699"/>
      <c r="RL61" s="726"/>
      <c r="RM61" s="670">
        <f t="shared" si="13"/>
        <v>16.026448371397738</v>
      </c>
      <c r="RN61" s="670"/>
      <c r="RO61" s="670"/>
      <c r="RP61" s="670"/>
      <c r="RQ61" s="670"/>
      <c r="RR61" s="670"/>
      <c r="RS61" s="671">
        <f t="shared" si="38"/>
        <v>1.560804663639157</v>
      </c>
      <c r="RT61" s="671"/>
      <c r="RU61" s="671"/>
      <c r="RV61" s="671"/>
      <c r="RW61" s="671"/>
      <c r="RX61" s="671"/>
      <c r="RY61" s="681">
        <f t="shared" si="14"/>
        <v>16.102271845895377</v>
      </c>
      <c r="RZ61" s="681"/>
      <c r="SA61" s="681"/>
      <c r="SB61" s="681"/>
      <c r="SC61" s="681">
        <f>'Вывод расчетов'!$AQ$6/RY61</f>
        <v>23.599154432165772</v>
      </c>
      <c r="SD61" s="681"/>
      <c r="SE61" s="681"/>
      <c r="SF61" s="681"/>
      <c r="SG61" s="867">
        <f t="shared" si="31"/>
        <v>0.99529113188354434</v>
      </c>
      <c r="SH61" s="867"/>
      <c r="SI61" s="867"/>
      <c r="SJ61" s="867"/>
      <c r="SK61" s="865">
        <f t="shared" si="16"/>
        <v>9.6930711304381634E-2</v>
      </c>
      <c r="SL61" s="865"/>
      <c r="SM61" s="865"/>
      <c r="SN61" s="865"/>
      <c r="SO61" s="692">
        <f t="shared" si="26"/>
        <v>23.838351567416083</v>
      </c>
      <c r="SP61" s="693"/>
      <c r="SQ61" s="693"/>
      <c r="SR61" s="693"/>
      <c r="SS61" s="694"/>
      <c r="ST61" s="668">
        <f t="shared" si="24"/>
        <v>13.269559587287773</v>
      </c>
      <c r="SU61" s="678"/>
      <c r="SV61" s="678"/>
      <c r="SW61" s="678"/>
      <c r="SX61" s="678"/>
      <c r="SY61" s="669"/>
      <c r="SZ61" s="682">
        <f t="shared" si="19"/>
        <v>27.282745776265074</v>
      </c>
      <c r="TA61" s="683"/>
      <c r="TB61" s="683"/>
      <c r="TC61" s="683"/>
      <c r="TD61" s="683"/>
      <c r="TE61" s="684"/>
      <c r="TF61" s="682">
        <f>'Вывод расчетов'!$XC$174*SC61</f>
        <v>23.974985556171927</v>
      </c>
      <c r="TG61" s="683"/>
      <c r="TH61" s="684"/>
      <c r="TI61" s="681">
        <f t="shared" si="58"/>
        <v>27.175720786854335</v>
      </c>
      <c r="TJ61" s="681"/>
      <c r="TK61" s="681"/>
      <c r="TL61" s="681"/>
      <c r="TM61" s="685">
        <f t="shared" si="21"/>
        <v>0.41433302040871256</v>
      </c>
      <c r="TN61" s="686"/>
      <c r="TO61" s="686"/>
      <c r="TP61" s="687"/>
      <c r="TQ61" s="688">
        <f t="shared" si="22"/>
        <v>1.1378407563326083</v>
      </c>
      <c r="TR61" s="688"/>
      <c r="TS61" s="688"/>
      <c r="TT61" s="688"/>
      <c r="TU61" s="689">
        <f t="shared" si="27"/>
        <v>0.11753362556637967</v>
      </c>
      <c r="TV61" s="690"/>
      <c r="TW61" s="690"/>
      <c r="TX61" s="690"/>
      <c r="TY61" s="690"/>
      <c r="TZ61" s="691"/>
      <c r="UA61" s="679">
        <v>4.2999999999999997E-2</v>
      </c>
      <c r="UB61" s="680"/>
      <c r="UC61" s="650">
        <v>0.43</v>
      </c>
      <c r="UD61" s="866">
        <f t="shared" si="39"/>
        <v>2.5499942181351138</v>
      </c>
      <c r="UE61" s="866"/>
      <c r="UF61" s="866"/>
      <c r="UG61" s="866"/>
      <c r="UH61" s="866"/>
      <c r="UI61" s="866"/>
      <c r="UJ61" s="866"/>
      <c r="UK61" s="681">
        <f t="shared" si="40"/>
        <v>24.62572656871922</v>
      </c>
      <c r="UL61" s="681"/>
      <c r="UM61" s="681"/>
      <c r="UN61" s="681"/>
      <c r="UO61" s="816">
        <f t="shared" si="41"/>
        <v>0.90616645504509974</v>
      </c>
      <c r="UP61" s="816"/>
      <c r="UQ61" s="816"/>
      <c r="UR61" s="816"/>
      <c r="US61" s="866">
        <f t="shared" si="42"/>
        <v>0.87375192229201948</v>
      </c>
      <c r="UT61" s="866"/>
      <c r="UU61" s="866"/>
      <c r="UV61" s="866"/>
      <c r="UW61" s="866"/>
      <c r="UY61" s="144"/>
      <c r="UZ61" s="144"/>
      <c r="VA61" s="144"/>
      <c r="VB61" s="144"/>
      <c r="VC61" s="144"/>
      <c r="VD61" s="144"/>
      <c r="VE61" s="144"/>
      <c r="VF61" s="144"/>
      <c r="VG61" s="144"/>
      <c r="VH61" s="144"/>
      <c r="VI61" s="144"/>
      <c r="VJ61" s="144"/>
      <c r="VK61" s="144"/>
      <c r="VL61" s="144"/>
      <c r="VM61" s="144"/>
      <c r="VN61" s="144"/>
      <c r="VO61" s="144"/>
      <c r="VP61" s="144"/>
      <c r="VQ61" s="144"/>
      <c r="VR61" s="144"/>
      <c r="VS61" s="144"/>
      <c r="VT61" s="144"/>
      <c r="VU61" s="144"/>
      <c r="VV61" s="144"/>
      <c r="VW61" s="144"/>
      <c r="VX61" s="144"/>
      <c r="VY61" s="144"/>
      <c r="VZ61" s="144"/>
      <c r="WA61" s="144"/>
      <c r="WB61" s="228"/>
      <c r="WC61" s="228"/>
      <c r="WD61" s="228"/>
      <c r="WE61" s="228"/>
      <c r="WF61" s="228"/>
      <c r="XO61" s="214" t="s">
        <v>899</v>
      </c>
      <c r="XP61" s="665" t="s">
        <v>442</v>
      </c>
      <c r="XQ61" s="666"/>
      <c r="XR61" s="156"/>
      <c r="XS61" s="87"/>
      <c r="XT61" s="87"/>
      <c r="XU61" s="87"/>
      <c r="XV61" s="87"/>
      <c r="XW61" s="87"/>
      <c r="XX61" s="87"/>
      <c r="XY61" s="156"/>
      <c r="XZ61" s="85" t="s">
        <v>467</v>
      </c>
      <c r="YA61" s="757" t="s">
        <v>461</v>
      </c>
      <c r="YB61" s="758"/>
      <c r="YC61" s="819" t="s">
        <v>126</v>
      </c>
      <c r="YD61" s="820"/>
      <c r="YE61" s="675" t="s">
        <v>731</v>
      </c>
      <c r="YF61" s="676"/>
      <c r="YG61" s="821" t="s">
        <v>473</v>
      </c>
      <c r="YH61" s="822"/>
      <c r="YI61" s="822"/>
      <c r="YJ61" s="823"/>
      <c r="YK61" s="821" t="s">
        <v>1509</v>
      </c>
      <c r="YL61" s="822"/>
      <c r="YM61" s="822"/>
      <c r="YN61" s="769" t="s">
        <v>462</v>
      </c>
      <c r="YO61" s="769"/>
      <c r="YP61" s="769"/>
      <c r="YQ61" s="769"/>
      <c r="YR61" s="769"/>
      <c r="YS61" s="769"/>
      <c r="YT61" s="769"/>
      <c r="YU61" s="769"/>
      <c r="YV61" s="769"/>
      <c r="YW61" s="769"/>
      <c r="AAD61" s="947"/>
      <c r="AAE61" s="947"/>
      <c r="AAF61" s="947"/>
      <c r="AAG61" s="947"/>
      <c r="AAH61" s="465">
        <v>51</v>
      </c>
      <c r="AAI61" s="956"/>
      <c r="AAJ61" s="957"/>
      <c r="AAK61" s="956"/>
      <c r="AAL61" s="957"/>
      <c r="AAM61" s="958">
        <f t="shared" si="29"/>
        <v>0.68</v>
      </c>
      <c r="AAN61" s="959"/>
      <c r="AAP61" s="947"/>
      <c r="AAQ61" s="947"/>
      <c r="AAR61" s="947"/>
      <c r="AAS61" s="947"/>
      <c r="AAT61" s="465">
        <v>111</v>
      </c>
      <c r="AAU61" s="956"/>
      <c r="AAV61" s="957"/>
      <c r="AAW61" s="956"/>
      <c r="AAX61" s="957"/>
      <c r="AAY61" s="958">
        <f t="shared" si="1"/>
        <v>1.4800000000000002</v>
      </c>
      <c r="AAZ61" s="959"/>
      <c r="ABB61" s="947"/>
      <c r="ABC61" s="947"/>
      <c r="ABD61" s="947"/>
      <c r="ABE61" s="947"/>
      <c r="ABF61" s="465">
        <v>171</v>
      </c>
      <c r="ABG61" s="956"/>
      <c r="ABH61" s="957"/>
      <c r="ABI61" s="956"/>
      <c r="ABJ61" s="957"/>
      <c r="ABK61" s="958">
        <f t="shared" si="2"/>
        <v>2.2800000000000002</v>
      </c>
      <c r="ABL61" s="959"/>
      <c r="ABN61" s="947"/>
      <c r="ABO61" s="947"/>
      <c r="ABP61" s="947"/>
      <c r="ABQ61" s="947"/>
      <c r="ABR61" s="465">
        <v>231</v>
      </c>
      <c r="ABS61" s="956"/>
      <c r="ABT61" s="957"/>
      <c r="ABU61" s="956"/>
      <c r="ABV61" s="957"/>
      <c r="ABW61" s="958">
        <f t="shared" si="3"/>
        <v>3.08</v>
      </c>
      <c r="ABX61" s="959"/>
      <c r="ABZ61" s="947"/>
      <c r="ACA61" s="947"/>
      <c r="ACB61" s="947"/>
      <c r="ACC61" s="947"/>
      <c r="ACD61" s="465">
        <v>291</v>
      </c>
      <c r="ACE61" s="956"/>
      <c r="ACF61" s="957"/>
      <c r="ACG61" s="956"/>
      <c r="ACH61" s="957"/>
      <c r="ACI61" s="958">
        <f t="shared" si="4"/>
        <v>3.8800000000000003</v>
      </c>
      <c r="ACJ61" s="959"/>
      <c r="ACX61" s="144"/>
      <c r="ACY61" s="144"/>
      <c r="ACZ61" s="144"/>
      <c r="ADB61" s="1033">
        <v>16</v>
      </c>
      <c r="ADC61" s="1033"/>
      <c r="ADD61" s="696" t="s">
        <v>1340</v>
      </c>
      <c r="ADE61" s="720"/>
      <c r="ADF61" s="720"/>
      <c r="ADG61" s="697"/>
      <c r="ADH61" s="724">
        <f>$AQ$6</f>
        <v>380</v>
      </c>
      <c r="ADI61" s="724"/>
      <c r="ADJ61" s="1032" t="s">
        <v>35</v>
      </c>
      <c r="ADK61" s="1032"/>
      <c r="ADL61" s="1032">
        <f>'Вывод расчетов'!$AQ$4/((ADL56^2)+'Вывод расчетов'!$ADL$59)^0.5</f>
        <v>23139.705889641649</v>
      </c>
      <c r="ADM61" s="1032"/>
      <c r="ADN61" s="1032">
        <f>'Вывод расчетов'!$AQ$4/((ADN56^2)+'Вывод расчетов'!$ADL$59)^0.5</f>
        <v>21565.129587294035</v>
      </c>
      <c r="ADO61" s="1032"/>
      <c r="ADP61" s="1032">
        <f>'Вывод расчетов'!$AQ$4/((ADP56^2)+'Вывод расчетов'!$ADL$59)^0.5</f>
        <v>19041.15801341019</v>
      </c>
      <c r="ADQ61" s="1032"/>
      <c r="ADR61" s="1032">
        <f>'Вывод расчетов'!$AQ$4/((ADR56^2)+'Вывод расчетов'!$ADL$59)^0.5</f>
        <v>17232.622061362483</v>
      </c>
      <c r="ADS61" s="1032"/>
      <c r="ADT61" s="1032">
        <f>'Вывод расчетов'!$AQ$4/((ADT56^2)+'Вывод расчетов'!$ADL$59)^0.5</f>
        <v>8521.1210590986102</v>
      </c>
      <c r="ADU61" s="1032"/>
      <c r="ADV61" s="1032">
        <f>'Вывод расчетов'!$AQ$4/((ADV56^2)+'Вывод расчетов'!$ADL$59)^0.5</f>
        <v>4436.8466518552796</v>
      </c>
      <c r="ADW61" s="1032"/>
      <c r="ADX61" s="192"/>
      <c r="ADY61" s="187"/>
      <c r="ADZ61" s="187"/>
      <c r="AEA61" s="187"/>
      <c r="AEB61" s="187"/>
      <c r="AEC61" s="187"/>
      <c r="AED61" s="176"/>
      <c r="AEE61" s="172"/>
      <c r="AEF61" s="174"/>
      <c r="AEG61" s="172"/>
      <c r="AEH61" s="172"/>
      <c r="AEI61" s="172"/>
      <c r="AEJ61" s="172"/>
      <c r="AEK61" s="177"/>
      <c r="AEP61" s="947"/>
      <c r="AEQ61" s="947"/>
      <c r="AER61" s="947"/>
      <c r="AES61" s="947"/>
      <c r="AET61" s="656">
        <v>17</v>
      </c>
      <c r="AEU61" s="956"/>
      <c r="AEV61" s="957"/>
      <c r="AEW61" s="958">
        <f t="shared" si="35"/>
        <v>0.53833333333333333</v>
      </c>
      <c r="AEX61" s="959"/>
      <c r="AEZ61" s="947"/>
      <c r="AFA61" s="947"/>
      <c r="AFB61" s="947"/>
      <c r="AFC61" s="947"/>
      <c r="AFD61" s="656">
        <v>77</v>
      </c>
      <c r="AFE61" s="956"/>
      <c r="AFF61" s="957"/>
      <c r="AFG61" s="958">
        <f t="shared" si="36"/>
        <v>2.4383333333333335</v>
      </c>
      <c r="AFH61" s="959"/>
      <c r="AFJ61" s="947"/>
      <c r="AFK61" s="947"/>
      <c r="AFL61" s="947"/>
      <c r="AFM61" s="947"/>
      <c r="AFN61" s="656">
        <v>137</v>
      </c>
      <c r="AFO61" s="956"/>
      <c r="AFP61" s="957"/>
      <c r="AFQ61" s="958">
        <f t="shared" si="37"/>
        <v>4.3383333333333338</v>
      </c>
      <c r="AFR61" s="959"/>
      <c r="AFT61" s="947"/>
      <c r="AFU61" s="947"/>
      <c r="AFV61" s="947"/>
      <c r="AFW61" s="947"/>
      <c r="AFX61" s="657">
        <v>197</v>
      </c>
      <c r="AFY61" s="956"/>
      <c r="AFZ61" s="957"/>
      <c r="AGA61" s="958"/>
      <c r="AGB61" s="959"/>
      <c r="AGD61" s="947"/>
      <c r="AGE61" s="947"/>
      <c r="AGF61" s="947"/>
      <c r="AGG61" s="947"/>
      <c r="AGH61" s="657">
        <v>257</v>
      </c>
      <c r="AGI61" s="956"/>
      <c r="AGJ61" s="957"/>
      <c r="AGK61" s="958"/>
      <c r="AGL61" s="959"/>
      <c r="AHO61" s="144"/>
      <c r="AIM61" s="826"/>
      <c r="AIN61" s="816" t="s">
        <v>977</v>
      </c>
      <c r="AIO61" s="816"/>
      <c r="AIP61" s="816"/>
      <c r="AIQ61" s="816"/>
      <c r="AIR61" s="816"/>
      <c r="AIS61" s="816"/>
      <c r="AIT61" s="816"/>
      <c r="AIU61" s="816"/>
      <c r="AIV61" s="816"/>
      <c r="AIW61" s="816"/>
      <c r="AIX61" s="816"/>
      <c r="AIY61" s="816"/>
      <c r="AIZ61" s="816"/>
      <c r="AJA61" s="763">
        <f>(2*EN49+EN62+EN71)/1000</f>
        <v>7.8321434573295837E-2</v>
      </c>
      <c r="AJB61" s="764"/>
      <c r="AJC61" s="1005"/>
      <c r="AJD61" s="1006"/>
      <c r="AJE61" s="712"/>
      <c r="AJF61" s="716" t="s">
        <v>442</v>
      </c>
      <c r="AJG61" s="717"/>
      <c r="AJH61" s="746"/>
    </row>
    <row r="62" spans="3:982" ht="48" customHeight="1" thickBot="1">
      <c r="AI62" s="795"/>
      <c r="AJ62" s="796"/>
      <c r="AK62" s="797"/>
      <c r="AL62" s="826"/>
      <c r="AM62" s="1488" t="s">
        <v>803</v>
      </c>
      <c r="AN62" s="1489"/>
      <c r="AO62" s="1489"/>
      <c r="AP62" s="1489"/>
      <c r="AQ62" s="1489"/>
      <c r="AR62" s="1489"/>
      <c r="AS62" s="1489"/>
      <c r="AT62" s="1489"/>
      <c r="AU62" s="1489"/>
      <c r="AV62" s="1489"/>
      <c r="AW62" s="1489"/>
      <c r="AX62" s="1489"/>
      <c r="AY62" s="1489"/>
      <c r="AZ62" s="1560">
        <v>38000</v>
      </c>
      <c r="BA62" s="1561"/>
      <c r="BB62" s="759" t="s">
        <v>17</v>
      </c>
      <c r="BC62" s="760"/>
      <c r="BD62" s="746"/>
      <c r="BE62" s="740" t="s">
        <v>35</v>
      </c>
      <c r="BF62" s="742"/>
      <c r="BG62" s="746"/>
      <c r="BO62" s="144"/>
      <c r="BP62" s="144"/>
      <c r="BQ62" s="144"/>
      <c r="CN62" s="144"/>
      <c r="CO62" s="144"/>
      <c r="CP62" s="144"/>
      <c r="CQ62" s="144"/>
      <c r="CR62" s="144"/>
      <c r="DJ62" s="144"/>
      <c r="DK62" s="144"/>
      <c r="DL62" s="144"/>
      <c r="DM62" s="144"/>
      <c r="DN62" s="144"/>
      <c r="DO62" s="144"/>
      <c r="DP62" s="144"/>
      <c r="DQ62" s="144"/>
      <c r="DR62" s="144"/>
      <c r="DS62" s="144"/>
      <c r="DT62" s="144"/>
      <c r="DU62" s="144"/>
      <c r="DV62" s="144"/>
      <c r="DW62" s="144"/>
      <c r="DX62" s="144"/>
      <c r="DZ62" s="825"/>
      <c r="EA62" s="696" t="s">
        <v>1225</v>
      </c>
      <c r="EB62" s="697"/>
      <c r="EC62" s="677">
        <f>$FW$29</f>
        <v>6.7</v>
      </c>
      <c r="ED62" s="677"/>
      <c r="EE62" s="701" t="s">
        <v>1089</v>
      </c>
      <c r="EF62" s="701"/>
      <c r="EG62" s="701"/>
      <c r="EH62" s="701"/>
      <c r="EI62" s="701"/>
      <c r="EJ62" s="701"/>
      <c r="EK62" s="701"/>
      <c r="EL62" s="701"/>
      <c r="EM62" s="702"/>
      <c r="EN62" s="1087">
        <f>((3.14*(EH61*1000+2*ER41-EC64)-CO28*EC62))/(EE61-3.14)</f>
        <v>10.323405894172806</v>
      </c>
      <c r="EO62" s="1006"/>
      <c r="EP62" s="759" t="s">
        <v>50</v>
      </c>
      <c r="EQ62" s="760"/>
      <c r="ER62" s="714"/>
      <c r="ES62" s="740" t="s">
        <v>1084</v>
      </c>
      <c r="ET62" s="741"/>
      <c r="EU62" s="742"/>
      <c r="EV62" s="746"/>
      <c r="EW62" s="767"/>
      <c r="EX62" s="767"/>
      <c r="EY62" s="767"/>
      <c r="EZ62" s="767"/>
      <c r="FA62" s="767"/>
      <c r="FB62" s="767"/>
      <c r="FC62" s="767"/>
      <c r="FD62" s="767"/>
      <c r="FE62" s="767"/>
      <c r="FF62" s="767"/>
      <c r="FG62" s="767"/>
      <c r="FH62" s="767"/>
      <c r="FI62" s="767"/>
      <c r="FJ62" s="767"/>
      <c r="FQ62" s="144"/>
      <c r="FR62" s="144"/>
      <c r="GF62" s="768"/>
      <c r="GG62" s="729"/>
      <c r="GH62" s="729"/>
      <c r="GI62" s="729"/>
      <c r="GJ62" s="729"/>
      <c r="GK62" s="729"/>
      <c r="GL62" s="729"/>
      <c r="GM62" s="729"/>
      <c r="GN62" s="729"/>
      <c r="GO62" s="729"/>
      <c r="GP62" s="729"/>
      <c r="GQ62" s="729"/>
      <c r="GR62" s="729"/>
      <c r="GS62" s="729"/>
      <c r="GT62" s="1023"/>
      <c r="GU62" s="1023"/>
      <c r="GV62" s="1023"/>
      <c r="GW62" s="1023"/>
      <c r="GX62" s="1023"/>
      <c r="GY62" s="1023"/>
      <c r="GZ62" s="1023"/>
      <c r="HA62" s="1023"/>
      <c r="HB62" s="1024"/>
      <c r="HC62" s="768"/>
      <c r="HD62" s="768"/>
      <c r="HE62" s="768"/>
      <c r="HF62" s="768"/>
      <c r="IR62" s="795"/>
      <c r="IS62" s="796"/>
      <c r="IT62" s="797"/>
      <c r="IU62" s="826"/>
      <c r="IV62" s="703" t="s">
        <v>93</v>
      </c>
      <c r="IW62" s="704"/>
      <c r="IX62" s="704"/>
      <c r="IY62" s="704"/>
      <c r="IZ62" s="704"/>
      <c r="JA62" s="704"/>
      <c r="JB62" s="704"/>
      <c r="JC62" s="704"/>
      <c r="JD62" s="704"/>
      <c r="JE62" s="704"/>
      <c r="JF62" s="704"/>
      <c r="JG62" s="704"/>
      <c r="JH62" s="705"/>
      <c r="JI62" s="983">
        <v>1520</v>
      </c>
      <c r="JJ62" s="984"/>
      <c r="JK62" s="759" t="s">
        <v>17</v>
      </c>
      <c r="JL62" s="760"/>
      <c r="JM62" s="712"/>
      <c r="JN62" s="952" t="s">
        <v>1162</v>
      </c>
      <c r="JO62" s="953"/>
      <c r="JP62" s="746"/>
      <c r="LB62" s="144"/>
      <c r="LC62" s="144"/>
      <c r="LD62" s="144"/>
      <c r="LE62" s="144"/>
      <c r="LF62" s="144"/>
      <c r="LG62" s="144"/>
      <c r="LH62" s="144"/>
      <c r="LI62" s="144"/>
      <c r="LJ62" s="144"/>
      <c r="LK62" s="144"/>
      <c r="LL62" s="144"/>
      <c r="LM62" s="144"/>
      <c r="LN62" s="144"/>
      <c r="LO62" s="144"/>
      <c r="LP62" s="144"/>
      <c r="LQ62" s="144"/>
      <c r="LR62" s="144"/>
      <c r="LS62" s="144"/>
      <c r="LT62" s="144"/>
      <c r="LU62" s="144"/>
      <c r="LZ62" s="902"/>
      <c r="MA62" s="903"/>
      <c r="MB62" s="904"/>
      <c r="MC62" s="939" t="s">
        <v>1352</v>
      </c>
      <c r="MD62" s="940"/>
      <c r="ME62" s="940"/>
      <c r="MF62" s="940"/>
      <c r="MG62" s="940"/>
      <c r="MH62" s="940"/>
      <c r="MI62" s="927" t="s">
        <v>1348</v>
      </c>
      <c r="MJ62" s="928"/>
      <c r="MK62" s="929"/>
      <c r="ML62" s="927" t="s">
        <v>1349</v>
      </c>
      <c r="MM62" s="928"/>
      <c r="MN62" s="929"/>
      <c r="MO62" s="927" t="s">
        <v>1350</v>
      </c>
      <c r="MP62" s="928"/>
      <c r="MQ62" s="929"/>
      <c r="MR62" s="980" t="s">
        <v>1360</v>
      </c>
      <c r="MS62" s="981"/>
      <c r="MT62" s="981"/>
      <c r="MU62" s="982"/>
      <c r="MV62" s="174"/>
      <c r="MW62" s="174"/>
      <c r="MX62" s="174"/>
      <c r="MY62" s="175"/>
      <c r="NI62" s="1620"/>
      <c r="NJ62" s="1621"/>
      <c r="NK62" s="1621"/>
      <c r="NL62" s="1621"/>
      <c r="NM62" s="1621"/>
      <c r="NN62" s="1621"/>
      <c r="NO62" s="1621"/>
      <c r="NP62" s="1621"/>
      <c r="NQ62" s="1621"/>
      <c r="NR62" s="1621"/>
      <c r="NS62" s="1621"/>
      <c r="NT62" s="1621"/>
      <c r="NU62" s="1621"/>
      <c r="NV62" s="1621"/>
      <c r="NW62" s="1621"/>
      <c r="NX62" s="1621"/>
      <c r="NY62" s="1621"/>
      <c r="NZ62" s="1621"/>
      <c r="OA62" s="1621"/>
      <c r="OB62" s="1621"/>
      <c r="OC62" s="1621"/>
      <c r="OD62" s="1622"/>
      <c r="PJ62" s="798"/>
      <c r="PK62" s="799"/>
      <c r="PL62" s="800"/>
      <c r="PM62" s="827"/>
      <c r="PN62" s="706"/>
      <c r="PO62" s="707"/>
      <c r="PP62" s="707"/>
      <c r="PQ62" s="707"/>
      <c r="PR62" s="707"/>
      <c r="PS62" s="707"/>
      <c r="PT62" s="707"/>
      <c r="PU62" s="707"/>
      <c r="PV62" s="707"/>
      <c r="PW62" s="707"/>
      <c r="PX62" s="707"/>
      <c r="PY62" s="707"/>
      <c r="PZ62" s="708"/>
      <c r="QA62" s="976"/>
      <c r="QB62" s="977"/>
      <c r="QC62" s="851"/>
      <c r="QD62" s="852"/>
      <c r="QE62" s="979"/>
      <c r="QF62" s="994"/>
      <c r="QG62" s="994"/>
      <c r="QH62" s="994"/>
      <c r="QI62" s="1086"/>
      <c r="QM62" s="144"/>
      <c r="QN62" s="144"/>
      <c r="QO62" s="144"/>
      <c r="QP62" s="144"/>
      <c r="QQ62" s="144"/>
      <c r="QR62" s="144"/>
      <c r="QS62" s="144"/>
      <c r="QT62" s="144"/>
      <c r="QU62" s="144"/>
      <c r="QW62" s="144"/>
      <c r="QX62" s="144"/>
      <c r="QY62" s="144"/>
      <c r="QZ62" s="144"/>
      <c r="RA62" s="144"/>
      <c r="RC62" s="369">
        <v>44</v>
      </c>
      <c r="RD62" s="668">
        <v>4.3999999999999997E-2</v>
      </c>
      <c r="RE62" s="669"/>
      <c r="RF62" s="670">
        <f t="shared" si="30"/>
        <v>15.477993855699898</v>
      </c>
      <c r="RG62" s="670"/>
      <c r="RH62" s="670"/>
      <c r="RI62" s="670"/>
      <c r="RJ62" s="698">
        <f t="shared" si="12"/>
        <v>30</v>
      </c>
      <c r="RK62" s="699"/>
      <c r="RL62" s="726"/>
      <c r="RM62" s="670">
        <f t="shared" si="13"/>
        <v>15.666495025916344</v>
      </c>
      <c r="RN62" s="670"/>
      <c r="RO62" s="670"/>
      <c r="RP62" s="670"/>
      <c r="RQ62" s="670"/>
      <c r="RR62" s="670"/>
      <c r="RS62" s="671">
        <f t="shared" si="38"/>
        <v>1.560804663639157</v>
      </c>
      <c r="RT62" s="671"/>
      <c r="RU62" s="671"/>
      <c r="RV62" s="671"/>
      <c r="RW62" s="671"/>
      <c r="RX62" s="671"/>
      <c r="RY62" s="681">
        <f t="shared" si="14"/>
        <v>15.744052133904386</v>
      </c>
      <c r="RZ62" s="681"/>
      <c r="SA62" s="681"/>
      <c r="SB62" s="681"/>
      <c r="SC62" s="681">
        <f>'Вывод расчетов'!$AQ$6/RY62</f>
        <v>24.136098938702087</v>
      </c>
      <c r="SD62" s="681"/>
      <c r="SE62" s="681"/>
      <c r="SF62" s="681"/>
      <c r="SG62" s="867">
        <f t="shared" si="31"/>
        <v>0.99507387886368692</v>
      </c>
      <c r="SH62" s="867"/>
      <c r="SI62" s="867"/>
      <c r="SJ62" s="867"/>
      <c r="SK62" s="865">
        <f t="shared" si="16"/>
        <v>9.9136146804164021E-2</v>
      </c>
      <c r="SL62" s="865"/>
      <c r="SM62" s="865"/>
      <c r="SN62" s="865"/>
      <c r="SO62" s="692">
        <f t="shared" si="26"/>
        <v>24.367524032703255</v>
      </c>
      <c r="SP62" s="693"/>
      <c r="SQ62" s="693"/>
      <c r="SR62" s="693"/>
      <c r="SS62" s="694"/>
      <c r="ST62" s="668">
        <f t="shared" si="24"/>
        <v>13.374836609662992</v>
      </c>
      <c r="SU62" s="678"/>
      <c r="SV62" s="678"/>
      <c r="SW62" s="678"/>
      <c r="SX62" s="678"/>
      <c r="SY62" s="669"/>
      <c r="SZ62" s="682">
        <f t="shared" si="19"/>
        <v>27.796807043607583</v>
      </c>
      <c r="TA62" s="683"/>
      <c r="TB62" s="683"/>
      <c r="TC62" s="683"/>
      <c r="TD62" s="683"/>
      <c r="TE62" s="684"/>
      <c r="TF62" s="682">
        <f>'Вывод расчетов'!$XC$174*SC62</f>
        <v>24.520481235929324</v>
      </c>
      <c r="TG62" s="683"/>
      <c r="TH62" s="684"/>
      <c r="TI62" s="681">
        <f t="shared" si="58"/>
        <v>27.778977397281711</v>
      </c>
      <c r="TJ62" s="681"/>
      <c r="TK62" s="681"/>
      <c r="TL62" s="681"/>
      <c r="TM62" s="685">
        <f t="shared" si="21"/>
        <v>0.43009383578477106</v>
      </c>
      <c r="TN62" s="686"/>
      <c r="TO62" s="686"/>
      <c r="TP62" s="687"/>
      <c r="TQ62" s="688">
        <f t="shared" si="22"/>
        <v>1.1902077010980121</v>
      </c>
      <c r="TR62" s="688"/>
      <c r="TS62" s="688"/>
      <c r="TT62" s="688"/>
      <c r="TU62" s="689">
        <f t="shared" si="27"/>
        <v>0.12200448760678188</v>
      </c>
      <c r="TV62" s="690"/>
      <c r="TW62" s="690"/>
      <c r="TX62" s="690"/>
      <c r="TY62" s="690"/>
      <c r="TZ62" s="691"/>
      <c r="UA62" s="679">
        <v>4.3999999999999997E-2</v>
      </c>
      <c r="UB62" s="680"/>
      <c r="UC62" s="650">
        <v>0.44</v>
      </c>
      <c r="UD62" s="866">
        <f t="shared" si="39"/>
        <v>2.6225928403169787</v>
      </c>
      <c r="UE62" s="866"/>
      <c r="UF62" s="866"/>
      <c r="UG62" s="866"/>
      <c r="UH62" s="866"/>
      <c r="UI62" s="866"/>
      <c r="UJ62" s="866"/>
      <c r="UK62" s="681">
        <f t="shared" si="40"/>
        <v>25.156384556964731</v>
      </c>
      <c r="UL62" s="681"/>
      <c r="UM62" s="681"/>
      <c r="UN62" s="681"/>
      <c r="UO62" s="816">
        <f t="shared" si="41"/>
        <v>0.9055907349356348</v>
      </c>
      <c r="UP62" s="816"/>
      <c r="UQ62" s="816"/>
      <c r="UR62" s="816"/>
      <c r="US62" s="866">
        <f t="shared" si="42"/>
        <v>0.87663032644272865</v>
      </c>
      <c r="UT62" s="866"/>
      <c r="UU62" s="866"/>
      <c r="UV62" s="866"/>
      <c r="UW62" s="866"/>
      <c r="VN62" s="144"/>
      <c r="VO62" s="144"/>
      <c r="VP62" s="144"/>
      <c r="VQ62" s="144"/>
      <c r="VR62" s="144"/>
      <c r="VS62" s="144"/>
      <c r="VT62" s="144"/>
      <c r="VU62" s="144"/>
      <c r="VV62" s="144"/>
      <c r="VW62" s="144"/>
      <c r="VX62" s="144"/>
      <c r="VY62" s="144"/>
      <c r="VZ62" s="144"/>
      <c r="WA62" s="144"/>
      <c r="XO62" s="767"/>
      <c r="XP62" s="696" t="s">
        <v>1586</v>
      </c>
      <c r="XQ62" s="697"/>
      <c r="XR62" s="948">
        <f>$YC$57</f>
        <v>4.4345599790466208</v>
      </c>
      <c r="XS62" s="965"/>
      <c r="XT62" s="700" t="s">
        <v>398</v>
      </c>
      <c r="XU62" s="701"/>
      <c r="XV62" s="701"/>
      <c r="XW62" s="701"/>
      <c r="XX62" s="701"/>
      <c r="XY62" s="701"/>
      <c r="XZ62" s="701"/>
      <c r="YA62" s="701"/>
      <c r="YB62" s="702"/>
      <c r="YC62" s="763">
        <f>((3.14*(XR63^2))/8)+((XR63+XR62)/2)*(YC51-XR63/2)</f>
        <v>21.940330796102167</v>
      </c>
      <c r="YD62" s="764"/>
      <c r="YE62" s="812" t="s">
        <v>798</v>
      </c>
      <c r="YF62" s="813"/>
      <c r="YG62" s="712"/>
      <c r="YH62" s="952" t="s">
        <v>1507</v>
      </c>
      <c r="YI62" s="953"/>
      <c r="YJ62" s="746"/>
      <c r="YK62" s="1134"/>
      <c r="YL62" s="1135"/>
      <c r="YM62" s="1136"/>
      <c r="YN62" s="767"/>
      <c r="YO62" s="767"/>
      <c r="YP62" s="767"/>
      <c r="YQ62" s="767"/>
      <c r="YR62" s="767"/>
      <c r="YS62" s="767"/>
      <c r="YT62" s="767"/>
      <c r="YU62" s="767"/>
      <c r="YV62" s="767"/>
      <c r="YW62" s="767"/>
      <c r="AAD62" s="947"/>
      <c r="AAE62" s="947"/>
      <c r="AAF62" s="947"/>
      <c r="AAG62" s="947"/>
      <c r="AAH62" s="465">
        <v>52</v>
      </c>
      <c r="AAI62" s="956"/>
      <c r="AAJ62" s="957"/>
      <c r="AAK62" s="956"/>
      <c r="AAL62" s="957"/>
      <c r="AAM62" s="958">
        <f t="shared" si="29"/>
        <v>0.69333333333333336</v>
      </c>
      <c r="AAN62" s="959"/>
      <c r="AAP62" s="947"/>
      <c r="AAQ62" s="947"/>
      <c r="AAR62" s="947"/>
      <c r="AAS62" s="947"/>
      <c r="AAT62" s="465">
        <v>112</v>
      </c>
      <c r="AAU62" s="956"/>
      <c r="AAV62" s="957"/>
      <c r="AAW62" s="956"/>
      <c r="AAX62" s="957"/>
      <c r="AAY62" s="958">
        <f t="shared" si="1"/>
        <v>1.4933333333333334</v>
      </c>
      <c r="AAZ62" s="959"/>
      <c r="ABB62" s="947"/>
      <c r="ABC62" s="947"/>
      <c r="ABD62" s="947"/>
      <c r="ABE62" s="947"/>
      <c r="ABF62" s="465">
        <v>172</v>
      </c>
      <c r="ABG62" s="956"/>
      <c r="ABH62" s="957"/>
      <c r="ABI62" s="956"/>
      <c r="ABJ62" s="957"/>
      <c r="ABK62" s="958">
        <f t="shared" si="2"/>
        <v>2.2933333333333334</v>
      </c>
      <c r="ABL62" s="959"/>
      <c r="ABN62" s="947"/>
      <c r="ABO62" s="947"/>
      <c r="ABP62" s="947"/>
      <c r="ABQ62" s="947"/>
      <c r="ABR62" s="465">
        <v>232</v>
      </c>
      <c r="ABS62" s="956"/>
      <c r="ABT62" s="957"/>
      <c r="ABU62" s="956"/>
      <c r="ABV62" s="957"/>
      <c r="ABW62" s="958">
        <f t="shared" si="3"/>
        <v>3.0933333333333337</v>
      </c>
      <c r="ABX62" s="959"/>
      <c r="ABZ62" s="947"/>
      <c r="ACA62" s="947"/>
      <c r="ACB62" s="947"/>
      <c r="ACC62" s="947"/>
      <c r="ACD62" s="465">
        <v>292</v>
      </c>
      <c r="ACE62" s="956"/>
      <c r="ACF62" s="957"/>
      <c r="ACG62" s="956"/>
      <c r="ACH62" s="957"/>
      <c r="ACI62" s="958">
        <f t="shared" si="4"/>
        <v>3.8933333333333335</v>
      </c>
      <c r="ACJ62" s="959"/>
      <c r="ACX62" s="144"/>
      <c r="ACY62" s="144"/>
      <c r="ACZ62" s="144"/>
      <c r="ADB62" s="1033"/>
      <c r="ADC62" s="1033"/>
      <c r="ADD62" s="187"/>
      <c r="ADE62" s="187"/>
      <c r="ADF62" s="187"/>
      <c r="ADG62" s="187"/>
      <c r="ADH62" s="187"/>
      <c r="ADI62" s="188"/>
      <c r="ADJ62" s="1032"/>
      <c r="ADK62" s="1032"/>
      <c r="ADL62" s="1032"/>
      <c r="ADM62" s="1032"/>
      <c r="ADN62" s="1032"/>
      <c r="ADO62" s="1032"/>
      <c r="ADP62" s="1032"/>
      <c r="ADQ62" s="1032"/>
      <c r="ADR62" s="1032"/>
      <c r="ADS62" s="1032"/>
      <c r="ADT62" s="1032"/>
      <c r="ADU62" s="1032"/>
      <c r="ADV62" s="1032"/>
      <c r="ADW62" s="1032"/>
      <c r="ADX62" s="192"/>
      <c r="ADY62" s="187"/>
      <c r="ADZ62" s="187"/>
      <c r="AEA62" s="187"/>
      <c r="AEB62" s="187"/>
      <c r="AEC62" s="187"/>
      <c r="AED62" s="176"/>
      <c r="AEE62" s="172"/>
      <c r="AEF62" s="172"/>
      <c r="AEG62" s="172"/>
      <c r="AEH62" s="172"/>
      <c r="AEI62" s="172"/>
      <c r="AEJ62" s="172"/>
      <c r="AEK62" s="177"/>
      <c r="AEP62" s="947"/>
      <c r="AEQ62" s="947"/>
      <c r="AER62" s="947"/>
      <c r="AES62" s="947"/>
      <c r="AET62" s="656">
        <v>18</v>
      </c>
      <c r="AEU62" s="956"/>
      <c r="AEV62" s="957"/>
      <c r="AEW62" s="958">
        <f t="shared" si="35"/>
        <v>0.57000000000000006</v>
      </c>
      <c r="AEX62" s="959"/>
      <c r="AEZ62" s="947"/>
      <c r="AFA62" s="947"/>
      <c r="AFB62" s="947"/>
      <c r="AFC62" s="947"/>
      <c r="AFD62" s="656">
        <v>78</v>
      </c>
      <c r="AFE62" s="956"/>
      <c r="AFF62" s="957"/>
      <c r="AFG62" s="958">
        <f t="shared" si="36"/>
        <v>2.4700000000000002</v>
      </c>
      <c r="AFH62" s="959"/>
      <c r="AFJ62" s="947"/>
      <c r="AFK62" s="947"/>
      <c r="AFL62" s="947"/>
      <c r="AFM62" s="947"/>
      <c r="AFN62" s="656">
        <v>138</v>
      </c>
      <c r="AFO62" s="956"/>
      <c r="AFP62" s="957"/>
      <c r="AFQ62" s="958">
        <f t="shared" si="37"/>
        <v>4.37</v>
      </c>
      <c r="AFR62" s="959"/>
      <c r="AFT62" s="947"/>
      <c r="AFU62" s="947"/>
      <c r="AFV62" s="947"/>
      <c r="AFW62" s="947"/>
      <c r="AFX62" s="657">
        <v>198</v>
      </c>
      <c r="AFY62" s="956"/>
      <c r="AFZ62" s="957"/>
      <c r="AGA62" s="958"/>
      <c r="AGB62" s="959"/>
      <c r="AGD62" s="947"/>
      <c r="AGE62" s="947"/>
      <c r="AGF62" s="947"/>
      <c r="AGG62" s="947"/>
      <c r="AGH62" s="657">
        <v>258</v>
      </c>
      <c r="AGI62" s="956"/>
      <c r="AGJ62" s="957"/>
      <c r="AGK62" s="958"/>
      <c r="AGL62" s="959"/>
      <c r="AHO62" s="144"/>
      <c r="AIM62" s="827"/>
      <c r="AIN62" s="818"/>
      <c r="AIO62" s="818"/>
      <c r="AIP62" s="818"/>
      <c r="AIQ62" s="818"/>
      <c r="AIR62" s="818"/>
      <c r="AIS62" s="818"/>
      <c r="AIT62" s="818"/>
      <c r="AIU62" s="818"/>
      <c r="AIV62" s="818"/>
      <c r="AIW62" s="818"/>
      <c r="AIX62" s="818"/>
      <c r="AIY62" s="818"/>
      <c r="AIZ62" s="818"/>
      <c r="AJA62" s="765"/>
      <c r="AJB62" s="766"/>
      <c r="AJC62" s="706"/>
      <c r="AJD62" s="708"/>
      <c r="AJE62" s="713"/>
      <c r="AJF62" s="718"/>
      <c r="AJG62" s="719"/>
      <c r="AJH62" s="747"/>
      <c r="AKF62" s="144"/>
      <c r="AKG62" s="144"/>
      <c r="AKH62" s="144"/>
      <c r="AKI62" s="144"/>
      <c r="AKJ62" s="144"/>
      <c r="AKK62" s="144"/>
      <c r="AKL62" s="144"/>
      <c r="AKM62" s="144"/>
      <c r="AKN62" s="144"/>
      <c r="AKO62" s="144"/>
      <c r="AKP62" s="144"/>
      <c r="AKQ62" s="144"/>
      <c r="AKR62" s="144"/>
      <c r="AKS62" s="144"/>
      <c r="AKT62" s="144"/>
    </row>
    <row r="63" spans="3:982" ht="48" customHeight="1" thickBot="1">
      <c r="AI63" s="798"/>
      <c r="AJ63" s="799"/>
      <c r="AK63" s="800"/>
      <c r="AL63" s="827"/>
      <c r="AM63" s="1491"/>
      <c r="AN63" s="805"/>
      <c r="AO63" s="805"/>
      <c r="AP63" s="805"/>
      <c r="AQ63" s="805"/>
      <c r="AR63" s="805"/>
      <c r="AS63" s="805"/>
      <c r="AT63" s="805"/>
      <c r="AU63" s="805"/>
      <c r="AV63" s="805"/>
      <c r="AW63" s="805"/>
      <c r="AX63" s="805"/>
      <c r="AY63" s="805"/>
      <c r="AZ63" s="1562"/>
      <c r="BA63" s="1563"/>
      <c r="BB63" s="761"/>
      <c r="BC63" s="762"/>
      <c r="BD63" s="747"/>
      <c r="BE63" s="743"/>
      <c r="BF63" s="745"/>
      <c r="BG63" s="747"/>
      <c r="BO63" s="144"/>
      <c r="BP63" s="144"/>
      <c r="BQ63" s="144"/>
      <c r="BX63" s="777" t="s">
        <v>752</v>
      </c>
      <c r="BY63" s="778"/>
      <c r="BZ63" s="779"/>
      <c r="CA63" s="214" t="s">
        <v>899</v>
      </c>
      <c r="CB63" s="147" t="s">
        <v>442</v>
      </c>
      <c r="CC63" s="148"/>
      <c r="CD63" s="146"/>
      <c r="CE63" s="87"/>
      <c r="CF63" s="87"/>
      <c r="CG63" s="87"/>
      <c r="CH63" s="87"/>
      <c r="CI63" s="87"/>
      <c r="CJ63" s="87"/>
      <c r="CK63" s="146"/>
      <c r="CL63" s="85" t="s">
        <v>467</v>
      </c>
      <c r="CM63" s="757" t="s">
        <v>461</v>
      </c>
      <c r="CN63" s="758"/>
      <c r="CO63" s="819" t="s">
        <v>126</v>
      </c>
      <c r="CP63" s="820"/>
      <c r="CQ63" s="675" t="s">
        <v>731</v>
      </c>
      <c r="CR63" s="676"/>
      <c r="CS63" s="821" t="s">
        <v>473</v>
      </c>
      <c r="CT63" s="822"/>
      <c r="CU63" s="822"/>
      <c r="CV63" s="823"/>
      <c r="DJ63" s="144"/>
      <c r="DK63" s="144"/>
      <c r="DL63" s="144"/>
      <c r="DM63" s="144"/>
      <c r="DN63" s="144"/>
      <c r="DO63" s="144"/>
      <c r="DP63" s="144"/>
      <c r="DQ63" s="144"/>
      <c r="DR63" s="144"/>
      <c r="DS63" s="144"/>
      <c r="DX63" s="144"/>
      <c r="DZ63" s="826"/>
      <c r="EA63" s="696" t="s">
        <v>1649</v>
      </c>
      <c r="EB63" s="697"/>
      <c r="EC63" s="677">
        <f>$ER$41</f>
        <v>1</v>
      </c>
      <c r="ED63" s="677"/>
      <c r="EE63" s="704"/>
      <c r="EF63" s="704"/>
      <c r="EG63" s="704"/>
      <c r="EH63" s="704"/>
      <c r="EI63" s="704"/>
      <c r="EJ63" s="704"/>
      <c r="EK63" s="704"/>
      <c r="EL63" s="704"/>
      <c r="EM63" s="705"/>
      <c r="EN63" s="1208"/>
      <c r="EO63" s="705"/>
      <c r="EP63" s="1469"/>
      <c r="EQ63" s="1470"/>
      <c r="ER63" s="715"/>
      <c r="ES63" s="743"/>
      <c r="ET63" s="744"/>
      <c r="EU63" s="745"/>
      <c r="EV63" s="747"/>
      <c r="EW63" s="767"/>
      <c r="EX63" s="767"/>
      <c r="EY63" s="767"/>
      <c r="EZ63" s="767"/>
      <c r="FA63" s="767"/>
      <c r="FB63" s="767"/>
      <c r="FC63" s="767"/>
      <c r="FD63" s="767"/>
      <c r="FE63" s="767"/>
      <c r="FF63" s="767"/>
      <c r="FG63" s="767"/>
      <c r="FH63" s="767"/>
      <c r="FI63" s="767"/>
      <c r="FJ63" s="767"/>
      <c r="FK63" s="144"/>
      <c r="FO63" s="144"/>
      <c r="FP63" s="144"/>
      <c r="FQ63" s="144"/>
      <c r="FR63" s="144"/>
      <c r="HR63" s="144"/>
      <c r="HS63" s="144"/>
      <c r="HT63" s="144"/>
      <c r="HU63" s="144"/>
      <c r="HV63" s="144"/>
      <c r="HW63" s="144"/>
      <c r="HX63" s="144"/>
      <c r="HY63" s="144"/>
      <c r="IR63" s="798"/>
      <c r="IS63" s="799"/>
      <c r="IT63" s="800"/>
      <c r="IU63" s="827"/>
      <c r="IV63" s="706"/>
      <c r="IW63" s="707"/>
      <c r="IX63" s="707"/>
      <c r="IY63" s="707"/>
      <c r="IZ63" s="707"/>
      <c r="JA63" s="707"/>
      <c r="JB63" s="707"/>
      <c r="JC63" s="707"/>
      <c r="JD63" s="707"/>
      <c r="JE63" s="707"/>
      <c r="JF63" s="707"/>
      <c r="JG63" s="707"/>
      <c r="JH63" s="708"/>
      <c r="JI63" s="985"/>
      <c r="JJ63" s="986"/>
      <c r="JK63" s="761"/>
      <c r="JL63" s="762"/>
      <c r="JM63" s="713"/>
      <c r="JN63" s="954"/>
      <c r="JO63" s="955"/>
      <c r="JP63" s="747"/>
      <c r="LB63" s="144"/>
      <c r="LC63" s="144"/>
      <c r="LD63" s="144"/>
      <c r="LE63" s="144"/>
      <c r="LF63" s="144"/>
      <c r="LG63" s="144"/>
      <c r="LH63" s="144"/>
      <c r="LI63" s="144"/>
      <c r="LJ63" s="144"/>
      <c r="LK63" s="144"/>
      <c r="LL63" s="144"/>
      <c r="LM63" s="144"/>
      <c r="LN63" s="144"/>
      <c r="LO63" s="144"/>
      <c r="LP63" s="144"/>
      <c r="LQ63" s="144"/>
      <c r="LR63" s="144"/>
      <c r="LS63" s="144"/>
      <c r="LT63" s="144"/>
      <c r="LU63" s="144"/>
      <c r="LZ63" s="907"/>
      <c r="MA63" s="901"/>
      <c r="MB63" s="908"/>
      <c r="MC63" s="967"/>
      <c r="MD63" s="968"/>
      <c r="ME63" s="968"/>
      <c r="MF63" s="968"/>
      <c r="MG63" s="968"/>
      <c r="MH63" s="969"/>
      <c r="MI63" s="970">
        <f>'Программные таблицы'!F430</f>
        <v>2.8571428571428569E-8</v>
      </c>
      <c r="MJ63" s="970"/>
      <c r="MK63" s="970"/>
      <c r="ML63" s="970">
        <f>'Программные таблицы'!H430</f>
        <v>4.6511627906976744E-8</v>
      </c>
      <c r="MM63" s="970"/>
      <c r="MN63" s="970"/>
      <c r="MO63" s="970">
        <f>'Программные таблицы'!J430</f>
        <v>4.8780487804878047E-8</v>
      </c>
      <c r="MP63" s="970"/>
      <c r="MQ63" s="970"/>
      <c r="MR63" s="921"/>
      <c r="MS63" s="922"/>
      <c r="MT63" s="383">
        <f xml:space="preserve">
IF(MQ65=MI63,20,
IF(MQ65=ML63,75,
IF(MQ65=MO63,115,""
)))</f>
        <v>75</v>
      </c>
      <c r="MU63" s="378" t="s">
        <v>1359</v>
      </c>
      <c r="MV63" s="179"/>
      <c r="MW63" s="179"/>
      <c r="MX63" s="179"/>
      <c r="MY63" s="180"/>
      <c r="NI63" s="1620"/>
      <c r="NJ63" s="1621"/>
      <c r="NK63" s="1621"/>
      <c r="NL63" s="1621"/>
      <c r="NM63" s="1621"/>
      <c r="NN63" s="1621"/>
      <c r="NO63" s="1621"/>
      <c r="NP63" s="1621"/>
      <c r="NQ63" s="1621"/>
      <c r="NR63" s="1621"/>
      <c r="NS63" s="1621"/>
      <c r="NT63" s="1621"/>
      <c r="NU63" s="1621"/>
      <c r="NV63" s="1621"/>
      <c r="NW63" s="1621"/>
      <c r="NX63" s="1621"/>
      <c r="NY63" s="1621"/>
      <c r="NZ63" s="1621"/>
      <c r="OA63" s="1621"/>
      <c r="OB63" s="1621"/>
      <c r="OC63" s="1621"/>
      <c r="OD63" s="1622"/>
      <c r="QP63" s="144"/>
      <c r="QQ63" s="144"/>
      <c r="QR63" s="144"/>
      <c r="QS63" s="144"/>
      <c r="QW63" s="144"/>
      <c r="QX63" s="144"/>
      <c r="QY63" s="144"/>
      <c r="QZ63" s="144"/>
      <c r="RA63" s="144"/>
      <c r="RC63" s="369">
        <v>45</v>
      </c>
      <c r="RD63" s="668">
        <v>4.4999999999999998E-2</v>
      </c>
      <c r="RE63" s="669"/>
      <c r="RF63" s="670">
        <f t="shared" si="30"/>
        <v>15.134038436684346</v>
      </c>
      <c r="RG63" s="670"/>
      <c r="RH63" s="670"/>
      <c r="RI63" s="670"/>
      <c r="RJ63" s="698">
        <f t="shared" si="12"/>
        <v>30</v>
      </c>
      <c r="RK63" s="699"/>
      <c r="RL63" s="726"/>
      <c r="RM63" s="670">
        <f t="shared" si="13"/>
        <v>15.322539606900792</v>
      </c>
      <c r="RN63" s="670"/>
      <c r="RO63" s="670"/>
      <c r="RP63" s="670"/>
      <c r="RQ63" s="670"/>
      <c r="RR63" s="670"/>
      <c r="RS63" s="671">
        <f t="shared" si="38"/>
        <v>1.560804663639157</v>
      </c>
      <c r="RT63" s="671"/>
      <c r="RU63" s="671"/>
      <c r="RV63" s="671"/>
      <c r="RW63" s="671"/>
      <c r="RX63" s="671"/>
      <c r="RY63" s="681">
        <f t="shared" si="14"/>
        <v>15.401828826573849</v>
      </c>
      <c r="RZ63" s="681"/>
      <c r="SA63" s="681"/>
      <c r="SB63" s="681"/>
      <c r="SC63" s="681">
        <f>'Вывод расчетов'!$AQ$6/RY63</f>
        <v>24.672394705774128</v>
      </c>
      <c r="SD63" s="681"/>
      <c r="SE63" s="681"/>
      <c r="SF63" s="681"/>
      <c r="SG63" s="867">
        <f t="shared" si="31"/>
        <v>0.99485196072714077</v>
      </c>
      <c r="SH63" s="867"/>
      <c r="SI63" s="867"/>
      <c r="SJ63" s="867"/>
      <c r="SK63" s="865">
        <f t="shared" si="16"/>
        <v>0.10133891768399554</v>
      </c>
      <c r="SL63" s="865"/>
      <c r="SM63" s="865"/>
      <c r="SN63" s="865"/>
      <c r="SO63" s="692">
        <f t="shared" si="26"/>
        <v>24.895702690004569</v>
      </c>
      <c r="SP63" s="693"/>
      <c r="SQ63" s="693"/>
      <c r="SR63" s="693"/>
      <c r="SS63" s="694"/>
      <c r="ST63" s="668">
        <f t="shared" si="24"/>
        <v>13.482350538151486</v>
      </c>
      <c r="SU63" s="678"/>
      <c r="SV63" s="678"/>
      <c r="SW63" s="678"/>
      <c r="SX63" s="678"/>
      <c r="SY63" s="669"/>
      <c r="SZ63" s="682">
        <f t="shared" si="19"/>
        <v>28.312007849368339</v>
      </c>
      <c r="TA63" s="683"/>
      <c r="TB63" s="683"/>
      <c r="TC63" s="683"/>
      <c r="TD63" s="683"/>
      <c r="TE63" s="684"/>
      <c r="TF63" s="682">
        <f>'Вывод расчетов'!$XC$174*SC63</f>
        <v>25.065317844645406</v>
      </c>
      <c r="TG63" s="683"/>
      <c r="TH63" s="684"/>
      <c r="TI63" s="681">
        <f t="shared" si="58"/>
        <v>28.381101066605211</v>
      </c>
      <c r="TJ63" s="681"/>
      <c r="TK63" s="681"/>
      <c r="TL63" s="681"/>
      <c r="TM63" s="685">
        <f t="shared" si="21"/>
        <v>0.44618476123915241</v>
      </c>
      <c r="TN63" s="686"/>
      <c r="TO63" s="686"/>
      <c r="TP63" s="687"/>
      <c r="TQ63" s="688">
        <f t="shared" si="22"/>
        <v>1.2436873287284551</v>
      </c>
      <c r="TR63" s="688"/>
      <c r="TS63" s="688"/>
      <c r="TT63" s="688"/>
      <c r="TU63" s="689">
        <f t="shared" si="27"/>
        <v>0.12656899179596331</v>
      </c>
      <c r="TV63" s="690"/>
      <c r="TW63" s="690"/>
      <c r="TX63" s="690"/>
      <c r="TY63" s="690"/>
      <c r="TZ63" s="691"/>
      <c r="UA63" s="756">
        <v>4.4999999999999998E-2</v>
      </c>
      <c r="UB63" s="756"/>
      <c r="UC63" s="650">
        <v>0.45</v>
      </c>
      <c r="UD63" s="866">
        <f t="shared" si="39"/>
        <v>2.6967278975909847</v>
      </c>
      <c r="UE63" s="866"/>
      <c r="UF63" s="866"/>
      <c r="UG63" s="866"/>
      <c r="UH63" s="866"/>
      <c r="UI63" s="866"/>
      <c r="UJ63" s="866"/>
      <c r="UK63" s="681">
        <f t="shared" si="40"/>
        <v>25.684373169014226</v>
      </c>
      <c r="UL63" s="681"/>
      <c r="UM63" s="681"/>
      <c r="UN63" s="681"/>
      <c r="UO63" s="816">
        <f t="shared" si="41"/>
        <v>0.9049815618054331</v>
      </c>
      <c r="UP63" s="816"/>
      <c r="UQ63" s="816"/>
      <c r="UR63" s="816"/>
      <c r="US63" s="866">
        <f t="shared" si="42"/>
        <v>0.87933370259220278</v>
      </c>
      <c r="UT63" s="866"/>
      <c r="UU63" s="866"/>
      <c r="UV63" s="866"/>
      <c r="UW63" s="866"/>
      <c r="VN63" s="144"/>
      <c r="VO63" s="144"/>
      <c r="VP63" s="144"/>
      <c r="VQ63" s="144"/>
      <c r="VR63" s="144"/>
      <c r="VS63" s="144"/>
      <c r="VT63" s="144"/>
      <c r="VU63" s="144"/>
      <c r="VV63" s="144"/>
      <c r="VW63" s="144"/>
      <c r="VX63" s="144"/>
      <c r="VY63" s="144"/>
      <c r="VZ63" s="144"/>
      <c r="WA63" s="144"/>
      <c r="WD63" s="825"/>
      <c r="WE63" s="665" t="s">
        <v>442</v>
      </c>
      <c r="WF63" s="666"/>
      <c r="WG63" s="522"/>
      <c r="WH63" s="696" t="s">
        <v>1704</v>
      </c>
      <c r="WI63" s="720"/>
      <c r="WJ63" s="697"/>
      <c r="WK63" s="698">
        <f>$PX$17</f>
        <v>332.23361083473287</v>
      </c>
      <c r="WL63" s="726"/>
      <c r="WM63" s="87"/>
      <c r="WN63" s="522"/>
      <c r="WO63" s="85" t="s">
        <v>467</v>
      </c>
      <c r="WP63" s="757" t="s">
        <v>461</v>
      </c>
      <c r="WQ63" s="758"/>
      <c r="WR63" s="819" t="s">
        <v>126</v>
      </c>
      <c r="WS63" s="820"/>
      <c r="WT63" s="675" t="s">
        <v>731</v>
      </c>
      <c r="WU63" s="676"/>
      <c r="WV63" s="821" t="s">
        <v>473</v>
      </c>
      <c r="WW63" s="822"/>
      <c r="WX63" s="822"/>
      <c r="WY63" s="823"/>
      <c r="WZ63" s="769" t="s">
        <v>462</v>
      </c>
      <c r="XA63" s="769"/>
      <c r="XB63" s="769"/>
      <c r="XC63" s="769"/>
      <c r="XO63" s="767"/>
      <c r="XP63" s="696" t="s">
        <v>1201</v>
      </c>
      <c r="XQ63" s="697"/>
      <c r="XR63" s="756">
        <f>$IH$92</f>
        <v>4.3</v>
      </c>
      <c r="XS63" s="756"/>
      <c r="XT63" s="703"/>
      <c r="XU63" s="704"/>
      <c r="XV63" s="704"/>
      <c r="XW63" s="704"/>
      <c r="XX63" s="704"/>
      <c r="XY63" s="704"/>
      <c r="XZ63" s="704"/>
      <c r="YA63" s="704"/>
      <c r="YB63" s="705"/>
      <c r="YC63" s="765"/>
      <c r="YD63" s="766"/>
      <c r="YE63" s="814"/>
      <c r="YF63" s="815"/>
      <c r="YG63" s="713"/>
      <c r="YH63" s="954"/>
      <c r="YI63" s="955"/>
      <c r="YJ63" s="747"/>
      <c r="YK63" s="1289"/>
      <c r="YL63" s="1290"/>
      <c r="YM63" s="1291"/>
      <c r="YN63" s="767"/>
      <c r="YO63" s="767"/>
      <c r="YP63" s="767"/>
      <c r="YQ63" s="767"/>
      <c r="YR63" s="767"/>
      <c r="YS63" s="767"/>
      <c r="YT63" s="767"/>
      <c r="YU63" s="767"/>
      <c r="YV63" s="767"/>
      <c r="YW63" s="767"/>
      <c r="AAD63" s="947"/>
      <c r="AAE63" s="947"/>
      <c r="AAF63" s="947"/>
      <c r="AAG63" s="947"/>
      <c r="AAH63" s="465">
        <v>53</v>
      </c>
      <c r="AAI63" s="956"/>
      <c r="AAJ63" s="957"/>
      <c r="AAK63" s="956"/>
      <c r="AAL63" s="957"/>
      <c r="AAM63" s="958">
        <f t="shared" si="29"/>
        <v>0.70666666666666667</v>
      </c>
      <c r="AAN63" s="959"/>
      <c r="AAP63" s="947"/>
      <c r="AAQ63" s="947"/>
      <c r="AAR63" s="947"/>
      <c r="AAS63" s="947"/>
      <c r="AAT63" s="465">
        <v>113</v>
      </c>
      <c r="AAU63" s="956"/>
      <c r="AAV63" s="957"/>
      <c r="AAW63" s="956"/>
      <c r="AAX63" s="957"/>
      <c r="AAY63" s="958">
        <f t="shared" si="1"/>
        <v>1.5066666666666668</v>
      </c>
      <c r="AAZ63" s="959"/>
      <c r="ABB63" s="947"/>
      <c r="ABC63" s="947"/>
      <c r="ABD63" s="947"/>
      <c r="ABE63" s="947"/>
      <c r="ABF63" s="465">
        <v>173</v>
      </c>
      <c r="ABG63" s="956"/>
      <c r="ABH63" s="957"/>
      <c r="ABI63" s="956"/>
      <c r="ABJ63" s="957"/>
      <c r="ABK63" s="958">
        <f t="shared" si="2"/>
        <v>2.3066666666666666</v>
      </c>
      <c r="ABL63" s="959"/>
      <c r="ABN63" s="947"/>
      <c r="ABO63" s="947"/>
      <c r="ABP63" s="947"/>
      <c r="ABQ63" s="947"/>
      <c r="ABR63" s="465">
        <v>233</v>
      </c>
      <c r="ABS63" s="956"/>
      <c r="ABT63" s="957"/>
      <c r="ABU63" s="956"/>
      <c r="ABV63" s="957"/>
      <c r="ABW63" s="958">
        <f t="shared" si="3"/>
        <v>3.1066666666666669</v>
      </c>
      <c r="ABX63" s="959"/>
      <c r="ABZ63" s="947"/>
      <c r="ACA63" s="947"/>
      <c r="ACB63" s="947"/>
      <c r="ACC63" s="947"/>
      <c r="ACD63" s="465">
        <v>293</v>
      </c>
      <c r="ACE63" s="956"/>
      <c r="ACF63" s="957"/>
      <c r="ACG63" s="956"/>
      <c r="ACH63" s="957"/>
      <c r="ACI63" s="958">
        <f t="shared" si="4"/>
        <v>3.9066666666666667</v>
      </c>
      <c r="ACJ63" s="959"/>
      <c r="ADB63" s="1033"/>
      <c r="ADC63" s="1033"/>
      <c r="ADD63" s="184"/>
      <c r="ADE63" s="184"/>
      <c r="ADF63" s="184"/>
      <c r="ADG63" s="184"/>
      <c r="ADH63" s="184"/>
      <c r="ADI63" s="186"/>
      <c r="ADJ63" s="1032"/>
      <c r="ADK63" s="1032"/>
      <c r="ADL63" s="1032"/>
      <c r="ADM63" s="1032"/>
      <c r="ADN63" s="1032"/>
      <c r="ADO63" s="1032"/>
      <c r="ADP63" s="1032"/>
      <c r="ADQ63" s="1032"/>
      <c r="ADR63" s="1032"/>
      <c r="ADS63" s="1032"/>
      <c r="ADT63" s="1032"/>
      <c r="ADU63" s="1032"/>
      <c r="ADV63" s="1032"/>
      <c r="ADW63" s="1032"/>
      <c r="ADX63" s="192"/>
      <c r="ADY63" s="187"/>
      <c r="ADZ63" s="187"/>
      <c r="AEA63" s="187"/>
      <c r="AEB63" s="187"/>
      <c r="AEC63" s="187"/>
      <c r="AED63" s="176"/>
      <c r="AEE63" s="172"/>
      <c r="AEF63" s="179"/>
      <c r="AEG63" s="172"/>
      <c r="AEH63" s="172"/>
      <c r="AEI63" s="172"/>
      <c r="AEJ63" s="172"/>
      <c r="AEK63" s="177"/>
      <c r="AEP63" s="947"/>
      <c r="AEQ63" s="947"/>
      <c r="AER63" s="947"/>
      <c r="AES63" s="947"/>
      <c r="AET63" s="656">
        <v>19</v>
      </c>
      <c r="AEU63" s="956"/>
      <c r="AEV63" s="957"/>
      <c r="AEW63" s="958">
        <f t="shared" si="35"/>
        <v>0.60166666666666668</v>
      </c>
      <c r="AEX63" s="959"/>
      <c r="AEZ63" s="947"/>
      <c r="AFA63" s="947"/>
      <c r="AFB63" s="947"/>
      <c r="AFC63" s="947"/>
      <c r="AFD63" s="656">
        <v>79</v>
      </c>
      <c r="AFE63" s="956"/>
      <c r="AFF63" s="957"/>
      <c r="AFG63" s="958">
        <f t="shared" si="36"/>
        <v>2.5016666666666669</v>
      </c>
      <c r="AFH63" s="959"/>
      <c r="AFJ63" s="947"/>
      <c r="AFK63" s="947"/>
      <c r="AFL63" s="947"/>
      <c r="AFM63" s="947"/>
      <c r="AFN63" s="656">
        <v>139</v>
      </c>
      <c r="AFO63" s="956"/>
      <c r="AFP63" s="957"/>
      <c r="AFQ63" s="958">
        <f t="shared" si="37"/>
        <v>4.4016666666666673</v>
      </c>
      <c r="AFR63" s="959"/>
      <c r="AFT63" s="947"/>
      <c r="AFU63" s="947"/>
      <c r="AFV63" s="947"/>
      <c r="AFW63" s="947"/>
      <c r="AFX63" s="656">
        <v>199</v>
      </c>
      <c r="AFY63" s="956"/>
      <c r="AFZ63" s="957"/>
      <c r="AGA63" s="958"/>
      <c r="AGB63" s="959"/>
      <c r="AGD63" s="947"/>
      <c r="AGE63" s="947"/>
      <c r="AGF63" s="947"/>
      <c r="AGG63" s="947"/>
      <c r="AGH63" s="657">
        <v>259</v>
      </c>
      <c r="AGI63" s="956"/>
      <c r="AGJ63" s="957"/>
      <c r="AGK63" s="958"/>
      <c r="AGL63" s="959"/>
      <c r="AHO63" s="144"/>
      <c r="AKF63" s="144"/>
      <c r="AKG63" s="144"/>
      <c r="AKH63" s="144"/>
      <c r="AKI63" s="144"/>
      <c r="AKJ63" s="144"/>
      <c r="AKK63" s="144"/>
      <c r="AKL63" s="144"/>
      <c r="AKM63" s="144"/>
      <c r="AKN63" s="144"/>
      <c r="AKO63" s="144"/>
      <c r="AKP63" s="144"/>
      <c r="AKQ63" s="144"/>
      <c r="AKR63" s="144"/>
      <c r="AKS63" s="144"/>
      <c r="AKT63" s="144"/>
    </row>
    <row r="64" spans="3:982" ht="48" customHeight="1" thickBot="1">
      <c r="BO64" s="144"/>
      <c r="BP64" s="144"/>
      <c r="BQ64" s="144"/>
      <c r="BX64" s="780"/>
      <c r="BY64" s="781"/>
      <c r="BZ64" s="782"/>
      <c r="CA64" s="825"/>
      <c r="CB64" s="731" t="s">
        <v>788</v>
      </c>
      <c r="CC64" s="732"/>
      <c r="CD64" s="732"/>
      <c r="CE64" s="732"/>
      <c r="CF64" s="732"/>
      <c r="CG64" s="732"/>
      <c r="CH64" s="732"/>
      <c r="CI64" s="732"/>
      <c r="CJ64" s="732"/>
      <c r="CK64" s="732"/>
      <c r="CL64" s="732"/>
      <c r="CM64" s="732"/>
      <c r="CN64" s="733"/>
      <c r="CO64" s="1587">
        <f>ROUND(CL60,0)</f>
        <v>19</v>
      </c>
      <c r="CP64" s="1588"/>
      <c r="CQ64" s="849" t="s">
        <v>758</v>
      </c>
      <c r="CR64" s="850"/>
      <c r="CS64" s="712"/>
      <c r="CT64" s="740" t="s">
        <v>1626</v>
      </c>
      <c r="CU64" s="742"/>
      <c r="CV64" s="746"/>
      <c r="DJ64" s="144"/>
      <c r="DK64" s="144"/>
      <c r="DL64" s="144"/>
      <c r="DM64" s="144"/>
      <c r="DN64" s="144"/>
      <c r="DO64" s="144"/>
      <c r="DP64" s="144"/>
      <c r="DQ64" s="144"/>
      <c r="DR64" s="144"/>
      <c r="DS64" s="144"/>
      <c r="DT64" s="144"/>
      <c r="DU64" s="144"/>
      <c r="DV64" s="144"/>
      <c r="DW64" s="144"/>
      <c r="DX64" s="144"/>
      <c r="DZ64" s="827"/>
      <c r="EA64" s="949" t="s">
        <v>1171</v>
      </c>
      <c r="EB64" s="962"/>
      <c r="EC64" s="672">
        <f>$ER$45</f>
        <v>4</v>
      </c>
      <c r="ED64" s="672"/>
      <c r="EE64" s="707"/>
      <c r="EF64" s="707"/>
      <c r="EG64" s="707"/>
      <c r="EH64" s="707"/>
      <c r="EI64" s="707"/>
      <c r="EJ64" s="707"/>
      <c r="EK64" s="707"/>
      <c r="EL64" s="707"/>
      <c r="EM64" s="708"/>
      <c r="EN64" s="1089"/>
      <c r="EO64" s="708"/>
      <c r="EP64" s="761"/>
      <c r="EQ64" s="762"/>
      <c r="ER64" s="1022"/>
      <c r="ES64" s="1023"/>
      <c r="ET64" s="1023"/>
      <c r="EU64" s="1023"/>
      <c r="EV64" s="1024"/>
      <c r="EW64" s="768"/>
      <c r="EX64" s="768"/>
      <c r="EY64" s="768"/>
      <c r="EZ64" s="768"/>
      <c r="FA64" s="768"/>
      <c r="FB64" s="768"/>
      <c r="FC64" s="768"/>
      <c r="FD64" s="768"/>
      <c r="FE64" s="768"/>
      <c r="FF64" s="768"/>
      <c r="FG64" s="768"/>
      <c r="FH64" s="768"/>
      <c r="FI64" s="768"/>
      <c r="FJ64" s="768"/>
      <c r="FO64" s="144"/>
      <c r="FP64" s="144"/>
      <c r="FQ64" s="144"/>
      <c r="FR64" s="144"/>
      <c r="GF64" s="792" t="s">
        <v>1014</v>
      </c>
      <c r="GG64" s="793"/>
      <c r="GH64" s="794"/>
      <c r="GI64" s="767"/>
      <c r="GJ64" s="665" t="s">
        <v>442</v>
      </c>
      <c r="GK64" s="667"/>
      <c r="GL64" s="456"/>
      <c r="GM64" s="87"/>
      <c r="GN64" s="87"/>
      <c r="GO64" s="87"/>
      <c r="GP64" s="87"/>
      <c r="GQ64" s="87"/>
      <c r="GR64" s="87"/>
      <c r="GS64" s="150"/>
      <c r="GT64" s="85" t="s">
        <v>467</v>
      </c>
      <c r="GU64" s="757" t="s">
        <v>461</v>
      </c>
      <c r="GV64" s="758"/>
      <c r="GW64" s="1130" t="s">
        <v>126</v>
      </c>
      <c r="GX64" s="1131"/>
      <c r="GY64" s="675" t="s">
        <v>731</v>
      </c>
      <c r="GZ64" s="676"/>
      <c r="HA64" s="821" t="s">
        <v>473</v>
      </c>
      <c r="HB64" s="822"/>
      <c r="HC64" s="822"/>
      <c r="HD64" s="823"/>
      <c r="HE64" s="936" t="s">
        <v>994</v>
      </c>
      <c r="HF64" s="939" t="s">
        <v>1807</v>
      </c>
      <c r="HG64" s="940"/>
      <c r="HH64" s="940"/>
      <c r="HI64" s="940"/>
      <c r="HJ64" s="1237"/>
      <c r="HL64" s="1674" t="s">
        <v>994</v>
      </c>
      <c r="HM64" s="727" t="s">
        <v>1801</v>
      </c>
      <c r="HN64" s="727"/>
      <c r="HO64" s="727"/>
      <c r="HP64" s="727"/>
      <c r="HQ64" s="727"/>
      <c r="HR64" s="727"/>
      <c r="HS64" s="727"/>
      <c r="HT64" s="144"/>
      <c r="HU64" s="144"/>
      <c r="HV64" s="144"/>
      <c r="HW64" s="144"/>
      <c r="HX64" s="144"/>
      <c r="HY64" s="144"/>
      <c r="HZ64" s="144"/>
      <c r="IA64" s="144"/>
      <c r="IB64" s="144"/>
      <c r="IC64" s="144"/>
      <c r="ID64" s="144"/>
      <c r="IE64" s="144"/>
      <c r="IF64" s="144"/>
      <c r="IG64" s="144"/>
      <c r="IH64" s="144"/>
      <c r="II64" s="144"/>
      <c r="IJ64" s="144"/>
      <c r="IK64" s="144"/>
      <c r="LB64" s="144"/>
      <c r="LC64" s="144"/>
      <c r="LD64" s="144"/>
      <c r="LE64" s="144"/>
      <c r="LF64" s="144"/>
      <c r="LG64" s="144"/>
      <c r="LH64" s="144"/>
      <c r="LI64" s="144"/>
      <c r="LJ64" s="144"/>
      <c r="LK64" s="144"/>
      <c r="LL64" s="144"/>
      <c r="LM64" s="144"/>
      <c r="LN64" s="144"/>
      <c r="LO64" s="144"/>
      <c r="LP64" s="144"/>
      <c r="LQ64" s="144"/>
      <c r="LR64" s="144"/>
      <c r="LS64" s="144"/>
      <c r="LT64" s="144"/>
      <c r="LU64" s="144"/>
      <c r="LZ64" s="792" t="s">
        <v>1078</v>
      </c>
      <c r="MA64" s="793"/>
      <c r="MB64" s="794"/>
      <c r="MC64" s="825"/>
      <c r="MD64" s="665" t="s">
        <v>442</v>
      </c>
      <c r="ME64" s="666"/>
      <c r="MF64" s="373"/>
      <c r="MG64" s="87"/>
      <c r="MH64" s="87"/>
      <c r="MI64" s="87"/>
      <c r="MJ64" s="87"/>
      <c r="MK64" s="87"/>
      <c r="ML64" s="84" t="s">
        <v>477</v>
      </c>
      <c r="MM64" s="373"/>
      <c r="MN64" s="85" t="s">
        <v>467</v>
      </c>
      <c r="MO64" s="757" t="s">
        <v>461</v>
      </c>
      <c r="MP64" s="758"/>
      <c r="MQ64" s="774" t="s">
        <v>126</v>
      </c>
      <c r="MR64" s="775"/>
      <c r="MS64" s="776"/>
      <c r="MT64" s="971" t="s">
        <v>731</v>
      </c>
      <c r="MU64" s="972"/>
      <c r="MV64" s="821" t="s">
        <v>473</v>
      </c>
      <c r="MW64" s="822"/>
      <c r="MX64" s="822"/>
      <c r="MY64" s="823"/>
      <c r="NB64" s="936" t="s">
        <v>994</v>
      </c>
      <c r="NC64" s="939" t="s">
        <v>1808</v>
      </c>
      <c r="ND64" s="940"/>
      <c r="NE64" s="940"/>
      <c r="NF64" s="940"/>
      <c r="NG64" s="1237"/>
      <c r="NI64" s="1620"/>
      <c r="NJ64" s="1621"/>
      <c r="NK64" s="1621"/>
      <c r="NL64" s="1621"/>
      <c r="NM64" s="1621"/>
      <c r="NN64" s="1621"/>
      <c r="NO64" s="1621"/>
      <c r="NP64" s="1621"/>
      <c r="NQ64" s="1621"/>
      <c r="NR64" s="1621"/>
      <c r="NS64" s="1621"/>
      <c r="NT64" s="1621"/>
      <c r="NU64" s="1621"/>
      <c r="NV64" s="1621"/>
      <c r="NW64" s="1621"/>
      <c r="NX64" s="1621"/>
      <c r="NY64" s="1621"/>
      <c r="NZ64" s="1621"/>
      <c r="OA64" s="1621"/>
      <c r="OB64" s="1621"/>
      <c r="OC64" s="1621"/>
      <c r="OD64" s="1622"/>
      <c r="PE64" s="144"/>
      <c r="PJ64" s="792" t="s">
        <v>1013</v>
      </c>
      <c r="PK64" s="793"/>
      <c r="PL64" s="794"/>
      <c r="PM64" s="825"/>
      <c r="PN64" s="695" t="s">
        <v>442</v>
      </c>
      <c r="PO64" s="695"/>
      <c r="PP64" s="504"/>
      <c r="PQ64" s="87"/>
      <c r="PR64" s="87"/>
      <c r="PS64" s="87"/>
      <c r="PT64" s="87"/>
      <c r="PU64" s="87"/>
      <c r="PV64" s="87"/>
      <c r="PW64" s="504"/>
      <c r="PX64" s="85" t="s">
        <v>467</v>
      </c>
      <c r="PY64" s="757" t="s">
        <v>461</v>
      </c>
      <c r="PZ64" s="899"/>
      <c r="QA64" s="819" t="s">
        <v>126</v>
      </c>
      <c r="QB64" s="820"/>
      <c r="QC64" s="675" t="s">
        <v>731</v>
      </c>
      <c r="QD64" s="676"/>
      <c r="QE64" s="821" t="s">
        <v>473</v>
      </c>
      <c r="QF64" s="822"/>
      <c r="QG64" s="822"/>
      <c r="QH64" s="823"/>
      <c r="QP64" s="144"/>
      <c r="QQ64" s="144"/>
      <c r="QR64" s="144"/>
      <c r="QS64" s="144"/>
      <c r="QX64" s="144"/>
      <c r="QY64" s="144"/>
      <c r="QZ64" s="144"/>
      <c r="RA64" s="144"/>
      <c r="RC64" s="369">
        <v>46</v>
      </c>
      <c r="RD64" s="668">
        <v>4.5999999999999999E-2</v>
      </c>
      <c r="RE64" s="669"/>
      <c r="RF64" s="670">
        <f t="shared" si="30"/>
        <v>14.805037601104249</v>
      </c>
      <c r="RG64" s="670"/>
      <c r="RH64" s="670"/>
      <c r="RI64" s="670"/>
      <c r="RJ64" s="698">
        <f t="shared" si="12"/>
        <v>30</v>
      </c>
      <c r="RK64" s="699"/>
      <c r="RL64" s="726"/>
      <c r="RM64" s="670">
        <f t="shared" si="13"/>
        <v>14.993538771320695</v>
      </c>
      <c r="RN64" s="670"/>
      <c r="RO64" s="670"/>
      <c r="RP64" s="670"/>
      <c r="RQ64" s="670"/>
      <c r="RR64" s="670"/>
      <c r="RS64" s="671">
        <f t="shared" si="38"/>
        <v>1.560804663639157</v>
      </c>
      <c r="RT64" s="671"/>
      <c r="RU64" s="671"/>
      <c r="RV64" s="671"/>
      <c r="RW64" s="671"/>
      <c r="RX64" s="671"/>
      <c r="RY64" s="681">
        <f t="shared" si="14"/>
        <v>15.074558570158352</v>
      </c>
      <c r="RZ64" s="681"/>
      <c r="SA64" s="681"/>
      <c r="SB64" s="681"/>
      <c r="SC64" s="681">
        <f>'Вывод расчетов'!$AQ$6/RY64</f>
        <v>25.208034996941755</v>
      </c>
      <c r="SD64" s="681"/>
      <c r="SE64" s="681"/>
      <c r="SF64" s="681"/>
      <c r="SG64" s="867">
        <f t="shared" si="31"/>
        <v>0.99462539493540836</v>
      </c>
      <c r="SH64" s="867"/>
      <c r="SI64" s="867"/>
      <c r="SJ64" s="867"/>
      <c r="SK64" s="865">
        <f t="shared" si="16"/>
        <v>0.10353899627475203</v>
      </c>
      <c r="SL64" s="865"/>
      <c r="SM64" s="865"/>
      <c r="SN64" s="865"/>
      <c r="SO64" s="692">
        <f t="shared" si="26"/>
        <v>25.422874205510041</v>
      </c>
      <c r="SP64" s="693"/>
      <c r="SQ64" s="693"/>
      <c r="SR64" s="693"/>
      <c r="SS64" s="694"/>
      <c r="ST64" s="668">
        <f t="shared" si="24"/>
        <v>13.592091403638166</v>
      </c>
      <c r="SU64" s="678"/>
      <c r="SV64" s="678"/>
      <c r="SW64" s="678"/>
      <c r="SX64" s="678"/>
      <c r="SY64" s="669"/>
      <c r="SZ64" s="682">
        <f t="shared" si="19"/>
        <v>28.828241042318943</v>
      </c>
      <c r="TA64" s="683"/>
      <c r="TB64" s="683"/>
      <c r="TC64" s="683"/>
      <c r="TD64" s="683"/>
      <c r="TE64" s="684"/>
      <c r="TF64" s="682">
        <f>'Вывод расчетов'!$XC$174*SC64</f>
        <v>25.609488538598065</v>
      </c>
      <c r="TG64" s="683"/>
      <c r="TH64" s="684"/>
      <c r="TI64" s="681">
        <f t="shared" si="58"/>
        <v>28.982076594281448</v>
      </c>
      <c r="TJ64" s="681"/>
      <c r="TK64" s="681"/>
      <c r="TL64" s="681"/>
      <c r="TM64" s="685">
        <f t="shared" si="21"/>
        <v>0.46260431865804935</v>
      </c>
      <c r="TN64" s="686"/>
      <c r="TO64" s="686"/>
      <c r="TP64" s="687"/>
      <c r="TQ64" s="688">
        <f t="shared" si="22"/>
        <v>1.2982746803821363</v>
      </c>
      <c r="TR64" s="688"/>
      <c r="TS64" s="688"/>
      <c r="TT64" s="688"/>
      <c r="TU64" s="689">
        <f t="shared" si="27"/>
        <v>0.13122671883817355</v>
      </c>
      <c r="TV64" s="690"/>
      <c r="TW64" s="690"/>
      <c r="TX64" s="690"/>
      <c r="TY64" s="690"/>
      <c r="TZ64" s="691"/>
      <c r="UA64" s="679">
        <v>4.5999999999999999E-2</v>
      </c>
      <c r="UB64" s="680"/>
      <c r="UC64" s="650">
        <v>0.46</v>
      </c>
      <c r="UD64" s="866">
        <f t="shared" si="39"/>
        <v>2.7723925337057729</v>
      </c>
      <c r="UE64" s="866"/>
      <c r="UF64" s="866"/>
      <c r="UG64" s="866"/>
      <c r="UH64" s="866"/>
      <c r="UI64" s="866"/>
      <c r="UJ64" s="866"/>
      <c r="UK64" s="681">
        <f t="shared" si="40"/>
        <v>26.209684060575675</v>
      </c>
      <c r="UL64" s="681"/>
      <c r="UM64" s="681"/>
      <c r="UN64" s="681"/>
      <c r="UO64" s="816">
        <f t="shared" si="41"/>
        <v>0.90434113564337193</v>
      </c>
      <c r="UP64" s="816"/>
      <c r="UQ64" s="816"/>
      <c r="UR64" s="816"/>
      <c r="US64" s="866">
        <f t="shared" si="42"/>
        <v>0.88187392939409892</v>
      </c>
      <c r="UT64" s="866"/>
      <c r="UU64" s="866"/>
      <c r="UV64" s="866"/>
      <c r="UW64" s="866"/>
      <c r="VN64" s="144"/>
      <c r="VO64" s="144"/>
      <c r="VP64" s="144"/>
      <c r="VQ64" s="144"/>
      <c r="VR64" s="144"/>
      <c r="VS64" s="144"/>
      <c r="VT64" s="144"/>
      <c r="VU64" s="144"/>
      <c r="VV64" s="144"/>
      <c r="VW64" s="144"/>
      <c r="VX64" s="144"/>
      <c r="VY64" s="144"/>
      <c r="VZ64" s="144"/>
      <c r="WA64" s="144"/>
      <c r="WD64" s="826"/>
      <c r="WE64" s="355" t="s">
        <v>863</v>
      </c>
      <c r="WF64" s="724">
        <f>$CM$32</f>
        <v>3</v>
      </c>
      <c r="WG64" s="724"/>
      <c r="WH64" s="701" t="s">
        <v>176</v>
      </c>
      <c r="WI64" s="701"/>
      <c r="WJ64" s="701"/>
      <c r="WK64" s="701"/>
      <c r="WL64" s="701"/>
      <c r="WM64" s="701"/>
      <c r="WN64" s="701"/>
      <c r="WO64" s="701"/>
      <c r="WP64" s="701"/>
      <c r="WQ64" s="702"/>
      <c r="WR64" s="763">
        <f>WK63/(WF64*(WF65^2))</f>
        <v>0.91823398302505477</v>
      </c>
      <c r="WS64" s="764"/>
      <c r="WT64" s="917" t="s">
        <v>415</v>
      </c>
      <c r="WU64" s="896"/>
      <c r="WV64" s="712"/>
      <c r="WW64" s="952" t="s">
        <v>1324</v>
      </c>
      <c r="WX64" s="953"/>
      <c r="WY64" s="746"/>
      <c r="WZ64" s="890"/>
      <c r="XA64" s="841"/>
      <c r="XB64" s="841"/>
      <c r="XC64" s="891"/>
      <c r="XO64" s="768"/>
      <c r="XP64" s="1153"/>
      <c r="XQ64" s="1154"/>
      <c r="XR64" s="1154"/>
      <c r="XS64" s="1155"/>
      <c r="XT64" s="706"/>
      <c r="XU64" s="707"/>
      <c r="XV64" s="707"/>
      <c r="XW64" s="707"/>
      <c r="XX64" s="707"/>
      <c r="XY64" s="707"/>
      <c r="XZ64" s="707"/>
      <c r="YA64" s="707"/>
      <c r="YB64" s="708"/>
      <c r="YC64" s="1022"/>
      <c r="YD64" s="1023"/>
      <c r="YE64" s="1023"/>
      <c r="YF64" s="1023"/>
      <c r="YG64" s="1023"/>
      <c r="YH64" s="1023"/>
      <c r="YI64" s="1023"/>
      <c r="YJ64" s="1023"/>
      <c r="YK64" s="1023"/>
      <c r="YL64" s="1023"/>
      <c r="YM64" s="1024"/>
      <c r="YN64" s="768"/>
      <c r="YO64" s="768"/>
      <c r="YP64" s="768"/>
      <c r="YQ64" s="768"/>
      <c r="YR64" s="768"/>
      <c r="YS64" s="768"/>
      <c r="YT64" s="768"/>
      <c r="YU64" s="768"/>
      <c r="YV64" s="768"/>
      <c r="YW64" s="768"/>
      <c r="AAD64" s="947"/>
      <c r="AAE64" s="947"/>
      <c r="AAF64" s="947"/>
      <c r="AAG64" s="947"/>
      <c r="AAH64" s="465">
        <v>54</v>
      </c>
      <c r="AAI64" s="956"/>
      <c r="AAJ64" s="957"/>
      <c r="AAK64" s="956"/>
      <c r="AAL64" s="957"/>
      <c r="AAM64" s="958">
        <f t="shared" si="29"/>
        <v>0.72000000000000008</v>
      </c>
      <c r="AAN64" s="959"/>
      <c r="AAP64" s="947"/>
      <c r="AAQ64" s="947"/>
      <c r="AAR64" s="947"/>
      <c r="AAS64" s="947"/>
      <c r="AAT64" s="465">
        <v>114</v>
      </c>
      <c r="AAU64" s="956"/>
      <c r="AAV64" s="957"/>
      <c r="AAW64" s="956"/>
      <c r="AAX64" s="957"/>
      <c r="AAY64" s="958">
        <f t="shared" si="1"/>
        <v>1.52</v>
      </c>
      <c r="AAZ64" s="959"/>
      <c r="ABB64" s="947"/>
      <c r="ABC64" s="947"/>
      <c r="ABD64" s="947"/>
      <c r="ABE64" s="947"/>
      <c r="ABF64" s="465">
        <v>174</v>
      </c>
      <c r="ABG64" s="956"/>
      <c r="ABH64" s="957"/>
      <c r="ABI64" s="956"/>
      <c r="ABJ64" s="957"/>
      <c r="ABK64" s="958">
        <f t="shared" si="2"/>
        <v>2.3200000000000003</v>
      </c>
      <c r="ABL64" s="959"/>
      <c r="ABN64" s="947"/>
      <c r="ABO64" s="947"/>
      <c r="ABP64" s="947"/>
      <c r="ABQ64" s="947"/>
      <c r="ABR64" s="465">
        <v>234</v>
      </c>
      <c r="ABS64" s="956"/>
      <c r="ABT64" s="957"/>
      <c r="ABU64" s="956"/>
      <c r="ABV64" s="957"/>
      <c r="ABW64" s="958">
        <f t="shared" si="3"/>
        <v>3.12</v>
      </c>
      <c r="ABX64" s="959"/>
      <c r="ABZ64" s="947"/>
      <c r="ACA64" s="947"/>
      <c r="ACB64" s="947"/>
      <c r="ACC64" s="947"/>
      <c r="ACD64" s="465">
        <v>294</v>
      </c>
      <c r="ACE64" s="956"/>
      <c r="ACF64" s="957"/>
      <c r="ACG64" s="956"/>
      <c r="ACH64" s="957"/>
      <c r="ACI64" s="958">
        <f t="shared" si="4"/>
        <v>3.9200000000000004</v>
      </c>
      <c r="ACJ64" s="959"/>
      <c r="ADB64" s="1033">
        <v>17</v>
      </c>
      <c r="ADC64" s="1033"/>
      <c r="ADD64" s="863" t="s">
        <v>1607</v>
      </c>
      <c r="ADE64" s="863"/>
      <c r="ADF64" s="863"/>
      <c r="ADG64" s="863"/>
      <c r="ADH64" s="948">
        <f>$YC$125</f>
        <v>39.104916258795605</v>
      </c>
      <c r="ADI64" s="965"/>
      <c r="ADJ64" s="1035" t="s">
        <v>35</v>
      </c>
      <c r="ADK64" s="1036"/>
      <c r="ADL64" s="1033">
        <f>('Вывод расчетов'!$YC$257*(((ADL56^2)+('Вывод расчетов'!$ADL$59+'Вывод расчетов'!$YC$125)^2)^0.5))/('Вывод расчетов'!$YC$269*'Вывод расчетов'!$YC$125)</f>
        <v>333.25129927023687</v>
      </c>
      <c r="ADM64" s="1033"/>
      <c r="ADN64" s="1033">
        <f>('Вывод расчетов'!$YC$257*(((ADN56^2)+('Вывод расчетов'!$ADL$59+'Вывод расчетов'!$YC$125)^2)^0.5))/('Вывод расчетов'!$YC$269*'Вывод расчетов'!$YC$125)</f>
        <v>333.277364931796</v>
      </c>
      <c r="ADO64" s="1033"/>
      <c r="ADP64" s="1033">
        <f>('Вывод расчетов'!$YC$257*(((ADP56^2)+('Вывод расчетов'!$ADL$59+'Вывод расчетов'!$YC$125)^2)^0.5))/('Вывод расчетов'!$YC$269*'Вывод расчетов'!$YC$125)</f>
        <v>333.33340565687342</v>
      </c>
      <c r="ADQ64" s="1033"/>
      <c r="ADR64" s="1033">
        <f>('Вывод расчетов'!$YC$257*(((ADR56^2)+('Вывод расчетов'!$ADL$59+'Вывод расчетов'!$YC$125)^2)^0.5))/('Вывод расчетов'!$YC$269*'Вывод расчетов'!$YC$125)</f>
        <v>333.3895717588012</v>
      </c>
      <c r="ADS64" s="1033"/>
      <c r="ADT64" s="1033">
        <f>('Вывод расчетов'!$YC$257*(((ADT56^2)+('Вывод расчетов'!$ADL$59+'Вывод расчетов'!$YC$125)^2)^0.5))/('Вывод расчетов'!$YC$269*'Вывод расчетов'!$YC$125)</f>
        <v>334.34725306552764</v>
      </c>
      <c r="ADU64" s="1033"/>
      <c r="ADV64" s="1033">
        <f>('Вывод расчетов'!$YC$257*(((ADV56^2)+('Вывод расчетов'!$ADL$59+'Вывод расчетов'!$YC$125)^2)^0.5))/('Вывод расчетов'!$YC$269*'Вывод расчетов'!$YC$125)</f>
        <v>337.73317883358942</v>
      </c>
      <c r="ADW64" s="1033"/>
      <c r="ADX64" s="857"/>
      <c r="ADY64" s="1015"/>
      <c r="ADZ64" s="1015"/>
      <c r="AEA64" s="1015"/>
      <c r="AEB64" s="1015"/>
      <c r="AEC64" s="1015"/>
      <c r="AED64" s="1015"/>
      <c r="AEE64" s="1015"/>
      <c r="AEF64" s="858"/>
      <c r="AEG64" s="172"/>
      <c r="AEH64" s="172"/>
      <c r="AEI64" s="172"/>
      <c r="AEJ64" s="172"/>
      <c r="AEK64" s="177"/>
      <c r="AEP64" s="947"/>
      <c r="AEQ64" s="947"/>
      <c r="AER64" s="947"/>
      <c r="AES64" s="947"/>
      <c r="AET64" s="656">
        <v>20</v>
      </c>
      <c r="AEU64" s="956"/>
      <c r="AEV64" s="957"/>
      <c r="AEW64" s="958">
        <f t="shared" si="35"/>
        <v>0.63333333333333341</v>
      </c>
      <c r="AEX64" s="959"/>
      <c r="AEZ64" s="947"/>
      <c r="AFA64" s="947"/>
      <c r="AFB64" s="947"/>
      <c r="AFC64" s="947"/>
      <c r="AFD64" s="656">
        <v>80</v>
      </c>
      <c r="AFE64" s="956"/>
      <c r="AFF64" s="957"/>
      <c r="AFG64" s="958">
        <f t="shared" si="36"/>
        <v>2.5333333333333337</v>
      </c>
      <c r="AFH64" s="959"/>
      <c r="AFJ64" s="947"/>
      <c r="AFK64" s="947"/>
      <c r="AFL64" s="947"/>
      <c r="AFM64" s="947"/>
      <c r="AFN64" s="656">
        <v>140</v>
      </c>
      <c r="AFO64" s="956"/>
      <c r="AFP64" s="957"/>
      <c r="AFQ64" s="958">
        <f t="shared" si="37"/>
        <v>4.4333333333333336</v>
      </c>
      <c r="AFR64" s="959"/>
      <c r="AFT64" s="947"/>
      <c r="AFU64" s="947"/>
      <c r="AFV64" s="947"/>
      <c r="AFW64" s="947"/>
      <c r="AFX64" s="656">
        <v>200</v>
      </c>
      <c r="AFY64" s="956"/>
      <c r="AFZ64" s="957"/>
      <c r="AGA64" s="958"/>
      <c r="AGB64" s="959"/>
      <c r="AGD64" s="947"/>
      <c r="AGE64" s="947"/>
      <c r="AGF64" s="947"/>
      <c r="AGG64" s="947"/>
      <c r="AGH64" s="657">
        <v>260</v>
      </c>
      <c r="AGI64" s="956"/>
      <c r="AGJ64" s="957"/>
      <c r="AGK64" s="958"/>
      <c r="AGL64" s="959"/>
      <c r="AHO64" s="144"/>
      <c r="AIM64" s="214" t="s">
        <v>899</v>
      </c>
      <c r="AIN64" s="665" t="s">
        <v>442</v>
      </c>
      <c r="AIO64" s="666"/>
      <c r="AIP64" s="216"/>
      <c r="AIQ64" s="87"/>
      <c r="AIR64" s="87"/>
      <c r="AIS64" s="87"/>
      <c r="AIT64" s="87"/>
      <c r="AIU64" s="87"/>
      <c r="AIV64" s="87"/>
      <c r="AIW64" s="216"/>
      <c r="AIX64" s="85" t="s">
        <v>467</v>
      </c>
      <c r="AIY64" s="757" t="s">
        <v>461</v>
      </c>
      <c r="AIZ64" s="758"/>
      <c r="AJA64" s="819" t="s">
        <v>126</v>
      </c>
      <c r="AJB64" s="820"/>
      <c r="AJC64" s="1296" t="s">
        <v>731</v>
      </c>
      <c r="AJD64" s="1296"/>
      <c r="AJE64" s="1296"/>
      <c r="AJF64" s="821" t="s">
        <v>473</v>
      </c>
      <c r="AJG64" s="822"/>
      <c r="AJH64" s="822"/>
      <c r="AJI64" s="823"/>
      <c r="AKF64" s="144"/>
      <c r="AKG64" s="144"/>
      <c r="AKH64" s="144"/>
      <c r="AKI64" s="144"/>
      <c r="AKJ64" s="144"/>
      <c r="AKK64" s="144"/>
      <c r="AKL64" s="144"/>
      <c r="AKM64" s="144"/>
      <c r="AKN64" s="144"/>
      <c r="AKO64" s="144"/>
      <c r="AKP64" s="144"/>
      <c r="AKQ64" s="144"/>
      <c r="AKR64" s="144"/>
      <c r="AKS64" s="144"/>
      <c r="AKT64" s="144"/>
    </row>
    <row r="65" spans="12:982" ht="48" customHeight="1" thickBot="1">
      <c r="L65" s="31"/>
      <c r="BO65" s="144"/>
      <c r="BP65" s="144"/>
      <c r="BQ65" s="144"/>
      <c r="BX65" s="783"/>
      <c r="BY65" s="784"/>
      <c r="BZ65" s="785"/>
      <c r="CA65" s="827"/>
      <c r="CB65" s="734"/>
      <c r="CC65" s="735"/>
      <c r="CD65" s="735"/>
      <c r="CE65" s="735"/>
      <c r="CF65" s="735"/>
      <c r="CG65" s="735"/>
      <c r="CH65" s="735"/>
      <c r="CI65" s="735"/>
      <c r="CJ65" s="735"/>
      <c r="CK65" s="735"/>
      <c r="CL65" s="735"/>
      <c r="CM65" s="735"/>
      <c r="CN65" s="736"/>
      <c r="CO65" s="1589"/>
      <c r="CP65" s="1590"/>
      <c r="CQ65" s="851"/>
      <c r="CR65" s="852"/>
      <c r="CS65" s="713"/>
      <c r="CT65" s="743"/>
      <c r="CU65" s="745"/>
      <c r="CV65" s="747"/>
      <c r="DJ65" s="144"/>
      <c r="DK65" s="144"/>
      <c r="DL65" s="144"/>
      <c r="DM65" s="144"/>
      <c r="DN65" s="144"/>
      <c r="DO65" s="144"/>
      <c r="DT65" s="144"/>
      <c r="DU65" s="144"/>
      <c r="DV65" s="144"/>
      <c r="DW65" s="144"/>
      <c r="DX65" s="144"/>
      <c r="FO65" s="144"/>
      <c r="FP65" s="144"/>
      <c r="FQ65" s="144"/>
      <c r="FR65" s="144"/>
      <c r="FS65" s="144"/>
      <c r="FT65" s="144"/>
      <c r="FU65" s="144"/>
      <c r="FV65" s="144"/>
      <c r="FW65" s="139"/>
      <c r="FX65" s="139"/>
      <c r="GF65" s="795"/>
      <c r="GG65" s="796"/>
      <c r="GH65" s="797"/>
      <c r="GI65" s="767"/>
      <c r="GJ65" s="939" t="s">
        <v>851</v>
      </c>
      <c r="GK65" s="940"/>
      <c r="GL65" s="940"/>
      <c r="GM65" s="940"/>
      <c r="GN65" s="940"/>
      <c r="GO65" s="940"/>
      <c r="GP65" s="940"/>
      <c r="GQ65" s="940"/>
      <c r="GR65" s="940"/>
      <c r="GS65" s="940"/>
      <c r="GT65" s="940"/>
      <c r="GU65" s="940"/>
      <c r="GV65" s="1003"/>
      <c r="GW65" s="1441">
        <f>8*10^6</f>
        <v>8000000</v>
      </c>
      <c r="GX65" s="1442"/>
      <c r="GY65" s="759" t="s">
        <v>792</v>
      </c>
      <c r="GZ65" s="760"/>
      <c r="HA65" s="714"/>
      <c r="HB65" s="952" t="s">
        <v>1198</v>
      </c>
      <c r="HC65" s="953"/>
      <c r="HD65" s="746"/>
      <c r="HE65" s="937"/>
      <c r="HF65" s="941"/>
      <c r="HG65" s="942"/>
      <c r="HH65" s="942"/>
      <c r="HI65" s="942"/>
      <c r="HJ65" s="1238"/>
      <c r="HL65" s="1674"/>
      <c r="HM65" s="727"/>
      <c r="HN65" s="727"/>
      <c r="HO65" s="727"/>
      <c r="HP65" s="727"/>
      <c r="HQ65" s="727"/>
      <c r="HR65" s="727"/>
      <c r="HS65" s="727"/>
      <c r="HT65" s="144"/>
      <c r="HU65" s="144"/>
      <c r="HV65" s="144"/>
      <c r="HW65" s="144"/>
      <c r="HX65" s="144"/>
      <c r="HY65" s="144"/>
      <c r="HZ65" s="144"/>
      <c r="IA65" s="144"/>
      <c r="IB65" s="144"/>
      <c r="IC65" s="144"/>
      <c r="ID65" s="144"/>
      <c r="IE65" s="144"/>
      <c r="IF65" s="144"/>
      <c r="IG65" s="144"/>
      <c r="IH65" s="144"/>
      <c r="II65" s="144"/>
      <c r="IJ65" s="144"/>
      <c r="IK65" s="144"/>
      <c r="IR65" s="85" t="s">
        <v>839</v>
      </c>
      <c r="IS65" s="665" t="s">
        <v>442</v>
      </c>
      <c r="IT65" s="667"/>
      <c r="IU65" s="254"/>
      <c r="IV65" s="87"/>
      <c r="IW65" s="87"/>
      <c r="IX65" s="87"/>
      <c r="IY65" s="87"/>
      <c r="IZ65" s="87"/>
      <c r="JA65" s="87"/>
      <c r="JB65" s="156"/>
      <c r="JC65" s="85" t="s">
        <v>467</v>
      </c>
      <c r="JD65" s="757" t="s">
        <v>461</v>
      </c>
      <c r="JE65" s="758"/>
      <c r="JF65" s="819" t="s">
        <v>126</v>
      </c>
      <c r="JG65" s="820"/>
      <c r="JH65" s="675" t="s">
        <v>731</v>
      </c>
      <c r="JI65" s="676"/>
      <c r="JJ65" s="821" t="s">
        <v>473</v>
      </c>
      <c r="JK65" s="822"/>
      <c r="JL65" s="822"/>
      <c r="JM65" s="823"/>
      <c r="JN65" s="821" t="s">
        <v>462</v>
      </c>
      <c r="JO65" s="822"/>
      <c r="JP65" s="822"/>
      <c r="JQ65" s="822"/>
      <c r="JR65" s="822"/>
      <c r="JS65" s="822"/>
      <c r="JT65" s="823"/>
      <c r="LB65" s="144"/>
      <c r="LC65" s="144"/>
      <c r="LD65" s="144"/>
      <c r="LE65" s="144"/>
      <c r="LF65" s="144"/>
      <c r="LG65" s="144"/>
      <c r="LH65" s="144"/>
      <c r="LI65" s="144"/>
      <c r="LJ65" s="144"/>
      <c r="LK65" s="144"/>
      <c r="LL65" s="144"/>
      <c r="LM65" s="144"/>
      <c r="LN65" s="144"/>
      <c r="LO65" s="144"/>
      <c r="LP65" s="144"/>
      <c r="LQ65" s="144"/>
      <c r="LR65" s="144"/>
      <c r="LS65" s="144"/>
      <c r="LT65" s="144"/>
      <c r="LU65" s="144"/>
      <c r="LZ65" s="795"/>
      <c r="MA65" s="796"/>
      <c r="MB65" s="797"/>
      <c r="MC65" s="826"/>
      <c r="MD65" s="939" t="s">
        <v>1356</v>
      </c>
      <c r="ME65" s="701"/>
      <c r="MF65" s="701"/>
      <c r="MG65" s="701"/>
      <c r="MH65" s="701"/>
      <c r="MI65" s="701"/>
      <c r="MJ65" s="701"/>
      <c r="MK65" s="701"/>
      <c r="ML65" s="701"/>
      <c r="MM65" s="701"/>
      <c r="MN65" s="701"/>
      <c r="MO65" s="701"/>
      <c r="MP65" s="701"/>
      <c r="MQ65" s="1262">
        <f>ML63</f>
        <v>4.6511627906976744E-8</v>
      </c>
      <c r="MR65" s="1263"/>
      <c r="MS65" s="1264"/>
      <c r="MT65" s="895" t="s">
        <v>1343</v>
      </c>
      <c r="MU65" s="896"/>
      <c r="MV65" s="712"/>
      <c r="MW65" s="952" t="s">
        <v>1358</v>
      </c>
      <c r="MX65" s="953"/>
      <c r="MY65" s="746"/>
      <c r="NB65" s="937"/>
      <c r="NC65" s="941"/>
      <c r="ND65" s="942"/>
      <c r="NE65" s="942"/>
      <c r="NF65" s="942"/>
      <c r="NG65" s="1238"/>
      <c r="NI65" s="1620"/>
      <c r="NJ65" s="1621"/>
      <c r="NK65" s="1621"/>
      <c r="NL65" s="1621"/>
      <c r="NM65" s="1621"/>
      <c r="NN65" s="1621"/>
      <c r="NO65" s="1621"/>
      <c r="NP65" s="1621"/>
      <c r="NQ65" s="1621"/>
      <c r="NR65" s="1621"/>
      <c r="NS65" s="1621"/>
      <c r="NT65" s="1621"/>
      <c r="NU65" s="1621"/>
      <c r="NV65" s="1621"/>
      <c r="NW65" s="1621"/>
      <c r="NX65" s="1621"/>
      <c r="NY65" s="1621"/>
      <c r="NZ65" s="1621"/>
      <c r="OA65" s="1621"/>
      <c r="OB65" s="1621"/>
      <c r="OC65" s="1621"/>
      <c r="OD65" s="1622"/>
      <c r="OQ65" s="144"/>
      <c r="OR65" s="144"/>
      <c r="OS65" s="144"/>
      <c r="OT65" s="144"/>
      <c r="OU65" s="144"/>
      <c r="OV65" s="144"/>
      <c r="OW65" s="144"/>
      <c r="OX65" s="144"/>
      <c r="OY65" s="144"/>
      <c r="OZ65" s="144"/>
      <c r="PA65" s="144"/>
      <c r="PB65" s="144"/>
      <c r="PC65" s="144"/>
      <c r="PD65" s="144"/>
      <c r="PE65" s="144"/>
      <c r="PF65" s="144"/>
      <c r="PG65" s="144"/>
      <c r="PJ65" s="795"/>
      <c r="PK65" s="796"/>
      <c r="PL65" s="797"/>
      <c r="PM65" s="826"/>
      <c r="PN65" s="700" t="s">
        <v>1671</v>
      </c>
      <c r="PO65" s="701"/>
      <c r="PP65" s="701"/>
      <c r="PQ65" s="701"/>
      <c r="PR65" s="701"/>
      <c r="PS65" s="701"/>
      <c r="PT65" s="701"/>
      <c r="PU65" s="701"/>
      <c r="PV65" s="701"/>
      <c r="PW65" s="701"/>
      <c r="PX65" s="701"/>
      <c r="PY65" s="701"/>
      <c r="PZ65" s="702"/>
      <c r="QA65" s="974">
        <v>0.97</v>
      </c>
      <c r="QB65" s="975"/>
      <c r="QC65" s="849" t="s">
        <v>762</v>
      </c>
      <c r="QD65" s="850"/>
      <c r="QE65" s="714"/>
      <c r="QF65" s="716" t="s">
        <v>1672</v>
      </c>
      <c r="QG65" s="717"/>
      <c r="QH65" s="746"/>
      <c r="QP65" s="144"/>
      <c r="QQ65" s="144"/>
      <c r="QR65" s="144"/>
      <c r="QS65" s="144"/>
      <c r="RC65" s="369">
        <v>47</v>
      </c>
      <c r="RD65" s="668">
        <v>4.7E-2</v>
      </c>
      <c r="RE65" s="669"/>
      <c r="RF65" s="670">
        <f t="shared" si="30"/>
        <v>14.490036801080755</v>
      </c>
      <c r="RG65" s="670"/>
      <c r="RH65" s="670"/>
      <c r="RI65" s="670"/>
      <c r="RJ65" s="698">
        <f t="shared" si="12"/>
        <v>30</v>
      </c>
      <c r="RK65" s="699"/>
      <c r="RL65" s="726"/>
      <c r="RM65" s="670">
        <f t="shared" si="13"/>
        <v>14.678537971297201</v>
      </c>
      <c r="RN65" s="670"/>
      <c r="RO65" s="670"/>
      <c r="RP65" s="670"/>
      <c r="RQ65" s="670"/>
      <c r="RR65" s="670"/>
      <c r="RS65" s="671">
        <f t="shared" si="38"/>
        <v>1.560804663639157</v>
      </c>
      <c r="RT65" s="671"/>
      <c r="RU65" s="671"/>
      <c r="RV65" s="671"/>
      <c r="RW65" s="671"/>
      <c r="RX65" s="671"/>
      <c r="RY65" s="681">
        <f t="shared" si="14"/>
        <v>14.761286806130808</v>
      </c>
      <c r="RZ65" s="681"/>
      <c r="SA65" s="681"/>
      <c r="SB65" s="681"/>
      <c r="SC65" s="681">
        <f>'Вывод расчетов'!$AQ$6/RY65</f>
        <v>25.743013125534187</v>
      </c>
      <c r="SD65" s="681"/>
      <c r="SE65" s="681"/>
      <c r="SF65" s="681"/>
      <c r="SG65" s="867">
        <f t="shared" si="31"/>
        <v>0.9943941991019889</v>
      </c>
      <c r="SH65" s="867"/>
      <c r="SI65" s="867"/>
      <c r="SJ65" s="867"/>
      <c r="SK65" s="865">
        <f t="shared" si="16"/>
        <v>0.10573635511173103</v>
      </c>
      <c r="SL65" s="865"/>
      <c r="SM65" s="865"/>
      <c r="SN65" s="865"/>
      <c r="SO65" s="692">
        <f t="shared" si="26"/>
        <v>25.949025360568807</v>
      </c>
      <c r="SP65" s="693"/>
      <c r="SQ65" s="693"/>
      <c r="SR65" s="693"/>
      <c r="SS65" s="694"/>
      <c r="ST65" s="668">
        <f t="shared" si="24"/>
        <v>13.704049139483431</v>
      </c>
      <c r="SU65" s="678"/>
      <c r="SV65" s="678"/>
      <c r="SW65" s="678"/>
      <c r="SX65" s="678"/>
      <c r="SY65" s="669"/>
      <c r="SZ65" s="682">
        <f t="shared" si="19"/>
        <v>29.3454064545172</v>
      </c>
      <c r="TA65" s="683"/>
      <c r="TB65" s="683"/>
      <c r="TC65" s="683"/>
      <c r="TD65" s="683"/>
      <c r="TE65" s="684"/>
      <c r="TF65" s="682">
        <f>'Вывод расчетов'!$XC$174*SC65</f>
        <v>26.152986524627149</v>
      </c>
      <c r="TG65" s="683"/>
      <c r="TH65" s="684"/>
      <c r="TI65" s="681">
        <f t="shared" si="58"/>
        <v>29.581888911048441</v>
      </c>
      <c r="TJ65" s="681"/>
      <c r="TK65" s="681"/>
      <c r="TL65" s="681"/>
      <c r="TM65" s="685">
        <f t="shared" si="21"/>
        <v>0.47935101556354753</v>
      </c>
      <c r="TN65" s="686"/>
      <c r="TO65" s="686"/>
      <c r="TP65" s="687"/>
      <c r="TQ65" s="688">
        <f t="shared" si="22"/>
        <v>1.3539647487065678</v>
      </c>
      <c r="TR65" s="688"/>
      <c r="TS65" s="688"/>
      <c r="TT65" s="688"/>
      <c r="TU65" s="689">
        <f t="shared" si="27"/>
        <v>0.13597724536300346</v>
      </c>
      <c r="TV65" s="690"/>
      <c r="TW65" s="690"/>
      <c r="TX65" s="690"/>
      <c r="TY65" s="690"/>
      <c r="TZ65" s="691"/>
      <c r="UA65" s="679">
        <v>4.7E-2</v>
      </c>
      <c r="UB65" s="680"/>
      <c r="UC65" s="650">
        <v>0.47</v>
      </c>
      <c r="UD65" s="866">
        <f t="shared" si="39"/>
        <v>2.8495798254605322</v>
      </c>
      <c r="UE65" s="866"/>
      <c r="UF65" s="866"/>
      <c r="UG65" s="866"/>
      <c r="UH65" s="866"/>
      <c r="UI65" s="866"/>
      <c r="UJ65" s="866"/>
      <c r="UK65" s="681">
        <f t="shared" si="40"/>
        <v>26.732309085587907</v>
      </c>
      <c r="UL65" s="681"/>
      <c r="UM65" s="681"/>
      <c r="UN65" s="681"/>
      <c r="UO65" s="816">
        <f t="shared" si="41"/>
        <v>0.90367147162139971</v>
      </c>
      <c r="UP65" s="816"/>
      <c r="UQ65" s="816"/>
      <c r="UR65" s="816"/>
      <c r="US65" s="866">
        <f t="shared" si="42"/>
        <v>0.88426191679394583</v>
      </c>
      <c r="UT65" s="866"/>
      <c r="UU65" s="866"/>
      <c r="UV65" s="866"/>
      <c r="UW65" s="866"/>
      <c r="VN65" s="144"/>
      <c r="VO65" s="144"/>
      <c r="VP65" s="144"/>
      <c r="VQ65" s="144"/>
      <c r="VR65" s="144"/>
      <c r="VS65" s="144"/>
      <c r="VT65" s="144"/>
      <c r="VU65" s="144"/>
      <c r="VV65" s="144"/>
      <c r="VW65" s="144"/>
      <c r="VX65" s="144"/>
      <c r="VY65" s="144"/>
      <c r="VZ65" s="144"/>
      <c r="WA65" s="144"/>
      <c r="WD65" s="827"/>
      <c r="WE65" s="550" t="s">
        <v>1301</v>
      </c>
      <c r="WF65" s="672">
        <f>$JF$159</f>
        <v>10.982076761995994</v>
      </c>
      <c r="WG65" s="672"/>
      <c r="WH65" s="707"/>
      <c r="WI65" s="707"/>
      <c r="WJ65" s="707"/>
      <c r="WK65" s="707"/>
      <c r="WL65" s="707"/>
      <c r="WM65" s="707"/>
      <c r="WN65" s="707"/>
      <c r="WO65" s="707"/>
      <c r="WP65" s="707"/>
      <c r="WQ65" s="708"/>
      <c r="WR65" s="765"/>
      <c r="WS65" s="766"/>
      <c r="WT65" s="918"/>
      <c r="WU65" s="898"/>
      <c r="WV65" s="713"/>
      <c r="WW65" s="954"/>
      <c r="WX65" s="955"/>
      <c r="WY65" s="747"/>
      <c r="WZ65" s="892"/>
      <c r="XA65" s="893"/>
      <c r="XB65" s="893"/>
      <c r="XC65" s="894"/>
      <c r="AAD65" s="947"/>
      <c r="AAE65" s="947"/>
      <c r="AAF65" s="947"/>
      <c r="AAG65" s="947"/>
      <c r="AAH65" s="465">
        <v>55</v>
      </c>
      <c r="AAI65" s="956"/>
      <c r="AAJ65" s="957"/>
      <c r="AAK65" s="956"/>
      <c r="AAL65" s="957"/>
      <c r="AAM65" s="958">
        <f t="shared" si="29"/>
        <v>0.73333333333333339</v>
      </c>
      <c r="AAN65" s="959"/>
      <c r="AAP65" s="947"/>
      <c r="AAQ65" s="947"/>
      <c r="AAR65" s="947"/>
      <c r="AAS65" s="947"/>
      <c r="AAT65" s="465">
        <v>115</v>
      </c>
      <c r="AAU65" s="956"/>
      <c r="AAV65" s="957"/>
      <c r="AAW65" s="956"/>
      <c r="AAX65" s="957"/>
      <c r="AAY65" s="958">
        <f t="shared" si="1"/>
        <v>1.5333333333333334</v>
      </c>
      <c r="AAZ65" s="959"/>
      <c r="ABB65" s="947"/>
      <c r="ABC65" s="947"/>
      <c r="ABD65" s="947"/>
      <c r="ABE65" s="947"/>
      <c r="ABF65" s="465">
        <v>175</v>
      </c>
      <c r="ABG65" s="956"/>
      <c r="ABH65" s="957"/>
      <c r="ABI65" s="956"/>
      <c r="ABJ65" s="957"/>
      <c r="ABK65" s="958">
        <f t="shared" si="2"/>
        <v>2.3333333333333335</v>
      </c>
      <c r="ABL65" s="959"/>
      <c r="ABN65" s="947"/>
      <c r="ABO65" s="947"/>
      <c r="ABP65" s="947"/>
      <c r="ABQ65" s="947"/>
      <c r="ABR65" s="465">
        <v>235</v>
      </c>
      <c r="ABS65" s="956"/>
      <c r="ABT65" s="957"/>
      <c r="ABU65" s="956"/>
      <c r="ABV65" s="957"/>
      <c r="ABW65" s="958">
        <f t="shared" si="3"/>
        <v>3.1333333333333337</v>
      </c>
      <c r="ABX65" s="959"/>
      <c r="ABZ65" s="947"/>
      <c r="ACA65" s="947"/>
      <c r="ACB65" s="947"/>
      <c r="ACC65" s="947"/>
      <c r="ACD65" s="465">
        <v>295</v>
      </c>
      <c r="ACE65" s="956"/>
      <c r="ACF65" s="957"/>
      <c r="ACG65" s="956"/>
      <c r="ACH65" s="957"/>
      <c r="ACI65" s="958">
        <f t="shared" si="4"/>
        <v>3.9333333333333336</v>
      </c>
      <c r="ACJ65" s="959"/>
      <c r="ADB65" s="1033"/>
      <c r="ADC65" s="1033"/>
      <c r="ADD65" s="187"/>
      <c r="ADE65" s="187"/>
      <c r="ADF65" s="187"/>
      <c r="ADG65" s="187"/>
      <c r="ADH65" s="187"/>
      <c r="ADI65" s="188"/>
      <c r="ADJ65" s="1037"/>
      <c r="ADK65" s="1038"/>
      <c r="ADL65" s="1033"/>
      <c r="ADM65" s="1033"/>
      <c r="ADN65" s="1033"/>
      <c r="ADO65" s="1033"/>
      <c r="ADP65" s="1033"/>
      <c r="ADQ65" s="1033"/>
      <c r="ADR65" s="1033"/>
      <c r="ADS65" s="1033"/>
      <c r="ADT65" s="1033"/>
      <c r="ADU65" s="1033"/>
      <c r="ADV65" s="1033"/>
      <c r="ADW65" s="1033"/>
      <c r="ADX65" s="859"/>
      <c r="ADY65" s="1016"/>
      <c r="ADZ65" s="1016"/>
      <c r="AEA65" s="1016"/>
      <c r="AEB65" s="1016"/>
      <c r="AEC65" s="1016"/>
      <c r="AED65" s="1016"/>
      <c r="AEE65" s="1016"/>
      <c r="AEF65" s="860"/>
      <c r="AEG65" s="172"/>
      <c r="AEH65" s="172"/>
      <c r="AEI65" s="172"/>
      <c r="AEJ65" s="172"/>
      <c r="AEK65" s="177"/>
      <c r="AEP65" s="947"/>
      <c r="AEQ65" s="947"/>
      <c r="AER65" s="947"/>
      <c r="AES65" s="947"/>
      <c r="AET65" s="656">
        <v>21</v>
      </c>
      <c r="AEU65" s="956"/>
      <c r="AEV65" s="957"/>
      <c r="AEW65" s="958">
        <f t="shared" si="35"/>
        <v>0.66500000000000004</v>
      </c>
      <c r="AEX65" s="959"/>
      <c r="AEZ65" s="947"/>
      <c r="AFA65" s="947"/>
      <c r="AFB65" s="947"/>
      <c r="AFC65" s="947"/>
      <c r="AFD65" s="656">
        <v>81</v>
      </c>
      <c r="AFE65" s="956"/>
      <c r="AFF65" s="957"/>
      <c r="AFG65" s="958">
        <f t="shared" si="36"/>
        <v>2.5650000000000004</v>
      </c>
      <c r="AFH65" s="959"/>
      <c r="AFJ65" s="947"/>
      <c r="AFK65" s="947"/>
      <c r="AFL65" s="947"/>
      <c r="AFM65" s="947"/>
      <c r="AFN65" s="656">
        <v>141</v>
      </c>
      <c r="AFO65" s="956"/>
      <c r="AFP65" s="957"/>
      <c r="AFQ65" s="958">
        <f t="shared" si="37"/>
        <v>4.4650000000000007</v>
      </c>
      <c r="AFR65" s="959"/>
      <c r="AFT65" s="947"/>
      <c r="AFU65" s="947"/>
      <c r="AFV65" s="947"/>
      <c r="AFW65" s="947"/>
      <c r="AFX65" s="656">
        <v>201</v>
      </c>
      <c r="AFY65" s="956"/>
      <c r="AFZ65" s="957"/>
      <c r="AGA65" s="958"/>
      <c r="AGB65" s="959"/>
      <c r="AGD65" s="947"/>
      <c r="AGE65" s="947"/>
      <c r="AGF65" s="947"/>
      <c r="AGG65" s="947"/>
      <c r="AGH65" s="657">
        <v>261</v>
      </c>
      <c r="AGI65" s="956"/>
      <c r="AGJ65" s="957"/>
      <c r="AGK65" s="958"/>
      <c r="AGL65" s="959"/>
      <c r="AHO65" s="144"/>
      <c r="AIM65" s="825"/>
      <c r="AIN65" s="727" t="s">
        <v>998</v>
      </c>
      <c r="AIO65" s="816"/>
      <c r="AIP65" s="816"/>
      <c r="AIQ65" s="816"/>
      <c r="AIR65" s="816"/>
      <c r="AIS65" s="816"/>
      <c r="AIT65" s="816"/>
      <c r="AIU65" s="816"/>
      <c r="AIV65" s="816"/>
      <c r="AIW65" s="816"/>
      <c r="AIX65" s="816"/>
      <c r="AIY65" s="816"/>
      <c r="AIZ65" s="816"/>
      <c r="AJA65" s="752">
        <v>0.16</v>
      </c>
      <c r="AJB65" s="753"/>
      <c r="AJC65" s="1327" t="s">
        <v>1006</v>
      </c>
      <c r="AJD65" s="1328"/>
      <c r="AJE65" s="1123"/>
      <c r="AJF65" s="712"/>
      <c r="AJG65" s="740" t="s">
        <v>978</v>
      </c>
      <c r="AJH65" s="742"/>
      <c r="AJI65" s="746"/>
      <c r="AJL65" s="144"/>
      <c r="AJM65" s="144"/>
      <c r="AJN65" s="144"/>
      <c r="AJO65" s="144"/>
      <c r="AJP65" s="144"/>
      <c r="AJQ65" s="144"/>
      <c r="AJR65" s="144"/>
      <c r="AJU65" s="144"/>
      <c r="AJV65" s="144"/>
      <c r="AJW65" s="144"/>
      <c r="AJX65" s="144"/>
      <c r="AJY65" s="144"/>
      <c r="AJZ65" s="144"/>
      <c r="AKA65" s="144"/>
      <c r="AKB65" s="144"/>
      <c r="AKC65" s="144"/>
      <c r="AKD65" s="144"/>
      <c r="AKE65" s="144"/>
      <c r="AKF65" s="144"/>
      <c r="AKG65" s="144"/>
      <c r="AKH65" s="144"/>
      <c r="AKI65" s="144"/>
      <c r="AKJ65" s="144"/>
      <c r="AKK65" s="144"/>
      <c r="AKL65" s="144"/>
      <c r="AKM65" s="144"/>
      <c r="AKN65" s="144"/>
      <c r="AKO65" s="144"/>
      <c r="AKP65" s="144"/>
      <c r="AKQ65" s="144"/>
      <c r="AKR65" s="144"/>
      <c r="AKS65" s="144"/>
      <c r="AKT65" s="144"/>
    </row>
    <row r="66" spans="12:982" ht="48" customHeight="1" thickBot="1">
      <c r="L66" s="31"/>
      <c r="BN66" s="144"/>
      <c r="BR66" s="144"/>
      <c r="BS66" s="144"/>
      <c r="BT66" s="144"/>
      <c r="DJ66" s="144"/>
      <c r="DK66" s="144"/>
      <c r="DL66" s="144"/>
      <c r="DM66" s="144"/>
      <c r="DN66" s="144"/>
      <c r="DO66" s="144"/>
      <c r="DP66" s="144"/>
      <c r="DQ66" s="144"/>
      <c r="DR66" s="144"/>
      <c r="DS66" s="144"/>
      <c r="DT66" s="144"/>
      <c r="DU66" s="144"/>
      <c r="DV66" s="144"/>
      <c r="DW66" s="144"/>
      <c r="DX66" s="144"/>
      <c r="DZ66" s="777" t="s">
        <v>752</v>
      </c>
      <c r="EA66" s="778"/>
      <c r="EB66" s="779"/>
      <c r="EC66" s="85" t="s">
        <v>839</v>
      </c>
      <c r="ED66" s="665" t="s">
        <v>442</v>
      </c>
      <c r="EE66" s="666"/>
      <c r="EF66" s="234"/>
      <c r="EG66" s="87"/>
      <c r="EH66" s="87"/>
      <c r="EI66" s="87"/>
      <c r="EJ66" s="87"/>
      <c r="EK66" s="87"/>
      <c r="EL66" s="87"/>
      <c r="EM66" s="234"/>
      <c r="EN66" s="85" t="s">
        <v>467</v>
      </c>
      <c r="EO66" s="757" t="s">
        <v>461</v>
      </c>
      <c r="EP66" s="899"/>
      <c r="EQ66" s="1130" t="s">
        <v>126</v>
      </c>
      <c r="ER66" s="1131"/>
      <c r="ES66" s="675" t="s">
        <v>731</v>
      </c>
      <c r="ET66" s="676"/>
      <c r="EU66" s="821" t="s">
        <v>473</v>
      </c>
      <c r="EV66" s="822"/>
      <c r="EW66" s="822"/>
      <c r="EX66" s="822"/>
      <c r="EY66" s="823"/>
      <c r="FO66" s="139"/>
      <c r="FP66" s="139"/>
      <c r="FQ66" s="139"/>
      <c r="FR66" s="139"/>
      <c r="FS66" s="139"/>
      <c r="FT66" s="139"/>
      <c r="FU66" s="139"/>
      <c r="FV66" s="139"/>
      <c r="FW66" s="139"/>
      <c r="FX66" s="139"/>
      <c r="GF66" s="798"/>
      <c r="GG66" s="799"/>
      <c r="GH66" s="800"/>
      <c r="GI66" s="768"/>
      <c r="GJ66" s="943"/>
      <c r="GK66" s="944"/>
      <c r="GL66" s="944"/>
      <c r="GM66" s="944"/>
      <c r="GN66" s="944"/>
      <c r="GO66" s="944"/>
      <c r="GP66" s="944"/>
      <c r="GQ66" s="944"/>
      <c r="GR66" s="944"/>
      <c r="GS66" s="944"/>
      <c r="GT66" s="944"/>
      <c r="GU66" s="944"/>
      <c r="GV66" s="1004"/>
      <c r="GW66" s="1443"/>
      <c r="GX66" s="1444"/>
      <c r="GY66" s="761"/>
      <c r="GZ66" s="762"/>
      <c r="HA66" s="715"/>
      <c r="HB66" s="954"/>
      <c r="HC66" s="955"/>
      <c r="HD66" s="747"/>
      <c r="HE66" s="938"/>
      <c r="HF66" s="967"/>
      <c r="HG66" s="968"/>
      <c r="HH66" s="968"/>
      <c r="HI66" s="968"/>
      <c r="HJ66" s="969"/>
      <c r="HL66" s="1674"/>
      <c r="HM66" s="727"/>
      <c r="HN66" s="727"/>
      <c r="HO66" s="727"/>
      <c r="HP66" s="727"/>
      <c r="HQ66" s="727"/>
      <c r="HR66" s="727"/>
      <c r="HS66" s="727"/>
      <c r="HT66" s="144"/>
      <c r="HU66" s="144"/>
      <c r="HV66" s="144"/>
      <c r="HW66" s="144"/>
      <c r="HX66" s="144"/>
      <c r="HY66" s="144"/>
      <c r="HZ66" s="144"/>
      <c r="IA66" s="144"/>
      <c r="IB66" s="144"/>
      <c r="IC66" s="144"/>
      <c r="ID66" s="144"/>
      <c r="IE66" s="144"/>
      <c r="IF66" s="144"/>
      <c r="IG66" s="144"/>
      <c r="IH66" s="144"/>
      <c r="II66" s="144"/>
      <c r="IJ66" s="144"/>
      <c r="IK66" s="144"/>
      <c r="IR66" s="825"/>
      <c r="IS66" s="696" t="s">
        <v>1584</v>
      </c>
      <c r="IT66" s="720"/>
      <c r="IU66" s="1074">
        <f>$GT$101</f>
        <v>10.65</v>
      </c>
      <c r="IV66" s="1074"/>
      <c r="IW66" s="940" t="s">
        <v>1303</v>
      </c>
      <c r="IX66" s="940"/>
      <c r="IY66" s="940"/>
      <c r="IZ66" s="940"/>
      <c r="JA66" s="940"/>
      <c r="JB66" s="940"/>
      <c r="JC66" s="940"/>
      <c r="JD66" s="940"/>
      <c r="JE66" s="1003"/>
      <c r="JF66" s="763">
        <f>IU66-0.1*IU67</f>
        <v>10.220000000000001</v>
      </c>
      <c r="JG66" s="764"/>
      <c r="JH66" s="759" t="s">
        <v>50</v>
      </c>
      <c r="JI66" s="760"/>
      <c r="JJ66" s="712"/>
      <c r="JK66" s="952" t="s">
        <v>1705</v>
      </c>
      <c r="JL66" s="953"/>
      <c r="JM66" s="746"/>
      <c r="JN66" s="890"/>
      <c r="JO66" s="841"/>
      <c r="JP66" s="841"/>
      <c r="JQ66" s="841"/>
      <c r="JR66" s="841"/>
      <c r="JS66" s="841"/>
      <c r="JT66" s="891"/>
      <c r="LB66" s="144"/>
      <c r="LC66" s="144"/>
      <c r="LD66" s="144"/>
      <c r="LE66" s="144"/>
      <c r="LF66" s="144"/>
      <c r="LG66" s="144"/>
      <c r="LH66" s="144"/>
      <c r="LI66" s="144"/>
      <c r="LJ66" s="144"/>
      <c r="LK66" s="144"/>
      <c r="LL66" s="144"/>
      <c r="LM66" s="144"/>
      <c r="LN66" s="144"/>
      <c r="LO66" s="144"/>
      <c r="LP66" s="144"/>
      <c r="LQ66" s="144"/>
      <c r="LR66" s="144"/>
      <c r="LS66" s="144"/>
      <c r="LT66" s="144"/>
      <c r="LU66" s="144"/>
      <c r="LZ66" s="798"/>
      <c r="MA66" s="799"/>
      <c r="MB66" s="800"/>
      <c r="MC66" s="827"/>
      <c r="MD66" s="706"/>
      <c r="ME66" s="707"/>
      <c r="MF66" s="707"/>
      <c r="MG66" s="707"/>
      <c r="MH66" s="707"/>
      <c r="MI66" s="707"/>
      <c r="MJ66" s="707"/>
      <c r="MK66" s="707"/>
      <c r="ML66" s="707"/>
      <c r="MM66" s="707"/>
      <c r="MN66" s="707"/>
      <c r="MO66" s="707"/>
      <c r="MP66" s="707"/>
      <c r="MQ66" s="1265"/>
      <c r="MR66" s="1266"/>
      <c r="MS66" s="1267"/>
      <c r="MT66" s="897"/>
      <c r="MU66" s="898"/>
      <c r="MV66" s="713"/>
      <c r="MW66" s="954"/>
      <c r="MX66" s="955"/>
      <c r="MY66" s="747"/>
      <c r="NB66" s="938"/>
      <c r="NC66" s="967"/>
      <c r="ND66" s="968"/>
      <c r="NE66" s="968"/>
      <c r="NF66" s="968"/>
      <c r="NG66" s="969"/>
      <c r="NI66" s="1620"/>
      <c r="NJ66" s="1621"/>
      <c r="NK66" s="1621"/>
      <c r="NL66" s="1621"/>
      <c r="NM66" s="1621"/>
      <c r="NN66" s="1621"/>
      <c r="NO66" s="1621"/>
      <c r="NP66" s="1621"/>
      <c r="NQ66" s="1621"/>
      <c r="NR66" s="1621"/>
      <c r="NS66" s="1621"/>
      <c r="NT66" s="1621"/>
      <c r="NU66" s="1621"/>
      <c r="NV66" s="1621"/>
      <c r="NW66" s="1621"/>
      <c r="NX66" s="1621"/>
      <c r="NY66" s="1621"/>
      <c r="NZ66" s="1621"/>
      <c r="OA66" s="1621"/>
      <c r="OB66" s="1621"/>
      <c r="OC66" s="1621"/>
      <c r="OD66" s="1622"/>
      <c r="OQ66" s="144"/>
      <c r="OR66" s="144"/>
      <c r="OS66" s="144"/>
      <c r="OT66" s="144"/>
      <c r="OU66" s="144"/>
      <c r="OV66" s="144"/>
      <c r="OW66" s="144"/>
      <c r="OX66" s="144"/>
      <c r="OY66" s="144"/>
      <c r="OZ66" s="144"/>
      <c r="PA66" s="144"/>
      <c r="PB66" s="144"/>
      <c r="PC66" s="144"/>
      <c r="PD66" s="144"/>
      <c r="PE66" s="144"/>
      <c r="PF66" s="144"/>
      <c r="PG66" s="144"/>
      <c r="PJ66" s="798"/>
      <c r="PK66" s="799"/>
      <c r="PL66" s="800"/>
      <c r="PM66" s="827"/>
      <c r="PN66" s="706"/>
      <c r="PO66" s="707"/>
      <c r="PP66" s="707"/>
      <c r="PQ66" s="707"/>
      <c r="PR66" s="707"/>
      <c r="PS66" s="707"/>
      <c r="PT66" s="707"/>
      <c r="PU66" s="707"/>
      <c r="PV66" s="707"/>
      <c r="PW66" s="707"/>
      <c r="PX66" s="707"/>
      <c r="PY66" s="707"/>
      <c r="PZ66" s="708"/>
      <c r="QA66" s="976"/>
      <c r="QB66" s="977"/>
      <c r="QC66" s="851"/>
      <c r="QD66" s="852"/>
      <c r="QE66" s="715"/>
      <c r="QF66" s="718"/>
      <c r="QG66" s="719"/>
      <c r="QH66" s="747"/>
      <c r="QP66" s="144"/>
      <c r="QQ66" s="144"/>
      <c r="QR66" s="144"/>
      <c r="QS66" s="144"/>
      <c r="RC66" s="369">
        <v>48</v>
      </c>
      <c r="RD66" s="668">
        <v>4.8000000000000001E-2</v>
      </c>
      <c r="RE66" s="669"/>
      <c r="RF66" s="670">
        <f t="shared" si="30"/>
        <v>14.188161034391573</v>
      </c>
      <c r="RG66" s="670"/>
      <c r="RH66" s="670"/>
      <c r="RI66" s="670"/>
      <c r="RJ66" s="698">
        <f t="shared" si="12"/>
        <v>30</v>
      </c>
      <c r="RK66" s="699"/>
      <c r="RL66" s="726"/>
      <c r="RM66" s="670">
        <f t="shared" si="13"/>
        <v>14.376662204608019</v>
      </c>
      <c r="RN66" s="670"/>
      <c r="RO66" s="670"/>
      <c r="RP66" s="670"/>
      <c r="RQ66" s="670"/>
      <c r="RR66" s="670"/>
      <c r="RS66" s="671">
        <f t="shared" si="38"/>
        <v>1.560804663639157</v>
      </c>
      <c r="RT66" s="671"/>
      <c r="RU66" s="671"/>
      <c r="RV66" s="671"/>
      <c r="RW66" s="671"/>
      <c r="RX66" s="671"/>
      <c r="RY66" s="681">
        <f t="shared" si="14"/>
        <v>14.461138521687788</v>
      </c>
      <c r="RZ66" s="681"/>
      <c r="SA66" s="681"/>
      <c r="SB66" s="681"/>
      <c r="SC66" s="681">
        <f>'Вывод расчетов'!$AQ$6/RY66</f>
        <v>26.27732245494385</v>
      </c>
      <c r="SD66" s="681"/>
      <c r="SE66" s="681"/>
      <c r="SF66" s="681"/>
      <c r="SG66" s="867">
        <f t="shared" si="31"/>
        <v>0.99415839099023373</v>
      </c>
      <c r="SH66" s="867"/>
      <c r="SI66" s="867"/>
      <c r="SJ66" s="867"/>
      <c r="SK66" s="865">
        <f t="shared" si="16"/>
        <v>0.10793096693585869</v>
      </c>
      <c r="SL66" s="865"/>
      <c r="SM66" s="865"/>
      <c r="SN66" s="865"/>
      <c r="SO66" s="692">
        <f t="shared" si="26"/>
        <v>26.474143052469767</v>
      </c>
      <c r="SP66" s="693"/>
      <c r="SQ66" s="693"/>
      <c r="SR66" s="693"/>
      <c r="SS66" s="694"/>
      <c r="ST66" s="668">
        <f t="shared" si="24"/>
        <v>13.818213583043436</v>
      </c>
      <c r="SU66" s="678"/>
      <c r="SV66" s="678"/>
      <c r="SW66" s="678"/>
      <c r="SX66" s="678"/>
      <c r="SY66" s="669"/>
      <c r="SZ66" s="682">
        <f t="shared" si="19"/>
        <v>29.863410337555877</v>
      </c>
      <c r="TA66" s="683"/>
      <c r="TB66" s="683"/>
      <c r="TC66" s="683"/>
      <c r="TD66" s="683"/>
      <c r="TE66" s="684"/>
      <c r="TF66" s="682">
        <f>'Вывод расчетов'!$XC$174*SC66</f>
        <v>26.695805060433006</v>
      </c>
      <c r="TG66" s="683"/>
      <c r="TH66" s="684"/>
      <c r="TI66" s="681">
        <f t="shared" si="58"/>
        <v>30.180523079815536</v>
      </c>
      <c r="TJ66" s="681"/>
      <c r="TK66" s="681"/>
      <c r="TL66" s="681"/>
      <c r="TM66" s="685">
        <f t="shared" si="21"/>
        <v>0.49642334533854687</v>
      </c>
      <c r="TN66" s="686"/>
      <c r="TO66" s="686"/>
      <c r="TP66" s="687"/>
      <c r="TQ66" s="688">
        <f t="shared" si="22"/>
        <v>1.410752478594786</v>
      </c>
      <c r="TR66" s="688"/>
      <c r="TS66" s="688"/>
      <c r="TT66" s="688"/>
      <c r="TU66" s="689">
        <f t="shared" si="27"/>
        <v>0.14082014398918868</v>
      </c>
      <c r="TV66" s="690"/>
      <c r="TW66" s="690"/>
      <c r="TX66" s="690"/>
      <c r="TY66" s="690"/>
      <c r="TZ66" s="691"/>
      <c r="UA66" s="756">
        <v>4.8000000000000001E-2</v>
      </c>
      <c r="UB66" s="756"/>
      <c r="UC66" s="650">
        <v>0.48</v>
      </c>
      <c r="UD66" s="866">
        <f t="shared" si="39"/>
        <v>2.9282827837499354</v>
      </c>
      <c r="UE66" s="866"/>
      <c r="UF66" s="866"/>
      <c r="UG66" s="866"/>
      <c r="UH66" s="866"/>
      <c r="UI66" s="866"/>
      <c r="UJ66" s="866"/>
      <c r="UK66" s="681">
        <f t="shared" si="40"/>
        <v>27.252240296065601</v>
      </c>
      <c r="UL66" s="681"/>
      <c r="UM66" s="681"/>
      <c r="UN66" s="681"/>
      <c r="UO66" s="816">
        <f t="shared" si="41"/>
        <v>0.90297441909784704</v>
      </c>
      <c r="UP66" s="816"/>
      <c r="UQ66" s="816"/>
      <c r="UR66" s="816"/>
      <c r="US66" s="866">
        <f t="shared" si="42"/>
        <v>0.88650769464116408</v>
      </c>
      <c r="UT66" s="866"/>
      <c r="UU66" s="866"/>
      <c r="UV66" s="866"/>
      <c r="UW66" s="866"/>
      <c r="VN66" s="144"/>
      <c r="VO66" s="144"/>
      <c r="VP66" s="144"/>
      <c r="VQ66" s="144"/>
      <c r="VR66" s="144"/>
      <c r="VS66" s="144"/>
      <c r="VT66" s="144"/>
      <c r="VU66" s="144"/>
      <c r="VV66" s="144"/>
      <c r="VW66" s="144"/>
      <c r="VX66" s="144"/>
      <c r="VY66" s="144"/>
      <c r="VZ66" s="144"/>
      <c r="WA66" s="144"/>
      <c r="XO66" s="214" t="s">
        <v>899</v>
      </c>
      <c r="XP66" s="665" t="s">
        <v>442</v>
      </c>
      <c r="XQ66" s="666"/>
      <c r="XR66" s="456"/>
      <c r="XS66" s="87"/>
      <c r="XT66" s="87"/>
      <c r="XU66" s="87"/>
      <c r="XV66" s="87"/>
      <c r="XW66" s="87"/>
      <c r="XX66" s="87"/>
      <c r="XY66" s="456"/>
      <c r="XZ66" s="85" t="s">
        <v>467</v>
      </c>
      <c r="YA66" s="757" t="s">
        <v>461</v>
      </c>
      <c r="YB66" s="899"/>
      <c r="YC66" s="819" t="s">
        <v>126</v>
      </c>
      <c r="YD66" s="820"/>
      <c r="YE66" s="675" t="s">
        <v>731</v>
      </c>
      <c r="YF66" s="676"/>
      <c r="YG66" s="821" t="s">
        <v>473</v>
      </c>
      <c r="YH66" s="822"/>
      <c r="YI66" s="822"/>
      <c r="YJ66" s="823"/>
      <c r="YK66" s="821" t="s">
        <v>1509</v>
      </c>
      <c r="YL66" s="822"/>
      <c r="YM66" s="822"/>
      <c r="YN66" s="769" t="s">
        <v>462</v>
      </c>
      <c r="YO66" s="769"/>
      <c r="YP66" s="769"/>
      <c r="YQ66" s="769"/>
      <c r="YR66" s="769"/>
      <c r="YX66" s="144"/>
      <c r="YY66" s="144"/>
      <c r="YZ66" s="144"/>
      <c r="AAD66" s="947"/>
      <c r="AAE66" s="947"/>
      <c r="AAF66" s="947"/>
      <c r="AAG66" s="947"/>
      <c r="AAH66" s="465">
        <v>56</v>
      </c>
      <c r="AAI66" s="956"/>
      <c r="AAJ66" s="957"/>
      <c r="AAK66" s="956"/>
      <c r="AAL66" s="957"/>
      <c r="AAM66" s="958">
        <f t="shared" si="29"/>
        <v>0.7466666666666667</v>
      </c>
      <c r="AAN66" s="959"/>
      <c r="AAP66" s="947"/>
      <c r="AAQ66" s="947"/>
      <c r="AAR66" s="947"/>
      <c r="AAS66" s="947"/>
      <c r="AAT66" s="465">
        <v>116</v>
      </c>
      <c r="AAU66" s="956"/>
      <c r="AAV66" s="957"/>
      <c r="AAW66" s="956"/>
      <c r="AAX66" s="957"/>
      <c r="AAY66" s="958">
        <f t="shared" si="1"/>
        <v>1.5466666666666669</v>
      </c>
      <c r="AAZ66" s="959"/>
      <c r="ABB66" s="947"/>
      <c r="ABC66" s="947"/>
      <c r="ABD66" s="947"/>
      <c r="ABE66" s="947"/>
      <c r="ABF66" s="465">
        <v>176</v>
      </c>
      <c r="ABG66" s="956"/>
      <c r="ABH66" s="957"/>
      <c r="ABI66" s="956"/>
      <c r="ABJ66" s="957"/>
      <c r="ABK66" s="958">
        <f t="shared" si="2"/>
        <v>2.3466666666666667</v>
      </c>
      <c r="ABL66" s="959"/>
      <c r="ABN66" s="947"/>
      <c r="ABO66" s="947"/>
      <c r="ABP66" s="947"/>
      <c r="ABQ66" s="947"/>
      <c r="ABR66" s="465">
        <v>236</v>
      </c>
      <c r="ABS66" s="956"/>
      <c r="ABT66" s="957"/>
      <c r="ABU66" s="956"/>
      <c r="ABV66" s="957"/>
      <c r="ABW66" s="958">
        <f t="shared" si="3"/>
        <v>3.1466666666666669</v>
      </c>
      <c r="ABX66" s="959"/>
      <c r="ABZ66" s="947"/>
      <c r="ACA66" s="947"/>
      <c r="ACB66" s="947"/>
      <c r="ACC66" s="947"/>
      <c r="ACD66" s="465">
        <v>296</v>
      </c>
      <c r="ACE66" s="956"/>
      <c r="ACF66" s="957"/>
      <c r="ACG66" s="956"/>
      <c r="ACH66" s="957"/>
      <c r="ACI66" s="958">
        <f t="shared" si="4"/>
        <v>3.9466666666666668</v>
      </c>
      <c r="ACJ66" s="959"/>
      <c r="ADB66" s="1033"/>
      <c r="ADC66" s="1033"/>
      <c r="ADD66" s="184"/>
      <c r="ADE66" s="184"/>
      <c r="ADF66" s="184"/>
      <c r="ADG66" s="184"/>
      <c r="ADH66" s="184"/>
      <c r="ADI66" s="186"/>
      <c r="ADJ66" s="1039"/>
      <c r="ADK66" s="1040"/>
      <c r="ADL66" s="1033"/>
      <c r="ADM66" s="1033"/>
      <c r="ADN66" s="1033"/>
      <c r="ADO66" s="1033"/>
      <c r="ADP66" s="1033"/>
      <c r="ADQ66" s="1033"/>
      <c r="ADR66" s="1033"/>
      <c r="ADS66" s="1033"/>
      <c r="ADT66" s="1033"/>
      <c r="ADU66" s="1033"/>
      <c r="ADV66" s="1033"/>
      <c r="ADW66" s="1033"/>
      <c r="ADX66" s="861"/>
      <c r="ADY66" s="1017"/>
      <c r="ADZ66" s="1017"/>
      <c r="AEA66" s="1017"/>
      <c r="AEB66" s="1017"/>
      <c r="AEC66" s="1017"/>
      <c r="AED66" s="1017"/>
      <c r="AEE66" s="1017"/>
      <c r="AEF66" s="862"/>
      <c r="AEG66" s="172"/>
      <c r="AEH66" s="172"/>
      <c r="AEI66" s="172"/>
      <c r="AEJ66" s="172"/>
      <c r="AEK66" s="177"/>
      <c r="AEP66" s="947"/>
      <c r="AEQ66" s="947"/>
      <c r="AER66" s="947"/>
      <c r="AES66" s="947"/>
      <c r="AET66" s="656">
        <v>22</v>
      </c>
      <c r="AEU66" s="956"/>
      <c r="AEV66" s="957"/>
      <c r="AEW66" s="958">
        <f t="shared" si="35"/>
        <v>0.69666666666666677</v>
      </c>
      <c r="AEX66" s="959"/>
      <c r="AEZ66" s="947"/>
      <c r="AFA66" s="947"/>
      <c r="AFB66" s="947"/>
      <c r="AFC66" s="947"/>
      <c r="AFD66" s="656">
        <v>82</v>
      </c>
      <c r="AFE66" s="956"/>
      <c r="AFF66" s="957"/>
      <c r="AFG66" s="958">
        <f t="shared" si="36"/>
        <v>2.5966666666666667</v>
      </c>
      <c r="AFH66" s="959"/>
      <c r="AFJ66" s="947"/>
      <c r="AFK66" s="947"/>
      <c r="AFL66" s="947"/>
      <c r="AFM66" s="947"/>
      <c r="AFN66" s="656">
        <v>142</v>
      </c>
      <c r="AFO66" s="956"/>
      <c r="AFP66" s="957"/>
      <c r="AFQ66" s="958">
        <f t="shared" si="37"/>
        <v>4.496666666666667</v>
      </c>
      <c r="AFR66" s="959"/>
      <c r="AFT66" s="947"/>
      <c r="AFU66" s="947"/>
      <c r="AFV66" s="947"/>
      <c r="AFW66" s="947"/>
      <c r="AFX66" s="656">
        <v>202</v>
      </c>
      <c r="AFY66" s="956"/>
      <c r="AFZ66" s="957"/>
      <c r="AGA66" s="958"/>
      <c r="AGB66" s="959"/>
      <c r="AGD66" s="947"/>
      <c r="AGE66" s="947"/>
      <c r="AGF66" s="947"/>
      <c r="AGG66" s="947"/>
      <c r="AGH66" s="657">
        <v>262</v>
      </c>
      <c r="AGI66" s="956"/>
      <c r="AGJ66" s="957"/>
      <c r="AGK66" s="958"/>
      <c r="AGL66" s="959"/>
      <c r="AHO66" s="144"/>
      <c r="AIM66" s="827"/>
      <c r="AIN66" s="818"/>
      <c r="AIO66" s="818"/>
      <c r="AIP66" s="818"/>
      <c r="AIQ66" s="818"/>
      <c r="AIR66" s="818"/>
      <c r="AIS66" s="818"/>
      <c r="AIT66" s="818"/>
      <c r="AIU66" s="818"/>
      <c r="AIV66" s="818"/>
      <c r="AIW66" s="818"/>
      <c r="AIX66" s="818"/>
      <c r="AIY66" s="818"/>
      <c r="AIZ66" s="818"/>
      <c r="AJA66" s="754"/>
      <c r="AJB66" s="755"/>
      <c r="AJC66" s="1329"/>
      <c r="AJD66" s="1330"/>
      <c r="AJE66" s="1125"/>
      <c r="AJF66" s="713"/>
      <c r="AJG66" s="743"/>
      <c r="AJH66" s="745"/>
      <c r="AJI66" s="747"/>
      <c r="AJL66" s="144"/>
      <c r="AJM66" s="144"/>
      <c r="AJN66" s="144"/>
      <c r="AJO66" s="144"/>
      <c r="AJP66" s="144"/>
      <c r="AJQ66" s="144"/>
      <c r="AJR66" s="144"/>
      <c r="AJU66" s="144"/>
      <c r="AJV66" s="144"/>
      <c r="AJW66" s="144"/>
      <c r="AJX66" s="144"/>
      <c r="AJY66" s="144"/>
      <c r="AJZ66" s="144"/>
      <c r="AKA66" s="144"/>
      <c r="AKB66" s="144"/>
      <c r="AKC66" s="144"/>
      <c r="AKD66" s="144"/>
      <c r="AKE66" s="144"/>
      <c r="AKF66" s="144"/>
      <c r="AKG66" s="144"/>
      <c r="AKH66" s="144"/>
      <c r="AKI66" s="144"/>
      <c r="AKJ66" s="144"/>
      <c r="AKK66" s="144"/>
      <c r="AKL66" s="144"/>
      <c r="AKM66" s="144"/>
      <c r="AKN66" s="144"/>
      <c r="AKO66" s="144"/>
      <c r="AKP66" s="144"/>
      <c r="AKQ66" s="144"/>
      <c r="AKR66" s="144"/>
      <c r="AKS66" s="144"/>
      <c r="AKT66" s="144"/>
    </row>
    <row r="67" spans="12:982" ht="48" customHeight="1" thickBot="1">
      <c r="L67" s="31"/>
      <c r="M67" s="1"/>
      <c r="BN67" s="144"/>
      <c r="BO67" s="144"/>
      <c r="BP67" s="144"/>
      <c r="BQ67" s="144"/>
      <c r="BR67" s="144"/>
      <c r="BS67" s="144"/>
      <c r="BT67" s="144"/>
      <c r="BX67" s="825"/>
      <c r="BY67" s="695" t="s">
        <v>442</v>
      </c>
      <c r="BZ67" s="695"/>
      <c r="CA67" s="146"/>
      <c r="CB67" s="473" t="s">
        <v>1627</v>
      </c>
      <c r="CC67" s="724">
        <f>$CO$64</f>
        <v>19</v>
      </c>
      <c r="CD67" s="724"/>
      <c r="CE67" s="473" t="s">
        <v>774</v>
      </c>
      <c r="CF67" s="724">
        <f>$CO$56</f>
        <v>1</v>
      </c>
      <c r="CG67" s="724"/>
      <c r="CH67" s="146"/>
      <c r="CI67" s="85" t="s">
        <v>467</v>
      </c>
      <c r="CJ67" s="757" t="s">
        <v>461</v>
      </c>
      <c r="CK67" s="758"/>
      <c r="CL67" s="819" t="s">
        <v>126</v>
      </c>
      <c r="CM67" s="820"/>
      <c r="CN67" s="675" t="s">
        <v>731</v>
      </c>
      <c r="CO67" s="676"/>
      <c r="CP67" s="821" t="s">
        <v>473</v>
      </c>
      <c r="CQ67" s="822"/>
      <c r="CR67" s="822"/>
      <c r="CS67" s="823"/>
      <c r="CT67" s="821" t="s">
        <v>462</v>
      </c>
      <c r="CU67" s="822"/>
      <c r="CV67" s="823"/>
      <c r="DJ67" s="144"/>
      <c r="DK67" s="144"/>
      <c r="DL67" s="144"/>
      <c r="DM67" s="144"/>
      <c r="DR67" s="144"/>
      <c r="DS67" s="144"/>
      <c r="DT67" s="144"/>
      <c r="DU67" s="144"/>
      <c r="DV67" s="144"/>
      <c r="DW67" s="144"/>
      <c r="DX67" s="144"/>
      <c r="DZ67" s="780"/>
      <c r="EA67" s="781"/>
      <c r="EB67" s="782"/>
      <c r="EC67" s="214" t="s">
        <v>899</v>
      </c>
      <c r="ED67" s="1239" t="s">
        <v>1322</v>
      </c>
      <c r="EE67" s="1240"/>
      <c r="EF67" s="1240"/>
      <c r="EG67" s="1240"/>
      <c r="EH67" s="1240"/>
      <c r="EI67" s="1240"/>
      <c r="EJ67" s="1240"/>
      <c r="EK67" s="1240"/>
      <c r="EL67" s="1240"/>
      <c r="EM67" s="1240"/>
      <c r="EN67" s="1240"/>
      <c r="EO67" s="1240"/>
      <c r="EP67" s="1241"/>
      <c r="EQ67" s="748">
        <f>ROUND(EN62,1)</f>
        <v>10.3</v>
      </c>
      <c r="ER67" s="749"/>
      <c r="ES67" s="759" t="s">
        <v>50</v>
      </c>
      <c r="ET67" s="760"/>
      <c r="EU67" s="714"/>
      <c r="EV67" s="740" t="s">
        <v>1084</v>
      </c>
      <c r="EW67" s="741"/>
      <c r="EX67" s="742"/>
      <c r="EY67" s="746"/>
      <c r="FH67" s="139"/>
      <c r="FI67" s="139"/>
      <c r="FJ67" s="139"/>
      <c r="FK67" s="139"/>
      <c r="FO67" s="139"/>
      <c r="FP67" s="139"/>
      <c r="FQ67" s="139"/>
      <c r="FR67" s="139"/>
      <c r="FS67" s="139"/>
      <c r="FT67" s="139"/>
      <c r="FU67" s="139"/>
      <c r="FV67" s="139"/>
      <c r="FW67" s="139"/>
      <c r="FX67" s="139"/>
      <c r="FY67" s="139"/>
      <c r="FZ67" s="139"/>
      <c r="GA67" s="139"/>
      <c r="HR67" s="144"/>
      <c r="HS67" s="144"/>
      <c r="HT67" s="144"/>
      <c r="HU67" s="144"/>
      <c r="HV67" s="144"/>
      <c r="HW67" s="144"/>
      <c r="HX67" s="144"/>
      <c r="HY67" s="144"/>
      <c r="HZ67" s="144"/>
      <c r="IA67" s="144"/>
      <c r="IB67" s="144"/>
      <c r="IC67" s="144"/>
      <c r="ID67" s="144"/>
      <c r="IE67" s="144"/>
      <c r="IF67" s="144"/>
      <c r="IG67" s="144"/>
      <c r="IH67" s="144"/>
      <c r="II67" s="144"/>
      <c r="IR67" s="827"/>
      <c r="IS67" s="949" t="s">
        <v>1193</v>
      </c>
      <c r="IT67" s="962"/>
      <c r="IU67" s="1534">
        <f>$IH$92</f>
        <v>4.3</v>
      </c>
      <c r="IV67" s="1534"/>
      <c r="IW67" s="944"/>
      <c r="IX67" s="944"/>
      <c r="IY67" s="944"/>
      <c r="IZ67" s="944"/>
      <c r="JA67" s="944"/>
      <c r="JB67" s="944"/>
      <c r="JC67" s="944"/>
      <c r="JD67" s="944"/>
      <c r="JE67" s="1004"/>
      <c r="JF67" s="765"/>
      <c r="JG67" s="766"/>
      <c r="JH67" s="761"/>
      <c r="JI67" s="762"/>
      <c r="JJ67" s="713"/>
      <c r="JK67" s="954"/>
      <c r="JL67" s="955"/>
      <c r="JM67" s="747"/>
      <c r="JN67" s="892"/>
      <c r="JO67" s="893"/>
      <c r="JP67" s="893"/>
      <c r="JQ67" s="893"/>
      <c r="JR67" s="893"/>
      <c r="JS67" s="893"/>
      <c r="JT67" s="894"/>
      <c r="LB67" s="144"/>
      <c r="LC67" s="144"/>
      <c r="LD67" s="144"/>
      <c r="LE67" s="144"/>
      <c r="LF67" s="144"/>
      <c r="LG67" s="144"/>
      <c r="LH67" s="144"/>
      <c r="LI67" s="144"/>
      <c r="LJ67" s="144"/>
      <c r="LK67" s="144"/>
      <c r="LL67" s="144"/>
      <c r="LM67" s="144"/>
      <c r="LN67" s="144"/>
      <c r="LO67" s="144"/>
      <c r="LP67" s="144"/>
      <c r="LQ67" s="144"/>
      <c r="LR67" s="144"/>
      <c r="LS67" s="144"/>
      <c r="LT67" s="144"/>
      <c r="LU67" s="144"/>
      <c r="NI67" s="1620"/>
      <c r="NJ67" s="1621"/>
      <c r="NK67" s="1621"/>
      <c r="NL67" s="1621"/>
      <c r="NM67" s="1621"/>
      <c r="NN67" s="1621"/>
      <c r="NO67" s="1621"/>
      <c r="NP67" s="1621"/>
      <c r="NQ67" s="1621"/>
      <c r="NR67" s="1621"/>
      <c r="NS67" s="1621"/>
      <c r="NT67" s="1621"/>
      <c r="NU67" s="1621"/>
      <c r="NV67" s="1621"/>
      <c r="NW67" s="1621"/>
      <c r="NX67" s="1621"/>
      <c r="NY67" s="1621"/>
      <c r="NZ67" s="1621"/>
      <c r="OA67" s="1621"/>
      <c r="OB67" s="1621"/>
      <c r="OC67" s="1621"/>
      <c r="OD67" s="1622"/>
      <c r="OQ67" s="144"/>
      <c r="OR67" s="144"/>
      <c r="OS67" s="144"/>
      <c r="OT67" s="144"/>
      <c r="OU67" s="144"/>
      <c r="OV67" s="144"/>
      <c r="OW67" s="144"/>
      <c r="OX67" s="144"/>
      <c r="OY67" s="144"/>
      <c r="OZ67" s="144"/>
      <c r="PA67" s="144"/>
      <c r="PB67" s="144"/>
      <c r="PC67" s="144"/>
      <c r="PD67" s="144"/>
      <c r="PE67" s="144"/>
      <c r="PF67" s="144"/>
      <c r="PG67" s="144"/>
      <c r="QP67" s="144"/>
      <c r="QQ67" s="144"/>
      <c r="QR67" s="144"/>
      <c r="QS67" s="144"/>
      <c r="RC67" s="369">
        <v>49</v>
      </c>
      <c r="RD67" s="668">
        <v>4.9000000000000002E-2</v>
      </c>
      <c r="RE67" s="669"/>
      <c r="RF67" s="670">
        <f t="shared" si="30"/>
        <v>13.898606727567255</v>
      </c>
      <c r="RG67" s="670"/>
      <c r="RH67" s="670"/>
      <c r="RI67" s="670"/>
      <c r="RJ67" s="698">
        <f t="shared" si="12"/>
        <v>30</v>
      </c>
      <c r="RK67" s="699"/>
      <c r="RL67" s="726"/>
      <c r="RM67" s="670">
        <f t="shared" si="13"/>
        <v>14.087107897783701</v>
      </c>
      <c r="RN67" s="670"/>
      <c r="RO67" s="670"/>
      <c r="RP67" s="670"/>
      <c r="RQ67" s="670"/>
      <c r="RR67" s="670"/>
      <c r="RS67" s="671">
        <f t="shared" si="38"/>
        <v>1.560804663639157</v>
      </c>
      <c r="RT67" s="671"/>
      <c r="RU67" s="671"/>
      <c r="RV67" s="671"/>
      <c r="RW67" s="671"/>
      <c r="RX67" s="671"/>
      <c r="RY67" s="681">
        <f t="shared" si="14"/>
        <v>14.17331013284609</v>
      </c>
      <c r="RZ67" s="681"/>
      <c r="SA67" s="681"/>
      <c r="SB67" s="681"/>
      <c r="SC67" s="681">
        <f>'Вывод расчетов'!$AQ$6/RY67</f>
        <v>26.81095639891241</v>
      </c>
      <c r="SD67" s="681"/>
      <c r="SE67" s="681"/>
      <c r="SF67" s="681"/>
      <c r="SG67" s="867">
        <f t="shared" si="31"/>
        <v>0.9939179885111934</v>
      </c>
      <c r="SH67" s="867"/>
      <c r="SI67" s="867"/>
      <c r="SJ67" s="867"/>
      <c r="SK67" s="865">
        <f t="shared" si="16"/>
        <v>0.11012280469486471</v>
      </c>
      <c r="SL67" s="865"/>
      <c r="SM67" s="865"/>
      <c r="SN67" s="865"/>
      <c r="SO67" s="692">
        <f t="shared" si="26"/>
        <v>26.998214295199581</v>
      </c>
      <c r="SP67" s="693"/>
      <c r="SQ67" s="693"/>
      <c r="SR67" s="693"/>
      <c r="SS67" s="694"/>
      <c r="ST67" s="668">
        <f t="shared" si="24"/>
        <v>13.934574477195959</v>
      </c>
      <c r="SU67" s="678"/>
      <c r="SV67" s="678"/>
      <c r="SW67" s="678"/>
      <c r="SX67" s="678"/>
      <c r="SY67" s="669"/>
      <c r="SZ67" s="682">
        <f t="shared" si="19"/>
        <v>30.382164850287413</v>
      </c>
      <c r="TA67" s="683"/>
      <c r="TB67" s="683"/>
      <c r="TC67" s="683"/>
      <c r="TD67" s="683"/>
      <c r="TE67" s="684"/>
      <c r="TF67" s="682">
        <f>'Вывод расчетов'!$XC$174*SC67</f>
        <v>27.237937454867073</v>
      </c>
      <c r="TG67" s="683"/>
      <c r="TH67" s="684"/>
      <c r="TI67" s="681">
        <f t="shared" si="58"/>
        <v>30.777964296527525</v>
      </c>
      <c r="TJ67" s="681"/>
      <c r="TK67" s="681"/>
      <c r="TL67" s="681"/>
      <c r="TM67" s="685">
        <f t="shared" si="21"/>
        <v>0.51381978745249979</v>
      </c>
      <c r="TN67" s="686"/>
      <c r="TO67" s="686"/>
      <c r="TP67" s="687"/>
      <c r="TQ67" s="688">
        <f t="shared" si="22"/>
        <v>1.4686327679443498</v>
      </c>
      <c r="TR67" s="688"/>
      <c r="TS67" s="688"/>
      <c r="TT67" s="688"/>
      <c r="TU67" s="689">
        <f t="shared" si="27"/>
        <v>0.1457549833886447</v>
      </c>
      <c r="TV67" s="690"/>
      <c r="TW67" s="690"/>
      <c r="TX67" s="690"/>
      <c r="TY67" s="690"/>
      <c r="TZ67" s="691"/>
      <c r="UA67" s="679">
        <v>4.9000000000000002E-2</v>
      </c>
      <c r="UB67" s="680"/>
      <c r="UC67" s="650">
        <v>0.49</v>
      </c>
      <c r="UD67" s="866">
        <f t="shared" si="39"/>
        <v>3.0084943546129082</v>
      </c>
      <c r="UE67" s="866"/>
      <c r="UF67" s="866"/>
      <c r="UG67" s="866"/>
      <c r="UH67" s="866"/>
      <c r="UI67" s="866"/>
      <c r="UJ67" s="866"/>
      <c r="UK67" s="681">
        <f t="shared" si="40"/>
        <v>27.769469941914618</v>
      </c>
      <c r="UL67" s="681"/>
      <c r="UM67" s="681"/>
      <c r="UN67" s="681"/>
      <c r="UO67" s="816">
        <f t="shared" si="41"/>
        <v>0.90225167832323672</v>
      </c>
      <c r="UP67" s="816"/>
      <c r="UQ67" s="816"/>
      <c r="UR67" s="816"/>
      <c r="US67" s="866">
        <f t="shared" si="42"/>
        <v>0.88862049258955889</v>
      </c>
      <c r="UT67" s="866"/>
      <c r="UU67" s="866"/>
      <c r="UV67" s="866"/>
      <c r="UW67" s="866"/>
      <c r="WD67" s="825"/>
      <c r="WE67" s="665" t="s">
        <v>442</v>
      </c>
      <c r="WF67" s="666"/>
      <c r="WG67" s="522"/>
      <c r="WH67" s="87"/>
      <c r="WI67" s="87"/>
      <c r="WJ67" s="87"/>
      <c r="WK67" s="87"/>
      <c r="WL67" s="87"/>
      <c r="WM67" s="87"/>
      <c r="WN67" s="522"/>
      <c r="WO67" s="85" t="s">
        <v>467</v>
      </c>
      <c r="WP67" s="757" t="s">
        <v>461</v>
      </c>
      <c r="WQ67" s="758"/>
      <c r="WR67" s="819" t="s">
        <v>126</v>
      </c>
      <c r="WS67" s="820"/>
      <c r="WT67" s="675" t="s">
        <v>731</v>
      </c>
      <c r="WU67" s="676"/>
      <c r="WV67" s="821" t="s">
        <v>473</v>
      </c>
      <c r="WW67" s="822"/>
      <c r="WX67" s="822"/>
      <c r="WY67" s="823"/>
      <c r="WZ67" s="769" t="s">
        <v>462</v>
      </c>
      <c r="XA67" s="769"/>
      <c r="XB67" s="769"/>
      <c r="XC67" s="769"/>
      <c r="XO67" s="825"/>
      <c r="XP67" s="863" t="s">
        <v>1201</v>
      </c>
      <c r="XQ67" s="863"/>
      <c r="XR67" s="756">
        <f>$IH$92</f>
        <v>4.3</v>
      </c>
      <c r="XS67" s="756"/>
      <c r="XT67" s="942" t="s">
        <v>398</v>
      </c>
      <c r="XU67" s="942"/>
      <c r="XV67" s="942"/>
      <c r="XW67" s="942"/>
      <c r="XX67" s="942"/>
      <c r="XY67" s="942"/>
      <c r="XZ67" s="942"/>
      <c r="YA67" s="942"/>
      <c r="YB67" s="1011"/>
      <c r="YC67" s="763">
        <f>(3.14*(GT90^2))/4</f>
        <v>14.472988276304768</v>
      </c>
      <c r="YD67" s="764"/>
      <c r="YE67" s="812" t="s">
        <v>798</v>
      </c>
      <c r="YF67" s="813"/>
      <c r="YG67" s="712"/>
      <c r="YH67" s="952" t="s">
        <v>1507</v>
      </c>
      <c r="YI67" s="953"/>
      <c r="YJ67" s="746"/>
      <c r="YK67" s="1134"/>
      <c r="YL67" s="1135"/>
      <c r="YM67" s="1136"/>
      <c r="YN67" s="767"/>
      <c r="YO67" s="767"/>
      <c r="YP67" s="767"/>
      <c r="YQ67" s="767"/>
      <c r="YR67" s="767"/>
      <c r="AAD67" s="947"/>
      <c r="AAE67" s="947"/>
      <c r="AAF67" s="947"/>
      <c r="AAG67" s="947"/>
      <c r="AAH67" s="465">
        <v>57</v>
      </c>
      <c r="AAI67" s="956"/>
      <c r="AAJ67" s="957"/>
      <c r="AAK67" s="956"/>
      <c r="AAL67" s="957"/>
      <c r="AAM67" s="958">
        <f t="shared" si="29"/>
        <v>0.76</v>
      </c>
      <c r="AAN67" s="959"/>
      <c r="AAP67" s="947"/>
      <c r="AAQ67" s="947"/>
      <c r="AAR67" s="947"/>
      <c r="AAS67" s="947"/>
      <c r="AAT67" s="465">
        <v>117</v>
      </c>
      <c r="AAU67" s="956"/>
      <c r="AAV67" s="957"/>
      <c r="AAW67" s="956"/>
      <c r="AAX67" s="957"/>
      <c r="AAY67" s="958">
        <f t="shared" si="1"/>
        <v>1.56</v>
      </c>
      <c r="AAZ67" s="959"/>
      <c r="ABB67" s="947"/>
      <c r="ABC67" s="947"/>
      <c r="ABD67" s="947"/>
      <c r="ABE67" s="947"/>
      <c r="ABF67" s="465">
        <v>177</v>
      </c>
      <c r="ABG67" s="956"/>
      <c r="ABH67" s="957"/>
      <c r="ABI67" s="956"/>
      <c r="ABJ67" s="957"/>
      <c r="ABK67" s="958">
        <f t="shared" si="2"/>
        <v>2.3600000000000003</v>
      </c>
      <c r="ABL67" s="959"/>
      <c r="ABN67" s="947"/>
      <c r="ABO67" s="947"/>
      <c r="ABP67" s="947"/>
      <c r="ABQ67" s="947"/>
      <c r="ABR67" s="465">
        <v>237</v>
      </c>
      <c r="ABS67" s="956"/>
      <c r="ABT67" s="957"/>
      <c r="ABU67" s="956"/>
      <c r="ABV67" s="957"/>
      <c r="ABW67" s="958">
        <f t="shared" si="3"/>
        <v>3.16</v>
      </c>
      <c r="ABX67" s="959"/>
      <c r="ABZ67" s="947"/>
      <c r="ACA67" s="947"/>
      <c r="ACB67" s="947"/>
      <c r="ACC67" s="947"/>
      <c r="ACD67" s="465">
        <v>297</v>
      </c>
      <c r="ACE67" s="956"/>
      <c r="ACF67" s="957"/>
      <c r="ACG67" s="956"/>
      <c r="ACH67" s="957"/>
      <c r="ACI67" s="958">
        <f t="shared" si="4"/>
        <v>3.9600000000000004</v>
      </c>
      <c r="ACJ67" s="959"/>
      <c r="ADB67" s="902"/>
      <c r="ADC67" s="903"/>
      <c r="ADD67" s="904"/>
      <c r="ADE67" s="825"/>
      <c r="ADF67" s="1324" t="s">
        <v>703</v>
      </c>
      <c r="ADG67" s="1324"/>
      <c r="ADH67" s="1082" t="s">
        <v>994</v>
      </c>
      <c r="ADI67" s="1082"/>
      <c r="ADJ67" s="727" t="s">
        <v>1590</v>
      </c>
      <c r="ADK67" s="727"/>
      <c r="ADL67" s="727"/>
      <c r="ADM67" s="727"/>
      <c r="ADN67" s="727"/>
      <c r="ADO67" s="727"/>
      <c r="ADP67" s="727"/>
      <c r="ADQ67" s="727"/>
      <c r="ADR67" s="727"/>
      <c r="ADS67" s="727"/>
      <c r="ADT67" s="727"/>
      <c r="ADU67" s="727"/>
      <c r="ADV67" s="727"/>
      <c r="ADW67" s="727"/>
      <c r="ADX67" s="825"/>
      <c r="ADY67" s="1325"/>
      <c r="ADZ67" s="1325"/>
      <c r="AEA67" s="1325"/>
      <c r="AEB67" s="1325"/>
      <c r="AEC67" s="1325"/>
      <c r="AED67" s="1325"/>
      <c r="AEE67" s="1325"/>
      <c r="AEF67" s="1326"/>
      <c r="AEG67" s="172"/>
      <c r="AEH67" s="172"/>
      <c r="AEI67" s="172"/>
      <c r="AEJ67" s="172"/>
      <c r="AEK67" s="177"/>
      <c r="AEP67" s="947"/>
      <c r="AEQ67" s="947"/>
      <c r="AER67" s="947"/>
      <c r="AES67" s="947"/>
      <c r="AET67" s="656">
        <v>23</v>
      </c>
      <c r="AEU67" s="956"/>
      <c r="AEV67" s="957"/>
      <c r="AEW67" s="958">
        <f t="shared" si="35"/>
        <v>0.72833333333333339</v>
      </c>
      <c r="AEX67" s="959"/>
      <c r="AEZ67" s="947"/>
      <c r="AFA67" s="947"/>
      <c r="AFB67" s="947"/>
      <c r="AFC67" s="947"/>
      <c r="AFD67" s="656">
        <v>83</v>
      </c>
      <c r="AFE67" s="956"/>
      <c r="AFF67" s="957"/>
      <c r="AFG67" s="958">
        <f t="shared" si="36"/>
        <v>2.6283333333333334</v>
      </c>
      <c r="AFH67" s="959"/>
      <c r="AFJ67" s="947"/>
      <c r="AFK67" s="947"/>
      <c r="AFL67" s="947"/>
      <c r="AFM67" s="947"/>
      <c r="AFN67" s="656">
        <v>143</v>
      </c>
      <c r="AFO67" s="956"/>
      <c r="AFP67" s="957"/>
      <c r="AFQ67" s="958">
        <f t="shared" si="37"/>
        <v>4.5283333333333333</v>
      </c>
      <c r="AFR67" s="959"/>
      <c r="AFT67" s="947"/>
      <c r="AFU67" s="947"/>
      <c r="AFV67" s="947"/>
      <c r="AFW67" s="947"/>
      <c r="AFX67" s="656">
        <v>203</v>
      </c>
      <c r="AFY67" s="956"/>
      <c r="AFZ67" s="957"/>
      <c r="AGA67" s="958"/>
      <c r="AGB67" s="959"/>
      <c r="AGD67" s="947"/>
      <c r="AGE67" s="947"/>
      <c r="AGF67" s="947"/>
      <c r="AGG67" s="947"/>
      <c r="AGH67" s="657">
        <v>263</v>
      </c>
      <c r="AGI67" s="956"/>
      <c r="AGJ67" s="957"/>
      <c r="AGK67" s="958"/>
      <c r="AGL67" s="959"/>
      <c r="AHO67" s="144"/>
      <c r="AJU67" s="144"/>
      <c r="AJV67" s="144"/>
      <c r="AJW67" s="144"/>
      <c r="AJX67" s="144"/>
      <c r="AJY67" s="144"/>
      <c r="AJZ67" s="144"/>
      <c r="AKA67" s="144"/>
      <c r="AKB67" s="144"/>
      <c r="AKC67" s="144"/>
      <c r="AKD67" s="144"/>
      <c r="AKE67" s="144"/>
      <c r="AKF67" s="144"/>
      <c r="AKG67" s="144"/>
      <c r="AKH67" s="144"/>
      <c r="AKI67" s="144"/>
      <c r="AKJ67" s="144"/>
      <c r="AKK67" s="144"/>
      <c r="AKL67" s="144"/>
      <c r="AKM67" s="144"/>
      <c r="AKN67" s="144"/>
      <c r="AKO67" s="144"/>
      <c r="AKP67" s="144"/>
      <c r="AKQ67" s="144"/>
      <c r="AKR67" s="144"/>
      <c r="AKS67" s="144"/>
      <c r="AKT67" s="144"/>
    </row>
    <row r="68" spans="12:982" ht="48" customHeight="1" thickBot="1">
      <c r="N68" s="3"/>
      <c r="O68" s="3"/>
      <c r="P68" s="3"/>
      <c r="Q68" s="3"/>
      <c r="AI68" s="792" t="s">
        <v>1013</v>
      </c>
      <c r="AJ68" s="793"/>
      <c r="AK68" s="794"/>
      <c r="AL68" s="825"/>
      <c r="AM68" s="665" t="s">
        <v>6</v>
      </c>
      <c r="AN68" s="666"/>
      <c r="AO68" s="135"/>
      <c r="AP68" s="87"/>
      <c r="AQ68" s="87"/>
      <c r="AR68" s="87"/>
      <c r="AS68" s="87"/>
      <c r="AT68" s="87"/>
      <c r="AU68" s="87"/>
      <c r="AV68" s="135"/>
      <c r="AW68" s="85" t="s">
        <v>467</v>
      </c>
      <c r="AX68" s="757" t="s">
        <v>461</v>
      </c>
      <c r="AY68" s="899"/>
      <c r="AZ68" s="819" t="s">
        <v>126</v>
      </c>
      <c r="BA68" s="820"/>
      <c r="BB68" s="675" t="s">
        <v>731</v>
      </c>
      <c r="BC68" s="676"/>
      <c r="BD68" s="821" t="s">
        <v>473</v>
      </c>
      <c r="BE68" s="822"/>
      <c r="BF68" s="822"/>
      <c r="BG68" s="823"/>
      <c r="BN68" s="144"/>
      <c r="BO68" s="144"/>
      <c r="BP68" s="144"/>
      <c r="BT68" s="144"/>
      <c r="BX68" s="826"/>
      <c r="BY68" s="355" t="s">
        <v>863</v>
      </c>
      <c r="BZ68" s="724">
        <f>$CM$32</f>
        <v>3</v>
      </c>
      <c r="CA68" s="724"/>
      <c r="CB68" s="732" t="s">
        <v>33</v>
      </c>
      <c r="CC68" s="732"/>
      <c r="CD68" s="732"/>
      <c r="CE68" s="732"/>
      <c r="CF68" s="732"/>
      <c r="CG68" s="732"/>
      <c r="CH68" s="732"/>
      <c r="CI68" s="732"/>
      <c r="CJ68" s="732"/>
      <c r="CK68" s="733"/>
      <c r="CL68" s="1335">
        <f>(CC67*BZ69)/(2*CF67*BZ68)</f>
        <v>104.5</v>
      </c>
      <c r="CM68" s="1336"/>
      <c r="CN68" s="849" t="s">
        <v>758</v>
      </c>
      <c r="CO68" s="850"/>
      <c r="CP68" s="712"/>
      <c r="CQ68" s="740" t="s">
        <v>900</v>
      </c>
      <c r="CR68" s="742"/>
      <c r="CS68" s="746"/>
      <c r="CT68" s="919"/>
      <c r="CU68" s="840"/>
      <c r="CV68" s="920"/>
      <c r="DJ68" s="144"/>
      <c r="DK68" s="144"/>
      <c r="DL68" s="144"/>
      <c r="DM68" s="144"/>
      <c r="DN68" s="144"/>
      <c r="DO68" s="144"/>
      <c r="DP68" s="144"/>
      <c r="DQ68" s="144"/>
      <c r="DR68" s="144"/>
      <c r="DS68" s="144"/>
      <c r="DT68" s="144"/>
      <c r="DU68" s="144"/>
      <c r="DV68" s="144"/>
      <c r="DZ68" s="783"/>
      <c r="EA68" s="784"/>
      <c r="EB68" s="785"/>
      <c r="EC68" s="240" t="s">
        <v>703</v>
      </c>
      <c r="ED68" s="1242"/>
      <c r="EE68" s="1243"/>
      <c r="EF68" s="1243"/>
      <c r="EG68" s="1243"/>
      <c r="EH68" s="1243"/>
      <c r="EI68" s="1243"/>
      <c r="EJ68" s="1243"/>
      <c r="EK68" s="1243"/>
      <c r="EL68" s="1243"/>
      <c r="EM68" s="1243"/>
      <c r="EN68" s="1243"/>
      <c r="EO68" s="1243"/>
      <c r="EP68" s="1244"/>
      <c r="EQ68" s="750"/>
      <c r="ER68" s="751"/>
      <c r="ES68" s="761"/>
      <c r="ET68" s="762"/>
      <c r="EU68" s="715"/>
      <c r="EV68" s="743"/>
      <c r="EW68" s="744"/>
      <c r="EX68" s="745"/>
      <c r="EY68" s="747"/>
      <c r="GF68" s="792" t="s">
        <v>1013</v>
      </c>
      <c r="GG68" s="793"/>
      <c r="GH68" s="794"/>
      <c r="GI68" s="85" t="s">
        <v>839</v>
      </c>
      <c r="GJ68" s="665" t="s">
        <v>442</v>
      </c>
      <c r="GK68" s="666"/>
      <c r="GL68" s="152"/>
      <c r="GM68" s="87"/>
      <c r="GN68" s="87"/>
      <c r="GO68" s="87"/>
      <c r="GP68" s="87"/>
      <c r="GQ68" s="87"/>
      <c r="GR68" s="87"/>
      <c r="GS68" s="152"/>
      <c r="GT68" s="85" t="s">
        <v>467</v>
      </c>
      <c r="GU68" s="757" t="s">
        <v>461</v>
      </c>
      <c r="GV68" s="899"/>
      <c r="GW68" s="819" t="s">
        <v>126</v>
      </c>
      <c r="GX68" s="820"/>
      <c r="GY68" s="675" t="s">
        <v>731</v>
      </c>
      <c r="GZ68" s="676"/>
      <c r="HA68" s="769" t="s">
        <v>473</v>
      </c>
      <c r="HB68" s="769"/>
      <c r="HC68" s="769"/>
      <c r="HD68" s="769"/>
      <c r="HE68" s="769"/>
      <c r="HR68" s="144"/>
      <c r="HS68" s="144"/>
      <c r="HT68" s="144"/>
      <c r="HU68" s="144"/>
      <c r="HV68" s="144"/>
      <c r="HW68" s="144"/>
      <c r="HX68" s="144"/>
      <c r="HY68" s="144"/>
      <c r="HZ68" s="144"/>
      <c r="IA68" s="144"/>
      <c r="IB68" s="144"/>
      <c r="IC68" s="144"/>
      <c r="ID68" s="144"/>
      <c r="IE68" s="144"/>
      <c r="IF68" s="144"/>
      <c r="IG68" s="144"/>
      <c r="IH68" s="144"/>
      <c r="II68" s="144"/>
      <c r="IJ68" s="144"/>
      <c r="IK68" s="144"/>
      <c r="LB68" s="144"/>
      <c r="LC68" s="144"/>
      <c r="LD68" s="144"/>
      <c r="LE68" s="144"/>
      <c r="LF68" s="144"/>
      <c r="LG68" s="144"/>
      <c r="LH68" s="144"/>
      <c r="LI68" s="144"/>
      <c r="LJ68" s="144"/>
      <c r="LK68" s="144"/>
      <c r="LL68" s="144"/>
      <c r="LM68" s="144"/>
      <c r="LN68" s="144"/>
      <c r="LO68" s="144"/>
      <c r="LP68" s="144"/>
      <c r="LQ68" s="144"/>
      <c r="LR68" s="144"/>
      <c r="LS68" s="144"/>
      <c r="LT68" s="144"/>
      <c r="LU68" s="144"/>
      <c r="LZ68" s="825"/>
      <c r="MA68" s="147" t="s">
        <v>442</v>
      </c>
      <c r="MB68" s="148"/>
      <c r="MC68" s="370"/>
      <c r="MD68" s="374" t="s">
        <v>449</v>
      </c>
      <c r="ME68" s="1446">
        <f>MQ65</f>
        <v>4.6511627906976744E-8</v>
      </c>
      <c r="MF68" s="1447"/>
      <c r="MG68" s="1448"/>
      <c r="MH68" s="87"/>
      <c r="MI68" s="87"/>
      <c r="MJ68" s="370"/>
      <c r="MK68" s="85" t="s">
        <v>467</v>
      </c>
      <c r="ML68" s="757" t="s">
        <v>461</v>
      </c>
      <c r="MM68" s="758"/>
      <c r="MN68" s="774" t="s">
        <v>126</v>
      </c>
      <c r="MO68" s="776"/>
      <c r="MP68" s="675" t="s">
        <v>731</v>
      </c>
      <c r="MQ68" s="676"/>
      <c r="MR68" s="821" t="s">
        <v>473</v>
      </c>
      <c r="MS68" s="822"/>
      <c r="MT68" s="822"/>
      <c r="MU68" s="823"/>
      <c r="MV68" s="821" t="s">
        <v>462</v>
      </c>
      <c r="MW68" s="822"/>
      <c r="MX68" s="823"/>
      <c r="NI68" s="1620"/>
      <c r="NJ68" s="1621"/>
      <c r="NK68" s="1621"/>
      <c r="NL68" s="1621"/>
      <c r="NM68" s="1621"/>
      <c r="NN68" s="1621"/>
      <c r="NO68" s="1621"/>
      <c r="NP68" s="1621"/>
      <c r="NQ68" s="1621"/>
      <c r="NR68" s="1621"/>
      <c r="NS68" s="1621"/>
      <c r="NT68" s="1621"/>
      <c r="NU68" s="1621"/>
      <c r="NV68" s="1621"/>
      <c r="NW68" s="1621"/>
      <c r="NX68" s="1621"/>
      <c r="NY68" s="1621"/>
      <c r="NZ68" s="1621"/>
      <c r="OA68" s="1621"/>
      <c r="OB68" s="1621"/>
      <c r="OC68" s="1621"/>
      <c r="OD68" s="1622"/>
      <c r="OQ68" s="144"/>
      <c r="OR68" s="144"/>
      <c r="OS68" s="144"/>
      <c r="OT68" s="144"/>
      <c r="OU68" s="144"/>
      <c r="OV68" s="144"/>
      <c r="OW68" s="144"/>
      <c r="OX68" s="144"/>
      <c r="OY68" s="144"/>
      <c r="OZ68" s="144"/>
      <c r="PA68" s="144"/>
      <c r="PB68" s="144"/>
      <c r="PC68" s="144"/>
      <c r="PD68" s="144"/>
      <c r="PE68" s="144"/>
      <c r="PF68" s="144"/>
      <c r="PG68" s="144"/>
      <c r="PJ68" s="825"/>
      <c r="PK68" s="147" t="s">
        <v>442</v>
      </c>
      <c r="PL68" s="148"/>
      <c r="PM68" s="660"/>
      <c r="PN68" s="87"/>
      <c r="PO68" s="87"/>
      <c r="PP68" s="87"/>
      <c r="PQ68" s="87"/>
      <c r="PR68" s="87"/>
      <c r="PS68" s="87"/>
      <c r="PT68" s="660"/>
      <c r="PU68" s="85" t="s">
        <v>467</v>
      </c>
      <c r="PV68" s="757" t="s">
        <v>461</v>
      </c>
      <c r="PW68" s="899"/>
      <c r="PX68" s="819" t="s">
        <v>126</v>
      </c>
      <c r="PY68" s="820"/>
      <c r="PZ68" s="675" t="s">
        <v>731</v>
      </c>
      <c r="QA68" s="676"/>
      <c r="QB68" s="821" t="s">
        <v>473</v>
      </c>
      <c r="QC68" s="822"/>
      <c r="QD68" s="822"/>
      <c r="QE68" s="822"/>
      <c r="QF68" s="823"/>
      <c r="QG68" s="821" t="s">
        <v>462</v>
      </c>
      <c r="QH68" s="822"/>
      <c r="QI68" s="822"/>
      <c r="QJ68" s="822"/>
      <c r="QK68" s="822"/>
      <c r="QL68" s="822"/>
      <c r="QM68" s="823"/>
      <c r="QP68" s="144"/>
      <c r="QQ68" s="144"/>
      <c r="QR68" s="144"/>
      <c r="QS68" s="144"/>
      <c r="QT68" s="144"/>
      <c r="QU68" s="144"/>
      <c r="RC68" s="369">
        <v>50</v>
      </c>
      <c r="RD68" s="668">
        <v>0.05</v>
      </c>
      <c r="RE68" s="669"/>
      <c r="RF68" s="670">
        <f t="shared" si="30"/>
        <v>13.620634593015909</v>
      </c>
      <c r="RG68" s="670"/>
      <c r="RH68" s="670"/>
      <c r="RI68" s="670"/>
      <c r="RJ68" s="698">
        <f t="shared" si="12"/>
        <v>30</v>
      </c>
      <c r="RK68" s="699"/>
      <c r="RL68" s="726"/>
      <c r="RM68" s="670">
        <f t="shared" si="13"/>
        <v>13.809135763232355</v>
      </c>
      <c r="RN68" s="670"/>
      <c r="RO68" s="670"/>
      <c r="RP68" s="670"/>
      <c r="RQ68" s="670"/>
      <c r="RR68" s="670"/>
      <c r="RS68" s="671">
        <f t="shared" si="38"/>
        <v>1.560804663639157</v>
      </c>
      <c r="RT68" s="671"/>
      <c r="RU68" s="671"/>
      <c r="RV68" s="671"/>
      <c r="RW68" s="671"/>
      <c r="RX68" s="671"/>
      <c r="RY68" s="681">
        <f t="shared" si="14"/>
        <v>13.897062341567752</v>
      </c>
      <c r="RZ68" s="681"/>
      <c r="SA68" s="681"/>
      <c r="SB68" s="681"/>
      <c r="SC68" s="681">
        <f>'Вывод расчетов'!$AQ$6/RY68</f>
        <v>27.343908421809061</v>
      </c>
      <c r="SD68" s="681"/>
      <c r="SE68" s="681"/>
      <c r="SF68" s="681"/>
      <c r="SG68" s="867">
        <f t="shared" si="31"/>
        <v>0.99367300972145756</v>
      </c>
      <c r="SH68" s="867"/>
      <c r="SI68" s="867"/>
      <c r="SJ68" s="867"/>
      <c r="SK68" s="865">
        <f t="shared" si="16"/>
        <v>0.11231184154442528</v>
      </c>
      <c r="SL68" s="865"/>
      <c r="SM68" s="865"/>
      <c r="SN68" s="865"/>
      <c r="SO68" s="692">
        <f t="shared" si="26"/>
        <v>27.521226220178171</v>
      </c>
      <c r="SP68" s="693"/>
      <c r="SQ68" s="693"/>
      <c r="SR68" s="693"/>
      <c r="SS68" s="694"/>
      <c r="ST68" s="668">
        <f t="shared" si="24"/>
        <v>14.05312147187149</v>
      </c>
      <c r="SU68" s="678"/>
      <c r="SV68" s="678"/>
      <c r="SW68" s="678"/>
      <c r="SX68" s="678"/>
      <c r="SY68" s="669"/>
      <c r="SZ68" s="682">
        <f t="shared" si="19"/>
        <v>30.901587592960301</v>
      </c>
      <c r="TA68" s="683"/>
      <c r="TB68" s="683"/>
      <c r="TC68" s="683"/>
      <c r="TD68" s="683"/>
      <c r="TE68" s="684"/>
      <c r="TF68" s="682">
        <f>'Вывод расчетов'!$XC$174*SC68</f>
        <v>27.779377068214572</v>
      </c>
      <c r="TG68" s="683"/>
      <c r="TH68" s="684"/>
      <c r="TI68" s="681">
        <f t="shared" si="58"/>
        <v>31.374197891003114</v>
      </c>
      <c r="TJ68" s="681"/>
      <c r="TK68" s="681"/>
      <c r="TL68" s="681"/>
      <c r="TM68" s="685">
        <f t="shared" si="21"/>
        <v>0.53153880768791273</v>
      </c>
      <c r="TN68" s="686"/>
      <c r="TO68" s="686"/>
      <c r="TP68" s="687"/>
      <c r="TQ68" s="688">
        <f t="shared" si="22"/>
        <v>1.5276004684189346</v>
      </c>
      <c r="TR68" s="688"/>
      <c r="TS68" s="688"/>
      <c r="TT68" s="688"/>
      <c r="TU68" s="689">
        <f t="shared" si="27"/>
        <v>0.15078132835071847</v>
      </c>
      <c r="TV68" s="690"/>
      <c r="TW68" s="690"/>
      <c r="TX68" s="690"/>
      <c r="TY68" s="690"/>
      <c r="TZ68" s="691"/>
      <c r="UA68" s="679">
        <v>0.05</v>
      </c>
      <c r="UB68" s="680"/>
      <c r="UC68" s="650">
        <v>0.5</v>
      </c>
      <c r="UD68" s="866">
        <f t="shared" si="39"/>
        <v>3.0902074202849796</v>
      </c>
      <c r="UE68" s="866"/>
      <c r="UF68" s="866"/>
      <c r="UG68" s="866"/>
      <c r="UH68" s="866"/>
      <c r="UI68" s="866"/>
      <c r="UJ68" s="866"/>
      <c r="UK68" s="681">
        <f t="shared" si="40"/>
        <v>28.283990470718134</v>
      </c>
      <c r="UL68" s="681"/>
      <c r="UM68" s="681"/>
      <c r="UN68" s="681"/>
      <c r="UO68" s="816">
        <f t="shared" si="41"/>
        <v>0.90150481516625069</v>
      </c>
      <c r="UP68" s="816"/>
      <c r="UQ68" s="816"/>
      <c r="UR68" s="816"/>
      <c r="US68" s="866">
        <f t="shared" si="42"/>
        <v>0.89060881216497079</v>
      </c>
      <c r="UT68" s="866"/>
      <c r="UU68" s="866"/>
      <c r="UV68" s="866"/>
      <c r="UW68" s="866"/>
      <c r="WD68" s="826"/>
      <c r="WE68" s="548" t="s">
        <v>1340</v>
      </c>
      <c r="WF68" s="724">
        <f>$AQ$6</f>
        <v>380</v>
      </c>
      <c r="WG68" s="724"/>
      <c r="WH68" s="701" t="s">
        <v>177</v>
      </c>
      <c r="WI68" s="701"/>
      <c r="WJ68" s="701"/>
      <c r="WK68" s="701"/>
      <c r="WL68" s="701"/>
      <c r="WM68" s="701"/>
      <c r="WN68" s="701"/>
      <c r="WO68" s="701"/>
      <c r="WP68" s="701"/>
      <c r="WQ68" s="702"/>
      <c r="WR68" s="763">
        <f>WF68/WF69</f>
        <v>34.601834264627279</v>
      </c>
      <c r="WS68" s="764"/>
      <c r="WT68" s="917" t="s">
        <v>415</v>
      </c>
      <c r="WU68" s="896"/>
      <c r="WV68" s="712"/>
      <c r="WW68" s="952" t="s">
        <v>1325</v>
      </c>
      <c r="WX68" s="953"/>
      <c r="WY68" s="746"/>
      <c r="WZ68" s="890"/>
      <c r="XA68" s="841"/>
      <c r="XB68" s="841"/>
      <c r="XC68" s="891"/>
      <c r="XO68" s="826"/>
      <c r="XP68" s="863" t="s">
        <v>1581</v>
      </c>
      <c r="XQ68" s="863"/>
      <c r="XR68" s="739">
        <f>$YF$45</f>
        <v>0.1</v>
      </c>
      <c r="XS68" s="739"/>
      <c r="XT68" s="942"/>
      <c r="XU68" s="942"/>
      <c r="XV68" s="942"/>
      <c r="XW68" s="942"/>
      <c r="XX68" s="942"/>
      <c r="XY68" s="942"/>
      <c r="XZ68" s="942"/>
      <c r="YA68" s="942"/>
      <c r="YB68" s="1011"/>
      <c r="YC68" s="765"/>
      <c r="YD68" s="766"/>
      <c r="YE68" s="814"/>
      <c r="YF68" s="815"/>
      <c r="YG68" s="713"/>
      <c r="YH68" s="954"/>
      <c r="YI68" s="955"/>
      <c r="YJ68" s="747"/>
      <c r="YK68" s="1137"/>
      <c r="YL68" s="1138"/>
      <c r="YM68" s="1139"/>
      <c r="YN68" s="767"/>
      <c r="YO68" s="767"/>
      <c r="YP68" s="767"/>
      <c r="YQ68" s="767"/>
      <c r="YR68" s="767"/>
      <c r="AAD68" s="947"/>
      <c r="AAE68" s="947"/>
      <c r="AAF68" s="947"/>
      <c r="AAG68" s="947"/>
      <c r="AAH68" s="465">
        <v>58</v>
      </c>
      <c r="AAI68" s="956"/>
      <c r="AAJ68" s="957"/>
      <c r="AAK68" s="956"/>
      <c r="AAL68" s="957"/>
      <c r="AAM68" s="958">
        <f t="shared" si="29"/>
        <v>0.77333333333333343</v>
      </c>
      <c r="AAN68" s="959"/>
      <c r="AAP68" s="947"/>
      <c r="AAQ68" s="947"/>
      <c r="AAR68" s="947"/>
      <c r="AAS68" s="947"/>
      <c r="AAT68" s="465">
        <v>118</v>
      </c>
      <c r="AAU68" s="956"/>
      <c r="AAV68" s="957"/>
      <c r="AAW68" s="956"/>
      <c r="AAX68" s="957"/>
      <c r="AAY68" s="958">
        <f t="shared" si="1"/>
        <v>1.5733333333333335</v>
      </c>
      <c r="AAZ68" s="959"/>
      <c r="ABB68" s="947"/>
      <c r="ABC68" s="947"/>
      <c r="ABD68" s="947"/>
      <c r="ABE68" s="947"/>
      <c r="ABF68" s="465">
        <v>178</v>
      </c>
      <c r="ABG68" s="956"/>
      <c r="ABH68" s="957"/>
      <c r="ABI68" s="956"/>
      <c r="ABJ68" s="957"/>
      <c r="ABK68" s="958">
        <f t="shared" si="2"/>
        <v>2.3733333333333335</v>
      </c>
      <c r="ABL68" s="959"/>
      <c r="ABN68" s="947"/>
      <c r="ABO68" s="947"/>
      <c r="ABP68" s="947"/>
      <c r="ABQ68" s="947"/>
      <c r="ABR68" s="465">
        <v>238</v>
      </c>
      <c r="ABS68" s="956"/>
      <c r="ABT68" s="957"/>
      <c r="ABU68" s="956"/>
      <c r="ABV68" s="957"/>
      <c r="ABW68" s="958">
        <f t="shared" si="3"/>
        <v>3.1733333333333333</v>
      </c>
      <c r="ABX68" s="959"/>
      <c r="ABZ68" s="947"/>
      <c r="ACA68" s="947"/>
      <c r="ACB68" s="947"/>
      <c r="ACC68" s="947"/>
      <c r="ACD68" s="465">
        <v>298</v>
      </c>
      <c r="ACE68" s="956"/>
      <c r="ACF68" s="957"/>
      <c r="ACG68" s="956"/>
      <c r="ACH68" s="957"/>
      <c r="ACI68" s="958">
        <f t="shared" si="4"/>
        <v>3.9733333333333336</v>
      </c>
      <c r="ACJ68" s="959"/>
      <c r="ADB68" s="905"/>
      <c r="ADC68" s="900"/>
      <c r="ADD68" s="906"/>
      <c r="ADE68" s="826"/>
      <c r="ADF68" s="1324"/>
      <c r="ADG68" s="1324"/>
      <c r="ADH68" s="1082"/>
      <c r="ADI68" s="1082"/>
      <c r="ADJ68" s="727"/>
      <c r="ADK68" s="727"/>
      <c r="ADL68" s="727"/>
      <c r="ADM68" s="727"/>
      <c r="ADN68" s="727"/>
      <c r="ADO68" s="727"/>
      <c r="ADP68" s="727"/>
      <c r="ADQ68" s="727"/>
      <c r="ADR68" s="727"/>
      <c r="ADS68" s="727"/>
      <c r="ADT68" s="727"/>
      <c r="ADU68" s="727"/>
      <c r="ADV68" s="727"/>
      <c r="ADW68" s="727"/>
      <c r="ADX68" s="826"/>
      <c r="ADY68" s="1325"/>
      <c r="ADZ68" s="1325"/>
      <c r="AEA68" s="1325"/>
      <c r="AEB68" s="1325"/>
      <c r="AEC68" s="1325"/>
      <c r="AED68" s="1325"/>
      <c r="AEE68" s="1325"/>
      <c r="AEF68" s="1326"/>
      <c r="AEG68" s="172"/>
      <c r="AEH68" s="172"/>
      <c r="AEI68" s="172"/>
      <c r="AEJ68" s="172"/>
      <c r="AEK68" s="177"/>
      <c r="AEP68" s="947"/>
      <c r="AEQ68" s="947"/>
      <c r="AER68" s="947"/>
      <c r="AES68" s="947"/>
      <c r="AET68" s="656">
        <v>24</v>
      </c>
      <c r="AEU68" s="956"/>
      <c r="AEV68" s="957"/>
      <c r="AEW68" s="958">
        <f t="shared" si="35"/>
        <v>0.76</v>
      </c>
      <c r="AEX68" s="959"/>
      <c r="AEZ68" s="947"/>
      <c r="AFA68" s="947"/>
      <c r="AFB68" s="947"/>
      <c r="AFC68" s="947"/>
      <c r="AFD68" s="656">
        <v>84</v>
      </c>
      <c r="AFE68" s="956"/>
      <c r="AFF68" s="957"/>
      <c r="AFG68" s="958">
        <f t="shared" si="36"/>
        <v>2.66</v>
      </c>
      <c r="AFH68" s="959"/>
      <c r="AFJ68" s="947"/>
      <c r="AFK68" s="947"/>
      <c r="AFL68" s="947"/>
      <c r="AFM68" s="947"/>
      <c r="AFN68" s="656">
        <v>144</v>
      </c>
      <c r="AFO68" s="956"/>
      <c r="AFP68" s="957"/>
      <c r="AFQ68" s="958">
        <f t="shared" si="37"/>
        <v>4.5600000000000005</v>
      </c>
      <c r="AFR68" s="959"/>
      <c r="AFT68" s="947"/>
      <c r="AFU68" s="947"/>
      <c r="AFV68" s="947"/>
      <c r="AFW68" s="947"/>
      <c r="AFX68" s="656">
        <v>204</v>
      </c>
      <c r="AFY68" s="956"/>
      <c r="AFZ68" s="957"/>
      <c r="AGA68" s="958"/>
      <c r="AGB68" s="959"/>
      <c r="AGD68" s="947"/>
      <c r="AGE68" s="947"/>
      <c r="AGF68" s="947"/>
      <c r="AGG68" s="947"/>
      <c r="AGH68" s="657">
        <v>264</v>
      </c>
      <c r="AGI68" s="956"/>
      <c r="AGJ68" s="957"/>
      <c r="AGK68" s="958"/>
      <c r="AGL68" s="959"/>
      <c r="AHO68" s="144"/>
      <c r="AIM68" s="214" t="s">
        <v>899</v>
      </c>
      <c r="AIN68" s="665" t="s">
        <v>442</v>
      </c>
      <c r="AIO68" s="666"/>
      <c r="AIP68" s="216"/>
      <c r="AIQ68" s="87"/>
      <c r="AIR68" s="87"/>
      <c r="AIS68" s="87"/>
      <c r="AIT68" s="87"/>
      <c r="AIU68" s="87"/>
      <c r="AIV68" s="87"/>
      <c r="AIW68" s="216"/>
      <c r="AIX68" s="85" t="s">
        <v>467</v>
      </c>
      <c r="AIY68" s="757" t="s">
        <v>461</v>
      </c>
      <c r="AIZ68" s="758"/>
      <c r="AJA68" s="819" t="s">
        <v>126</v>
      </c>
      <c r="AJB68" s="820"/>
      <c r="AJC68" s="1296" t="s">
        <v>731</v>
      </c>
      <c r="AJD68" s="1296"/>
      <c r="AJE68" s="1296"/>
      <c r="AJF68" s="821" t="s">
        <v>473</v>
      </c>
      <c r="AJG68" s="822"/>
      <c r="AJH68" s="822"/>
      <c r="AJI68" s="823"/>
      <c r="AJU68" s="144"/>
      <c r="AJV68" s="144"/>
      <c r="AJW68" s="144"/>
      <c r="AJX68" s="144"/>
      <c r="AJY68" s="144"/>
      <c r="AJZ68" s="144"/>
      <c r="AKA68" s="144"/>
      <c r="AKB68" s="144"/>
      <c r="AKC68" s="144"/>
      <c r="AKD68" s="144"/>
      <c r="AKE68" s="144"/>
      <c r="AKF68" s="144"/>
      <c r="AKG68" s="144"/>
      <c r="AKH68" s="144"/>
      <c r="AKI68" s="144"/>
      <c r="AKJ68" s="144"/>
      <c r="AKK68" s="144"/>
      <c r="AKL68" s="144"/>
      <c r="AKM68" s="144"/>
      <c r="AKN68" s="144"/>
      <c r="AKO68" s="144"/>
      <c r="AKP68" s="144"/>
      <c r="AKQ68" s="144"/>
      <c r="AKR68" s="144"/>
      <c r="AKS68" s="144"/>
      <c r="AKT68" s="144"/>
    </row>
    <row r="69" spans="12:982" ht="48" customHeight="1" thickBot="1">
      <c r="N69" s="3"/>
      <c r="O69" s="3"/>
      <c r="P69" s="3"/>
      <c r="Q69" s="3"/>
      <c r="AI69" s="795"/>
      <c r="AJ69" s="796"/>
      <c r="AK69" s="797"/>
      <c r="AL69" s="826"/>
      <c r="AM69" s="1488" t="s">
        <v>747</v>
      </c>
      <c r="AN69" s="1489"/>
      <c r="AO69" s="1489"/>
      <c r="AP69" s="1489"/>
      <c r="AQ69" s="1489"/>
      <c r="AR69" s="1489"/>
      <c r="AS69" s="1489"/>
      <c r="AT69" s="1489"/>
      <c r="AU69" s="1489"/>
      <c r="AV69" s="1489"/>
      <c r="AW69" s="1489"/>
      <c r="AX69" s="1489"/>
      <c r="AY69" s="1526"/>
      <c r="AZ69" s="808">
        <v>0.95</v>
      </c>
      <c r="BA69" s="809"/>
      <c r="BB69" s="759" t="s">
        <v>736</v>
      </c>
      <c r="BC69" s="760"/>
      <c r="BD69" s="714"/>
      <c r="BE69" s="740" t="s">
        <v>1300</v>
      </c>
      <c r="BF69" s="742"/>
      <c r="BG69" s="746"/>
      <c r="BN69" s="144"/>
      <c r="BT69" s="144"/>
      <c r="BX69" s="827"/>
      <c r="BY69" s="493" t="s">
        <v>1224</v>
      </c>
      <c r="BZ69" s="1534">
        <f>$CO$28</f>
        <v>33</v>
      </c>
      <c r="CA69" s="1534"/>
      <c r="CB69" s="735"/>
      <c r="CC69" s="735"/>
      <c r="CD69" s="735"/>
      <c r="CE69" s="735"/>
      <c r="CF69" s="735"/>
      <c r="CG69" s="735"/>
      <c r="CH69" s="735"/>
      <c r="CI69" s="735"/>
      <c r="CJ69" s="735"/>
      <c r="CK69" s="736"/>
      <c r="CL69" s="1337"/>
      <c r="CM69" s="1338"/>
      <c r="CN69" s="851"/>
      <c r="CO69" s="852"/>
      <c r="CP69" s="713"/>
      <c r="CQ69" s="743"/>
      <c r="CR69" s="745"/>
      <c r="CS69" s="747"/>
      <c r="CT69" s="892"/>
      <c r="CU69" s="893"/>
      <c r="CV69" s="894"/>
      <c r="DJ69" s="144"/>
      <c r="DK69" s="144"/>
      <c r="DL69" s="144"/>
      <c r="DM69" s="144"/>
      <c r="DN69" s="144"/>
      <c r="DO69" s="144"/>
      <c r="DP69" s="144"/>
      <c r="DQ69" s="144"/>
      <c r="DR69" s="144"/>
      <c r="DS69" s="144"/>
      <c r="DT69" s="144"/>
      <c r="DU69" s="144"/>
      <c r="DV69" s="144"/>
      <c r="GF69" s="795"/>
      <c r="GG69" s="796"/>
      <c r="GH69" s="797"/>
      <c r="GI69" s="825"/>
      <c r="GJ69" s="939" t="s">
        <v>1796</v>
      </c>
      <c r="GK69" s="701"/>
      <c r="GL69" s="701"/>
      <c r="GM69" s="701"/>
      <c r="GN69" s="701"/>
      <c r="GO69" s="701"/>
      <c r="GP69" s="701"/>
      <c r="GQ69" s="701"/>
      <c r="GR69" s="701"/>
      <c r="GS69" s="701"/>
      <c r="GT69" s="701"/>
      <c r="GU69" s="701"/>
      <c r="GV69" s="701"/>
      <c r="GW69" s="808">
        <v>1.5</v>
      </c>
      <c r="GX69" s="809"/>
      <c r="GY69" s="759" t="s">
        <v>50</v>
      </c>
      <c r="GZ69" s="760"/>
      <c r="HA69" s="714"/>
      <c r="HB69" s="740" t="s">
        <v>1112</v>
      </c>
      <c r="HC69" s="741"/>
      <c r="HD69" s="742"/>
      <c r="HE69" s="746"/>
      <c r="HR69" s="144"/>
      <c r="HS69" s="144"/>
      <c r="HT69" s="144"/>
      <c r="HU69" s="144"/>
      <c r="HV69" s="144"/>
      <c r="HW69" s="144"/>
      <c r="HX69" s="144"/>
      <c r="HY69" s="144"/>
      <c r="HZ69" s="144"/>
      <c r="IA69" s="144"/>
      <c r="IB69" s="144"/>
      <c r="IC69" s="144"/>
      <c r="ID69" s="144"/>
      <c r="IE69" s="144"/>
      <c r="IF69" s="144"/>
      <c r="IG69" s="144"/>
      <c r="IH69" s="144"/>
      <c r="II69" s="144"/>
      <c r="IJ69" s="144"/>
      <c r="IK69" s="144"/>
      <c r="IR69" s="767"/>
      <c r="IS69" s="665" t="s">
        <v>1139</v>
      </c>
      <c r="IT69" s="667"/>
      <c r="IU69" s="244"/>
      <c r="IV69" s="547" t="s">
        <v>1749</v>
      </c>
      <c r="IW69" s="677">
        <f>$AZ$86</f>
        <v>0.13</v>
      </c>
      <c r="IX69" s="677"/>
      <c r="IY69" s="150"/>
      <c r="IZ69" s="87"/>
      <c r="JA69" s="87"/>
      <c r="JB69" s="150"/>
      <c r="JC69" s="85" t="s">
        <v>467</v>
      </c>
      <c r="JD69" s="757" t="s">
        <v>461</v>
      </c>
      <c r="JE69" s="758"/>
      <c r="JF69" s="819" t="s">
        <v>126</v>
      </c>
      <c r="JG69" s="820"/>
      <c r="JH69" s="675" t="s">
        <v>731</v>
      </c>
      <c r="JI69" s="676"/>
      <c r="JJ69" s="821" t="s">
        <v>473</v>
      </c>
      <c r="JK69" s="822"/>
      <c r="JL69" s="822"/>
      <c r="JM69" s="822"/>
      <c r="JN69" s="769" t="s">
        <v>462</v>
      </c>
      <c r="JO69" s="769"/>
      <c r="JP69" s="769"/>
      <c r="JQ69" s="769"/>
      <c r="JR69" s="769"/>
      <c r="JS69" s="769"/>
      <c r="LB69" s="144"/>
      <c r="LC69" s="144"/>
      <c r="LD69" s="144"/>
      <c r="LE69" s="144"/>
      <c r="LF69" s="144"/>
      <c r="LG69" s="144"/>
      <c r="LH69" s="144"/>
      <c r="LI69" s="144"/>
      <c r="LJ69" s="144"/>
      <c r="LK69" s="144"/>
      <c r="LL69" s="144"/>
      <c r="LM69" s="144"/>
      <c r="LN69" s="144"/>
      <c r="LO69" s="144"/>
      <c r="LP69" s="144"/>
      <c r="LQ69" s="144"/>
      <c r="LR69" s="144"/>
      <c r="LS69" s="144"/>
      <c r="LT69" s="144"/>
      <c r="LU69" s="144"/>
      <c r="LZ69" s="826"/>
      <c r="MA69" s="375" t="s">
        <v>1128</v>
      </c>
      <c r="MB69" s="739">
        <f>$AZ$86</f>
        <v>0.13</v>
      </c>
      <c r="MC69" s="739"/>
      <c r="MD69" s="1253" t="s">
        <v>1560</v>
      </c>
      <c r="ME69" s="1121"/>
      <c r="MF69" s="1121"/>
      <c r="MG69" s="1121"/>
      <c r="MH69" s="1121"/>
      <c r="MI69" s="1121"/>
      <c r="MJ69" s="1121"/>
      <c r="MK69" s="1121"/>
      <c r="ML69" s="1121"/>
      <c r="MM69" s="1254"/>
      <c r="MN69" s="1087">
        <f>(ME68*AW82)/(MB70*10^(-6))</f>
        <v>1.5573482713531094E-4</v>
      </c>
      <c r="MO69" s="1006"/>
      <c r="MP69" s="895" t="s">
        <v>415</v>
      </c>
      <c r="MQ69" s="896"/>
      <c r="MR69" s="712"/>
      <c r="MS69" s="952" t="s">
        <v>905</v>
      </c>
      <c r="MT69" s="953"/>
      <c r="MU69" s="746"/>
      <c r="MV69" s="919"/>
      <c r="MW69" s="840"/>
      <c r="MX69" s="920"/>
      <c r="NI69" s="1620"/>
      <c r="NJ69" s="1621"/>
      <c r="NK69" s="1621"/>
      <c r="NL69" s="1621"/>
      <c r="NM69" s="1621"/>
      <c r="NN69" s="1621"/>
      <c r="NO69" s="1621"/>
      <c r="NP69" s="1621"/>
      <c r="NQ69" s="1621"/>
      <c r="NR69" s="1621"/>
      <c r="NS69" s="1621"/>
      <c r="NT69" s="1621"/>
      <c r="NU69" s="1621"/>
      <c r="NV69" s="1621"/>
      <c r="NW69" s="1621"/>
      <c r="NX69" s="1621"/>
      <c r="NY69" s="1621"/>
      <c r="NZ69" s="1621"/>
      <c r="OA69" s="1621"/>
      <c r="OB69" s="1621"/>
      <c r="OC69" s="1621"/>
      <c r="OD69" s="1622"/>
      <c r="OQ69" s="144"/>
      <c r="OR69" s="144"/>
      <c r="OS69" s="144"/>
      <c r="OT69" s="144"/>
      <c r="OU69" s="144"/>
      <c r="OV69" s="144"/>
      <c r="OW69" s="144"/>
      <c r="OX69" s="144"/>
      <c r="OY69" s="144"/>
      <c r="OZ69" s="144"/>
      <c r="PA69" s="144"/>
      <c r="PB69" s="144"/>
      <c r="PC69" s="144"/>
      <c r="PD69" s="144"/>
      <c r="PE69" s="144"/>
      <c r="PF69" s="144"/>
      <c r="PG69" s="144"/>
      <c r="PJ69" s="826"/>
      <c r="PK69" s="696" t="s">
        <v>1164</v>
      </c>
      <c r="PL69" s="697"/>
      <c r="PM69" s="698">
        <f>$EQ$67</f>
        <v>10.3</v>
      </c>
      <c r="PN69" s="726"/>
      <c r="PO69" s="700" t="s">
        <v>173</v>
      </c>
      <c r="PP69" s="701"/>
      <c r="PQ69" s="701"/>
      <c r="PR69" s="701"/>
      <c r="PS69" s="701"/>
      <c r="PT69" s="701"/>
      <c r="PU69" s="701"/>
      <c r="PV69" s="701"/>
      <c r="PW69" s="702"/>
      <c r="PX69" s="763">
        <f>(PM69+PM70)/2</f>
        <v>12.45</v>
      </c>
      <c r="PY69" s="764"/>
      <c r="PZ69" s="759" t="s">
        <v>50</v>
      </c>
      <c r="QA69" s="760"/>
      <c r="QB69" s="712"/>
      <c r="QC69" s="952" t="s">
        <v>1681</v>
      </c>
      <c r="QD69" s="1151"/>
      <c r="QE69" s="953"/>
      <c r="QF69" s="746"/>
      <c r="QG69" s="919"/>
      <c r="QH69" s="840"/>
      <c r="QI69" s="840"/>
      <c r="QJ69" s="840"/>
      <c r="QK69" s="840"/>
      <c r="QL69" s="840"/>
      <c r="QM69" s="920"/>
      <c r="QP69" s="144"/>
      <c r="QQ69" s="144"/>
      <c r="QR69" s="144"/>
      <c r="QS69" s="144"/>
      <c r="QT69" s="144"/>
      <c r="QU69" s="144"/>
      <c r="RC69" s="369">
        <v>51</v>
      </c>
      <c r="RD69" s="668">
        <v>5.0999999999999997E-2</v>
      </c>
      <c r="RE69" s="669"/>
      <c r="RF69" s="670">
        <f t="shared" si="30"/>
        <v>13.353563326486187</v>
      </c>
      <c r="RG69" s="670"/>
      <c r="RH69" s="670"/>
      <c r="RI69" s="670"/>
      <c r="RJ69" s="698">
        <f t="shared" si="12"/>
        <v>30</v>
      </c>
      <c r="RK69" s="699"/>
      <c r="RL69" s="726"/>
      <c r="RM69" s="670">
        <f t="shared" si="13"/>
        <v>13.542064496702633</v>
      </c>
      <c r="RN69" s="670"/>
      <c r="RO69" s="670"/>
      <c r="RP69" s="670"/>
      <c r="RQ69" s="670"/>
      <c r="RR69" s="670"/>
      <c r="RS69" s="671">
        <f t="shared" si="38"/>
        <v>1.560804663639157</v>
      </c>
      <c r="RT69" s="671"/>
      <c r="RU69" s="671"/>
      <c r="RV69" s="671"/>
      <c r="RW69" s="671"/>
      <c r="RX69" s="671"/>
      <c r="RY69" s="681">
        <f t="shared" si="14"/>
        <v>13.631713833223307</v>
      </c>
      <c r="RZ69" s="681"/>
      <c r="SA69" s="681"/>
      <c r="SB69" s="681"/>
      <c r="SC69" s="681">
        <f>'Вывод расчетов'!$AQ$6/RY69</f>
        <v>27.876172038901036</v>
      </c>
      <c r="SD69" s="681"/>
      <c r="SE69" s="681"/>
      <c r="SF69" s="681"/>
      <c r="SG69" s="867">
        <f t="shared" si="31"/>
        <v>0.99342347282099042</v>
      </c>
      <c r="SH69" s="867"/>
      <c r="SI69" s="867"/>
      <c r="SJ69" s="867"/>
      <c r="SK69" s="865">
        <f t="shared" si="16"/>
        <v>0.11449805084927422</v>
      </c>
      <c r="SL69" s="865"/>
      <c r="SM69" s="865"/>
      <c r="SN69" s="865"/>
      <c r="SO69" s="692">
        <f t="shared" si="26"/>
        <v>28.043166076971708</v>
      </c>
      <c r="SP69" s="693"/>
      <c r="SQ69" s="693"/>
      <c r="SR69" s="693"/>
      <c r="SS69" s="694"/>
      <c r="ST69" s="668">
        <f t="shared" si="24"/>
        <v>14.173844125589202</v>
      </c>
      <c r="SU69" s="678"/>
      <c r="SV69" s="678"/>
      <c r="SW69" s="678"/>
      <c r="SX69" s="678"/>
      <c r="SY69" s="669"/>
      <c r="SZ69" s="682">
        <f t="shared" si="19"/>
        <v>31.421601183216559</v>
      </c>
      <c r="TA69" s="683"/>
      <c r="TB69" s="683"/>
      <c r="TC69" s="683"/>
      <c r="TD69" s="683"/>
      <c r="TE69" s="684"/>
      <c r="TF69" s="682">
        <f>'Вывод расчетов'!$XC$174*SC69</f>
        <v>28.320117312469367</v>
      </c>
      <c r="TG69" s="683"/>
      <c r="TH69" s="684"/>
      <c r="TI69" s="681">
        <f t="shared" si="58"/>
        <v>31.969209327747748</v>
      </c>
      <c r="TJ69" s="681"/>
      <c r="TK69" s="681"/>
      <c r="TL69" s="681"/>
      <c r="TM69" s="685">
        <f t="shared" si="21"/>
        <v>0.54957885836756082</v>
      </c>
      <c r="TN69" s="686"/>
      <c r="TO69" s="686"/>
      <c r="TP69" s="687"/>
      <c r="TQ69" s="688">
        <f t="shared" si="22"/>
        <v>1.5876503862123588</v>
      </c>
      <c r="TR69" s="688"/>
      <c r="TS69" s="688"/>
      <c r="TT69" s="688"/>
      <c r="TU69" s="689">
        <f t="shared" si="27"/>
        <v>0.15589873984664199</v>
      </c>
      <c r="TV69" s="690"/>
      <c r="TW69" s="690"/>
      <c r="TX69" s="690"/>
      <c r="TY69" s="690"/>
      <c r="TZ69" s="691"/>
      <c r="UA69" s="756">
        <v>5.0999999999999997E-2</v>
      </c>
      <c r="UB69" s="756"/>
      <c r="UC69" s="650">
        <v>0.51</v>
      </c>
      <c r="UD69" s="866">
        <f t="shared" si="39"/>
        <v>3.1734148002539748</v>
      </c>
      <c r="UE69" s="866"/>
      <c r="UF69" s="866"/>
      <c r="UG69" s="866"/>
      <c r="UH69" s="866"/>
      <c r="UI69" s="866"/>
      <c r="UJ69" s="866"/>
      <c r="UK69" s="681">
        <f t="shared" si="40"/>
        <v>28.795794527493772</v>
      </c>
      <c r="UL69" s="681"/>
      <c r="UM69" s="681"/>
      <c r="UN69" s="681"/>
      <c r="UO69" s="816">
        <f t="shared" si="41"/>
        <v>0.9007352741282969</v>
      </c>
      <c r="UP69" s="816"/>
      <c r="UQ69" s="816"/>
      <c r="UR69" s="816"/>
      <c r="US69" s="866">
        <f t="shared" si="42"/>
        <v>0.89248049179462574</v>
      </c>
      <c r="UT69" s="866"/>
      <c r="UU69" s="866"/>
      <c r="UV69" s="866"/>
      <c r="UW69" s="866"/>
      <c r="WD69" s="827"/>
      <c r="WE69" s="550" t="s">
        <v>1301</v>
      </c>
      <c r="WF69" s="672">
        <f>$JF$159</f>
        <v>10.982076761995994</v>
      </c>
      <c r="WG69" s="672"/>
      <c r="WH69" s="707"/>
      <c r="WI69" s="707"/>
      <c r="WJ69" s="707"/>
      <c r="WK69" s="707"/>
      <c r="WL69" s="707"/>
      <c r="WM69" s="707"/>
      <c r="WN69" s="707"/>
      <c r="WO69" s="707"/>
      <c r="WP69" s="707"/>
      <c r="WQ69" s="708"/>
      <c r="WR69" s="765"/>
      <c r="WS69" s="766"/>
      <c r="WT69" s="918"/>
      <c r="WU69" s="898"/>
      <c r="WV69" s="713"/>
      <c r="WW69" s="954"/>
      <c r="WX69" s="955"/>
      <c r="WY69" s="747"/>
      <c r="WZ69" s="892"/>
      <c r="XA69" s="893"/>
      <c r="XB69" s="893"/>
      <c r="XC69" s="894"/>
      <c r="XO69" s="827"/>
      <c r="XP69" s="930"/>
      <c r="XQ69" s="931"/>
      <c r="XR69" s="931"/>
      <c r="XS69" s="951"/>
      <c r="XT69" s="944"/>
      <c r="XU69" s="944"/>
      <c r="XV69" s="944"/>
      <c r="XW69" s="944"/>
      <c r="XX69" s="944"/>
      <c r="XY69" s="944"/>
      <c r="XZ69" s="944"/>
      <c r="YA69" s="944"/>
      <c r="YB69" s="1004"/>
      <c r="YC69" s="1012"/>
      <c r="YD69" s="1013"/>
      <c r="YE69" s="1013"/>
      <c r="YF69" s="1013"/>
      <c r="YG69" s="1013"/>
      <c r="YH69" s="1013"/>
      <c r="YI69" s="1013"/>
      <c r="YJ69" s="1013"/>
      <c r="YK69" s="1013"/>
      <c r="YL69" s="1013"/>
      <c r="YM69" s="1013"/>
      <c r="YN69" s="768"/>
      <c r="YO69" s="768"/>
      <c r="YP69" s="768"/>
      <c r="YQ69" s="768"/>
      <c r="YR69" s="768"/>
      <c r="AAD69" s="947"/>
      <c r="AAE69" s="947"/>
      <c r="AAF69" s="947"/>
      <c r="AAG69" s="947"/>
      <c r="AAH69" s="465">
        <v>59</v>
      </c>
      <c r="AAI69" s="956"/>
      <c r="AAJ69" s="957"/>
      <c r="AAK69" s="956"/>
      <c r="AAL69" s="957"/>
      <c r="AAM69" s="958">
        <f t="shared" si="29"/>
        <v>0.78666666666666674</v>
      </c>
      <c r="AAN69" s="959"/>
      <c r="AAP69" s="947"/>
      <c r="AAQ69" s="947"/>
      <c r="AAR69" s="947"/>
      <c r="AAS69" s="947"/>
      <c r="AAT69" s="465">
        <v>119</v>
      </c>
      <c r="AAU69" s="956"/>
      <c r="AAV69" s="957"/>
      <c r="AAW69" s="956"/>
      <c r="AAX69" s="957"/>
      <c r="AAY69" s="958">
        <f t="shared" si="1"/>
        <v>1.5866666666666667</v>
      </c>
      <c r="AAZ69" s="959"/>
      <c r="ABB69" s="947"/>
      <c r="ABC69" s="947"/>
      <c r="ABD69" s="947"/>
      <c r="ABE69" s="947"/>
      <c r="ABF69" s="465">
        <v>179</v>
      </c>
      <c r="ABG69" s="956"/>
      <c r="ABH69" s="957"/>
      <c r="ABI69" s="956"/>
      <c r="ABJ69" s="957"/>
      <c r="ABK69" s="958">
        <f t="shared" si="2"/>
        <v>2.3866666666666667</v>
      </c>
      <c r="ABL69" s="959"/>
      <c r="ABN69" s="947"/>
      <c r="ABO69" s="947"/>
      <c r="ABP69" s="947"/>
      <c r="ABQ69" s="947"/>
      <c r="ABR69" s="465">
        <v>239</v>
      </c>
      <c r="ABS69" s="956"/>
      <c r="ABT69" s="957"/>
      <c r="ABU69" s="956"/>
      <c r="ABV69" s="957"/>
      <c r="ABW69" s="958">
        <f t="shared" si="3"/>
        <v>3.186666666666667</v>
      </c>
      <c r="ABX69" s="959"/>
      <c r="ABZ69" s="947"/>
      <c r="ACA69" s="947"/>
      <c r="ACB69" s="947"/>
      <c r="ACC69" s="947"/>
      <c r="ACD69" s="465">
        <v>299</v>
      </c>
      <c r="ACE69" s="956"/>
      <c r="ACF69" s="957"/>
      <c r="ACG69" s="956"/>
      <c r="ACH69" s="957"/>
      <c r="ACI69" s="958">
        <f t="shared" si="4"/>
        <v>3.9866666666666668</v>
      </c>
      <c r="ACJ69" s="959"/>
      <c r="ADB69" s="907"/>
      <c r="ADC69" s="901"/>
      <c r="ADD69" s="908"/>
      <c r="ADE69" s="1304"/>
      <c r="ADF69" s="1324"/>
      <c r="ADG69" s="1324"/>
      <c r="ADH69" s="1082"/>
      <c r="ADI69" s="1082"/>
      <c r="ADJ69" s="727"/>
      <c r="ADK69" s="727"/>
      <c r="ADL69" s="727"/>
      <c r="ADM69" s="727"/>
      <c r="ADN69" s="727"/>
      <c r="ADO69" s="727"/>
      <c r="ADP69" s="727"/>
      <c r="ADQ69" s="727"/>
      <c r="ADR69" s="727"/>
      <c r="ADS69" s="727"/>
      <c r="ADT69" s="727"/>
      <c r="ADU69" s="727"/>
      <c r="ADV69" s="727"/>
      <c r="ADW69" s="727"/>
      <c r="ADX69" s="826"/>
      <c r="ADY69" s="1191"/>
      <c r="ADZ69" s="1191"/>
      <c r="AEA69" s="1191"/>
      <c r="AEB69" s="1191"/>
      <c r="AEC69" s="1191"/>
      <c r="AED69" s="1191"/>
      <c r="AEE69" s="1191"/>
      <c r="AEF69" s="902"/>
      <c r="AEG69" s="172"/>
      <c r="AEH69" s="172"/>
      <c r="AEI69" s="172"/>
      <c r="AEJ69" s="172"/>
      <c r="AEK69" s="177"/>
      <c r="AEP69" s="947"/>
      <c r="AEQ69" s="947"/>
      <c r="AER69" s="947"/>
      <c r="AES69" s="947"/>
      <c r="AET69" s="656">
        <v>25</v>
      </c>
      <c r="AEU69" s="956"/>
      <c r="AEV69" s="957"/>
      <c r="AEW69" s="958">
        <f t="shared" si="35"/>
        <v>0.79166666666666674</v>
      </c>
      <c r="AEX69" s="959"/>
      <c r="AEZ69" s="947"/>
      <c r="AFA69" s="947"/>
      <c r="AFB69" s="947"/>
      <c r="AFC69" s="947"/>
      <c r="AFD69" s="656">
        <v>85</v>
      </c>
      <c r="AFE69" s="956"/>
      <c r="AFF69" s="957"/>
      <c r="AFG69" s="958">
        <f t="shared" si="36"/>
        <v>2.6916666666666669</v>
      </c>
      <c r="AFH69" s="959"/>
      <c r="AFJ69" s="947"/>
      <c r="AFK69" s="947"/>
      <c r="AFL69" s="947"/>
      <c r="AFM69" s="947"/>
      <c r="AFN69" s="656">
        <v>145</v>
      </c>
      <c r="AFO69" s="956"/>
      <c r="AFP69" s="957"/>
      <c r="AFQ69" s="958">
        <f t="shared" si="37"/>
        <v>4.5916666666666668</v>
      </c>
      <c r="AFR69" s="959"/>
      <c r="AFT69" s="947"/>
      <c r="AFU69" s="947"/>
      <c r="AFV69" s="947"/>
      <c r="AFW69" s="947"/>
      <c r="AFX69" s="656">
        <v>205</v>
      </c>
      <c r="AFY69" s="956"/>
      <c r="AFZ69" s="957"/>
      <c r="AGA69" s="958"/>
      <c r="AGB69" s="959"/>
      <c r="AGD69" s="947"/>
      <c r="AGE69" s="947"/>
      <c r="AGF69" s="947"/>
      <c r="AGG69" s="947"/>
      <c r="AGH69" s="656">
        <v>265</v>
      </c>
      <c r="AGI69" s="956"/>
      <c r="AGJ69" s="957"/>
      <c r="AGK69" s="958"/>
      <c r="AGL69" s="959"/>
      <c r="AHO69" s="144"/>
      <c r="AIM69" s="825"/>
      <c r="AIN69" s="727" t="s">
        <v>1064</v>
      </c>
      <c r="AIO69" s="816"/>
      <c r="AIP69" s="816"/>
      <c r="AIQ69" s="816"/>
      <c r="AIR69" s="816"/>
      <c r="AIS69" s="816"/>
      <c r="AIT69" s="816"/>
      <c r="AIU69" s="816"/>
      <c r="AIV69" s="816"/>
      <c r="AIW69" s="816"/>
      <c r="AIX69" s="816"/>
      <c r="AIY69" s="816"/>
      <c r="AIZ69" s="816"/>
      <c r="AJA69" s="752">
        <v>0.1</v>
      </c>
      <c r="AJB69" s="753"/>
      <c r="AJC69" s="1327" t="s">
        <v>1006</v>
      </c>
      <c r="AJD69" s="1328"/>
      <c r="AJE69" s="1123"/>
      <c r="AJF69" s="712"/>
      <c r="AJG69" s="740" t="s">
        <v>978</v>
      </c>
      <c r="AJH69" s="742"/>
      <c r="AJI69" s="746"/>
      <c r="AJU69" s="144"/>
      <c r="AJV69" s="144"/>
      <c r="AJW69" s="144"/>
      <c r="AJX69" s="144"/>
      <c r="AJY69" s="144"/>
      <c r="AJZ69" s="144"/>
      <c r="AKA69" s="144"/>
      <c r="AKB69" s="144"/>
      <c r="AKC69" s="144"/>
      <c r="AKD69" s="144"/>
      <c r="AKE69" s="144"/>
      <c r="AKF69" s="144"/>
      <c r="AKG69" s="144"/>
      <c r="AKH69" s="144"/>
      <c r="AKI69" s="144"/>
      <c r="AKJ69" s="144"/>
      <c r="AKK69" s="144"/>
      <c r="AKL69" s="144"/>
      <c r="AKM69" s="144"/>
      <c r="AKN69" s="144"/>
      <c r="AKO69" s="144"/>
      <c r="AKP69" s="144"/>
      <c r="AKQ69" s="144"/>
      <c r="AKR69" s="144"/>
      <c r="AKS69" s="144"/>
      <c r="AKT69" s="144"/>
    </row>
    <row r="70" spans="12:982" ht="48" customHeight="1" thickBot="1">
      <c r="N70" s="3"/>
      <c r="O70" s="3"/>
      <c r="P70" s="3"/>
      <c r="Q70" s="3"/>
      <c r="AI70" s="795"/>
      <c r="AJ70" s="796"/>
      <c r="AK70" s="797"/>
      <c r="AL70" s="826"/>
      <c r="AM70" s="1527"/>
      <c r="AN70" s="1528"/>
      <c r="AO70" s="1528"/>
      <c r="AP70" s="1528"/>
      <c r="AQ70" s="1528"/>
      <c r="AR70" s="1528"/>
      <c r="AS70" s="1528"/>
      <c r="AT70" s="1528"/>
      <c r="AU70" s="1528"/>
      <c r="AV70" s="1528"/>
      <c r="AW70" s="1528"/>
      <c r="AX70" s="1528"/>
      <c r="AY70" s="1529"/>
      <c r="AZ70" s="1539"/>
      <c r="BA70" s="1569"/>
      <c r="BB70" s="1469"/>
      <c r="BC70" s="1470"/>
      <c r="BD70" s="715"/>
      <c r="BE70" s="743"/>
      <c r="BF70" s="745"/>
      <c r="BG70" s="747"/>
      <c r="BN70" s="144"/>
      <c r="DN70" s="144"/>
      <c r="DO70" s="144"/>
      <c r="DP70" s="144"/>
      <c r="DQ70" s="144"/>
      <c r="DR70" s="144"/>
      <c r="DS70" s="144"/>
      <c r="DT70" s="144"/>
      <c r="DU70" s="144"/>
      <c r="DV70" s="144"/>
      <c r="DZ70" s="85" t="s">
        <v>839</v>
      </c>
      <c r="EA70" s="665" t="s">
        <v>442</v>
      </c>
      <c r="EB70" s="666"/>
      <c r="EC70" s="239"/>
      <c r="ED70" s="87"/>
      <c r="EE70" s="87"/>
      <c r="EF70" s="87"/>
      <c r="EG70" s="87"/>
      <c r="EH70" s="87"/>
      <c r="EI70" s="87"/>
      <c r="EJ70" s="239"/>
      <c r="EK70" s="85" t="s">
        <v>467</v>
      </c>
      <c r="EL70" s="757" t="s">
        <v>461</v>
      </c>
      <c r="EM70" s="758"/>
      <c r="EN70" s="819" t="s">
        <v>126</v>
      </c>
      <c r="EO70" s="820"/>
      <c r="EP70" s="675" t="s">
        <v>731</v>
      </c>
      <c r="EQ70" s="676"/>
      <c r="ER70" s="769" t="s">
        <v>473</v>
      </c>
      <c r="ES70" s="769"/>
      <c r="ET70" s="769"/>
      <c r="EU70" s="769"/>
      <c r="EV70" s="769"/>
      <c r="EW70" s="769" t="s">
        <v>462</v>
      </c>
      <c r="EX70" s="769"/>
      <c r="EY70" s="769"/>
      <c r="EZ70" s="769"/>
      <c r="FA70" s="769"/>
      <c r="FB70" s="769"/>
      <c r="FC70" s="769"/>
      <c r="GE70" s="3"/>
      <c r="GF70" s="798"/>
      <c r="GG70" s="799"/>
      <c r="GH70" s="800"/>
      <c r="GI70" s="827"/>
      <c r="GJ70" s="706"/>
      <c r="GK70" s="707"/>
      <c r="GL70" s="707"/>
      <c r="GM70" s="707"/>
      <c r="GN70" s="707"/>
      <c r="GO70" s="707"/>
      <c r="GP70" s="707"/>
      <c r="GQ70" s="707"/>
      <c r="GR70" s="707"/>
      <c r="GS70" s="707"/>
      <c r="GT70" s="707"/>
      <c r="GU70" s="707"/>
      <c r="GV70" s="707"/>
      <c r="GW70" s="810"/>
      <c r="GX70" s="811"/>
      <c r="GY70" s="761"/>
      <c r="GZ70" s="762"/>
      <c r="HA70" s="715"/>
      <c r="HB70" s="743"/>
      <c r="HC70" s="744"/>
      <c r="HD70" s="745"/>
      <c r="HE70" s="747"/>
      <c r="HR70" s="144"/>
      <c r="HS70" s="144"/>
      <c r="HT70" s="144"/>
      <c r="HU70" s="144"/>
      <c r="HV70" s="144"/>
      <c r="HW70" s="144"/>
      <c r="HX70" s="144"/>
      <c r="HY70" s="144"/>
      <c r="HZ70" s="144"/>
      <c r="IA70" s="144"/>
      <c r="IB70" s="144"/>
      <c r="IC70" s="144"/>
      <c r="ID70" s="144"/>
      <c r="IE70" s="144"/>
      <c r="IF70" s="144"/>
      <c r="IG70" s="144"/>
      <c r="IH70" s="144"/>
      <c r="II70" s="144"/>
      <c r="IJ70" s="144"/>
      <c r="IK70" s="144"/>
      <c r="IR70" s="767"/>
      <c r="IS70" s="246" t="s">
        <v>1124</v>
      </c>
      <c r="IT70" s="677">
        <f>$EQ$37</f>
        <v>0.97</v>
      </c>
      <c r="IU70" s="677"/>
      <c r="IV70" s="249" t="s">
        <v>1169</v>
      </c>
      <c r="IW70" s="833">
        <f>$CL$92</f>
        <v>0.75945292831578104</v>
      </c>
      <c r="IX70" s="833"/>
      <c r="IY70" s="939" t="s">
        <v>1158</v>
      </c>
      <c r="IZ70" s="940"/>
      <c r="JA70" s="940"/>
      <c r="JB70" s="940"/>
      <c r="JC70" s="940"/>
      <c r="JD70" s="940"/>
      <c r="JE70" s="1003"/>
      <c r="JF70" s="763">
        <f>(IW70*IT71*1000*IT72)/(IW71*IT70*IW69)</f>
        <v>1.8500000000000003</v>
      </c>
      <c r="JG70" s="764"/>
      <c r="JH70" s="759" t="s">
        <v>18</v>
      </c>
      <c r="JI70" s="760"/>
      <c r="JJ70" s="714"/>
      <c r="JK70" s="1249" t="s">
        <v>1136</v>
      </c>
      <c r="JL70" s="1250"/>
      <c r="JM70" s="746"/>
      <c r="JN70" s="767"/>
      <c r="JO70" s="767"/>
      <c r="JP70" s="767"/>
      <c r="JQ70" s="767"/>
      <c r="JR70" s="767"/>
      <c r="JS70" s="767"/>
      <c r="LB70" s="144"/>
      <c r="LC70" s="144"/>
      <c r="LD70" s="144"/>
      <c r="LE70" s="144"/>
      <c r="LF70" s="144"/>
      <c r="LG70" s="144"/>
      <c r="LH70" s="144"/>
      <c r="LI70" s="144"/>
      <c r="LJ70" s="144"/>
      <c r="LK70" s="144"/>
      <c r="LL70" s="144"/>
      <c r="LM70" s="144"/>
      <c r="LN70" s="144"/>
      <c r="LO70" s="144"/>
      <c r="LP70" s="144"/>
      <c r="LQ70" s="144"/>
      <c r="LR70" s="144"/>
      <c r="LS70" s="144"/>
      <c r="LT70" s="144"/>
      <c r="LZ70" s="827"/>
      <c r="MA70" s="376" t="s">
        <v>1347</v>
      </c>
      <c r="MB70" s="828">
        <f>$GT$60</f>
        <v>37.535919540229884</v>
      </c>
      <c r="MC70" s="828"/>
      <c r="MD70" s="1255"/>
      <c r="ME70" s="1255"/>
      <c r="MF70" s="1255"/>
      <c r="MG70" s="1255"/>
      <c r="MH70" s="1255"/>
      <c r="MI70" s="1255"/>
      <c r="MJ70" s="1255"/>
      <c r="MK70" s="1255"/>
      <c r="ML70" s="1255"/>
      <c r="MM70" s="1256"/>
      <c r="MN70" s="1089"/>
      <c r="MO70" s="708"/>
      <c r="MP70" s="897"/>
      <c r="MQ70" s="898"/>
      <c r="MR70" s="713"/>
      <c r="MS70" s="954"/>
      <c r="MT70" s="955"/>
      <c r="MU70" s="747"/>
      <c r="MV70" s="892"/>
      <c r="MW70" s="893"/>
      <c r="MX70" s="894"/>
      <c r="NB70" s="144"/>
      <c r="NC70" s="144"/>
      <c r="ND70" s="144"/>
      <c r="NE70" s="144"/>
      <c r="NF70" s="144"/>
      <c r="NI70" s="1620"/>
      <c r="NJ70" s="1621"/>
      <c r="NK70" s="1621"/>
      <c r="NL70" s="1621"/>
      <c r="NM70" s="1621"/>
      <c r="NN70" s="1621"/>
      <c r="NO70" s="1621"/>
      <c r="NP70" s="1621"/>
      <c r="NQ70" s="1621"/>
      <c r="NR70" s="1621"/>
      <c r="NS70" s="1621"/>
      <c r="NT70" s="1621"/>
      <c r="NU70" s="1621"/>
      <c r="NV70" s="1621"/>
      <c r="NW70" s="1621"/>
      <c r="NX70" s="1621"/>
      <c r="NY70" s="1621"/>
      <c r="NZ70" s="1621"/>
      <c r="OA70" s="1621"/>
      <c r="OB70" s="1621"/>
      <c r="OC70" s="1621"/>
      <c r="OD70" s="1622"/>
      <c r="OQ70" s="144"/>
      <c r="OR70" s="144"/>
      <c r="OS70" s="144"/>
      <c r="OT70" s="144"/>
      <c r="OU70" s="144"/>
      <c r="OV70" s="144"/>
      <c r="OW70" s="144"/>
      <c r="OX70" s="144"/>
      <c r="OY70" s="144"/>
      <c r="OZ70" s="144"/>
      <c r="PA70" s="144"/>
      <c r="PB70" s="144"/>
      <c r="PC70" s="144"/>
      <c r="PD70" s="144"/>
      <c r="PE70" s="144"/>
      <c r="PF70" s="144"/>
      <c r="PG70" s="144"/>
      <c r="PJ70" s="826"/>
      <c r="PK70" s="949" t="s">
        <v>1165</v>
      </c>
      <c r="PL70" s="962"/>
      <c r="PM70" s="1450">
        <f>$EQ$76</f>
        <v>14.6</v>
      </c>
      <c r="PN70" s="1451"/>
      <c r="PO70" s="703"/>
      <c r="PP70" s="704"/>
      <c r="PQ70" s="704"/>
      <c r="PR70" s="704"/>
      <c r="PS70" s="704"/>
      <c r="PT70" s="704"/>
      <c r="PU70" s="704"/>
      <c r="PV70" s="704"/>
      <c r="PW70" s="705"/>
      <c r="PX70" s="765"/>
      <c r="PY70" s="766"/>
      <c r="PZ70" s="761"/>
      <c r="QA70" s="762"/>
      <c r="QB70" s="713"/>
      <c r="QC70" s="954"/>
      <c r="QD70" s="1152"/>
      <c r="QE70" s="955"/>
      <c r="QF70" s="747"/>
      <c r="QG70" s="890"/>
      <c r="QH70" s="841"/>
      <c r="QI70" s="841"/>
      <c r="QJ70" s="841"/>
      <c r="QK70" s="841"/>
      <c r="QL70" s="841"/>
      <c r="QM70" s="891"/>
      <c r="QP70" s="144"/>
      <c r="QQ70" s="144"/>
      <c r="QR70" s="144"/>
      <c r="QS70" s="144"/>
      <c r="QT70" s="144"/>
      <c r="QU70" s="144"/>
      <c r="RC70" s="369">
        <v>52</v>
      </c>
      <c r="RD70" s="668">
        <v>5.1999999999999998E-2</v>
      </c>
      <c r="RE70" s="669"/>
      <c r="RF70" s="670">
        <f t="shared" si="30"/>
        <v>13.096764031746067</v>
      </c>
      <c r="RG70" s="670"/>
      <c r="RH70" s="670"/>
      <c r="RI70" s="670"/>
      <c r="RJ70" s="698">
        <f t="shared" si="12"/>
        <v>30</v>
      </c>
      <c r="RK70" s="699"/>
      <c r="RL70" s="726"/>
      <c r="RM70" s="670">
        <f t="shared" si="13"/>
        <v>13.285265201962513</v>
      </c>
      <c r="RN70" s="670"/>
      <c r="RO70" s="670"/>
      <c r="RP70" s="670"/>
      <c r="RQ70" s="670"/>
      <c r="RR70" s="670"/>
      <c r="RS70" s="671">
        <f t="shared" si="38"/>
        <v>1.560804663639157</v>
      </c>
      <c r="RT70" s="671"/>
      <c r="RU70" s="671"/>
      <c r="RV70" s="671"/>
      <c r="RW70" s="671"/>
      <c r="RX70" s="671"/>
      <c r="RY70" s="681">
        <f t="shared" si="14"/>
        <v>13.376635701270846</v>
      </c>
      <c r="RZ70" s="681"/>
      <c r="SA70" s="681"/>
      <c r="SB70" s="681"/>
      <c r="SC70" s="681">
        <f>'Вывод расчетов'!$AQ$6/RY70</f>
        <v>28.407740816616403</v>
      </c>
      <c r="SD70" s="681"/>
      <c r="SE70" s="681"/>
      <c r="SF70" s="681"/>
      <c r="SG70" s="867">
        <f t="shared" si="31"/>
        <v>0.99316939615095801</v>
      </c>
      <c r="SH70" s="867"/>
      <c r="SI70" s="867"/>
      <c r="SJ70" s="867"/>
      <c r="SK70" s="865">
        <f t="shared" si="16"/>
        <v>0.11668140618428241</v>
      </c>
      <c r="SL70" s="865"/>
      <c r="SM70" s="865"/>
      <c r="SN70" s="865"/>
      <c r="SO70" s="692">
        <f t="shared" si="26"/>
        <v>28.564021233983087</v>
      </c>
      <c r="SP70" s="693"/>
      <c r="SQ70" s="693"/>
      <c r="SR70" s="693"/>
      <c r="SS70" s="694"/>
      <c r="ST70" s="668">
        <f t="shared" si="24"/>
        <v>14.296731906997431</v>
      </c>
      <c r="SU70" s="678"/>
      <c r="SV70" s="678"/>
      <c r="SW70" s="678"/>
      <c r="SX70" s="678"/>
      <c r="SY70" s="669"/>
      <c r="SZ70" s="682">
        <f t="shared" si="19"/>
        <v>31.942132869863201</v>
      </c>
      <c r="TA70" s="683"/>
      <c r="TB70" s="683"/>
      <c r="TC70" s="683"/>
      <c r="TD70" s="683"/>
      <c r="TE70" s="684"/>
      <c r="TF70" s="682">
        <f>'Вывод расчетов'!$XC$174*SC70</f>
        <v>28.860151651600912</v>
      </c>
      <c r="TG70" s="683"/>
      <c r="TH70" s="684"/>
      <c r="TI70" s="681">
        <f t="shared" si="58"/>
        <v>32.562984206740722</v>
      </c>
      <c r="TJ70" s="681"/>
      <c r="TK70" s="681"/>
      <c r="TL70" s="681"/>
      <c r="TM70" s="685">
        <f t="shared" si="21"/>
        <v>0.56793837858235918</v>
      </c>
      <c r="TN70" s="686"/>
      <c r="TO70" s="686"/>
      <c r="TP70" s="687"/>
      <c r="TQ70" s="688">
        <f t="shared" si="22"/>
        <v>1.6487772828148466</v>
      </c>
      <c r="TR70" s="688"/>
      <c r="TS70" s="688"/>
      <c r="TT70" s="688"/>
      <c r="TU70" s="689">
        <f t="shared" si="27"/>
        <v>0.16110677509417287</v>
      </c>
      <c r="TV70" s="690"/>
      <c r="TW70" s="690"/>
      <c r="TX70" s="690"/>
      <c r="TY70" s="690"/>
      <c r="TZ70" s="691"/>
      <c r="UA70" s="679">
        <v>5.1999999999999998E-2</v>
      </c>
      <c r="UB70" s="680"/>
      <c r="UC70" s="650">
        <v>0.52</v>
      </c>
      <c r="UD70" s="866">
        <f t="shared" si="39"/>
        <v>3.2581092523187927</v>
      </c>
      <c r="UE70" s="866"/>
      <c r="UF70" s="866"/>
      <c r="UG70" s="866"/>
      <c r="UH70" s="866"/>
      <c r="UI70" s="866"/>
      <c r="UJ70" s="866"/>
      <c r="UK70" s="681">
        <f t="shared" si="40"/>
        <v>29.30487495442193</v>
      </c>
      <c r="UL70" s="681"/>
      <c r="UM70" s="681"/>
      <c r="UN70" s="681"/>
      <c r="UO70" s="816">
        <f t="shared" si="41"/>
        <v>0.89994438987430558</v>
      </c>
      <c r="UP70" s="816"/>
      <c r="UQ70" s="816"/>
      <c r="UR70" s="816"/>
      <c r="US70" s="866">
        <f t="shared" si="42"/>
        <v>0.89424276551465676</v>
      </c>
      <c r="UT70" s="866"/>
      <c r="UU70" s="866"/>
      <c r="UV70" s="866"/>
      <c r="UW70" s="866"/>
      <c r="AAD70" s="947"/>
      <c r="AAE70" s="947"/>
      <c r="AAF70" s="947"/>
      <c r="AAG70" s="947"/>
      <c r="AAH70" s="465">
        <v>60</v>
      </c>
      <c r="AAI70" s="956"/>
      <c r="AAJ70" s="957"/>
      <c r="AAK70" s="956"/>
      <c r="AAL70" s="957"/>
      <c r="AAM70" s="958">
        <f t="shared" si="29"/>
        <v>0.8</v>
      </c>
      <c r="AAN70" s="959"/>
      <c r="AAP70" s="947"/>
      <c r="AAQ70" s="947"/>
      <c r="AAR70" s="947"/>
      <c r="AAS70" s="947"/>
      <c r="AAT70" s="465">
        <v>120</v>
      </c>
      <c r="AAU70" s="956"/>
      <c r="AAV70" s="957"/>
      <c r="AAW70" s="956"/>
      <c r="AAX70" s="957"/>
      <c r="AAY70" s="958">
        <f t="shared" si="1"/>
        <v>1.6</v>
      </c>
      <c r="AAZ70" s="959"/>
      <c r="ABB70" s="947"/>
      <c r="ABC70" s="947"/>
      <c r="ABD70" s="947"/>
      <c r="ABE70" s="947"/>
      <c r="ABF70" s="465">
        <v>180</v>
      </c>
      <c r="ABG70" s="956"/>
      <c r="ABH70" s="957"/>
      <c r="ABI70" s="956"/>
      <c r="ABJ70" s="957"/>
      <c r="ABK70" s="958">
        <f t="shared" si="2"/>
        <v>2.4000000000000004</v>
      </c>
      <c r="ABL70" s="959"/>
      <c r="ABN70" s="947"/>
      <c r="ABO70" s="947"/>
      <c r="ABP70" s="947"/>
      <c r="ABQ70" s="947"/>
      <c r="ABR70" s="465">
        <v>240</v>
      </c>
      <c r="ABS70" s="956"/>
      <c r="ABT70" s="957"/>
      <c r="ABU70" s="956"/>
      <c r="ABV70" s="957"/>
      <c r="ABW70" s="958">
        <f t="shared" si="3"/>
        <v>3.2</v>
      </c>
      <c r="ABX70" s="959"/>
      <c r="ABZ70" s="947"/>
      <c r="ACA70" s="947"/>
      <c r="ACB70" s="947"/>
      <c r="ACC70" s="947"/>
      <c r="ACD70" s="465">
        <v>300</v>
      </c>
      <c r="ACE70" s="956"/>
      <c r="ACF70" s="957"/>
      <c r="ACG70" s="956"/>
      <c r="ACH70" s="957"/>
      <c r="ACI70" s="958">
        <f t="shared" si="4"/>
        <v>4</v>
      </c>
      <c r="ACJ70" s="959"/>
      <c r="ADB70" s="1033">
        <v>16</v>
      </c>
      <c r="ADC70" s="1033"/>
      <c r="ADD70" s="182"/>
      <c r="ADE70" s="182"/>
      <c r="ADF70" s="182"/>
      <c r="ADG70" s="182"/>
      <c r="ADH70" s="182"/>
      <c r="ADI70" s="185"/>
      <c r="ADJ70" s="1032" t="s">
        <v>762</v>
      </c>
      <c r="ADK70" s="1032"/>
      <c r="ADL70" s="1035"/>
      <c r="ADM70" s="1036"/>
      <c r="ADN70" s="1035"/>
      <c r="ADO70" s="1036"/>
      <c r="ADP70" s="1035"/>
      <c r="ADQ70" s="1036"/>
      <c r="ADR70" s="1035"/>
      <c r="ADS70" s="1036"/>
      <c r="ADT70" s="1035"/>
      <c r="ADU70" s="1036"/>
      <c r="ADV70" s="1035"/>
      <c r="ADW70" s="1036"/>
      <c r="ADX70" s="767"/>
      <c r="ADY70" s="767"/>
      <c r="ADZ70" s="767"/>
      <c r="AEA70" s="767"/>
      <c r="AEB70" s="767"/>
      <c r="AEC70" s="767"/>
      <c r="AED70" s="767"/>
      <c r="AEE70" s="767"/>
      <c r="AEF70" s="767"/>
      <c r="AEG70" s="767"/>
      <c r="AEH70" s="767"/>
      <c r="AEI70" s="172"/>
      <c r="AEJ70" s="172"/>
      <c r="AEK70" s="177"/>
      <c r="AEP70" s="947"/>
      <c r="AEQ70" s="947"/>
      <c r="AER70" s="947"/>
      <c r="AES70" s="947"/>
      <c r="AET70" s="656">
        <v>26</v>
      </c>
      <c r="AEU70" s="956"/>
      <c r="AEV70" s="957"/>
      <c r="AEW70" s="958">
        <f t="shared" si="35"/>
        <v>0.82333333333333336</v>
      </c>
      <c r="AEX70" s="959"/>
      <c r="AEZ70" s="947"/>
      <c r="AFA70" s="947"/>
      <c r="AFB70" s="947"/>
      <c r="AFC70" s="947"/>
      <c r="AFD70" s="656">
        <v>86</v>
      </c>
      <c r="AFE70" s="956"/>
      <c r="AFF70" s="957"/>
      <c r="AFG70" s="958">
        <f t="shared" si="36"/>
        <v>2.7233333333333336</v>
      </c>
      <c r="AFH70" s="959"/>
      <c r="AFJ70" s="947"/>
      <c r="AFK70" s="947"/>
      <c r="AFL70" s="947"/>
      <c r="AFM70" s="947"/>
      <c r="AFN70" s="656">
        <v>146</v>
      </c>
      <c r="AFO70" s="956"/>
      <c r="AFP70" s="957"/>
      <c r="AFQ70" s="958">
        <f t="shared" si="37"/>
        <v>4.623333333333334</v>
      </c>
      <c r="AFR70" s="959"/>
      <c r="AFT70" s="947"/>
      <c r="AFU70" s="947"/>
      <c r="AFV70" s="947"/>
      <c r="AFW70" s="947"/>
      <c r="AFX70" s="656">
        <v>206</v>
      </c>
      <c r="AFY70" s="956"/>
      <c r="AFZ70" s="957"/>
      <c r="AGA70" s="958"/>
      <c r="AGB70" s="959"/>
      <c r="AGD70" s="947"/>
      <c r="AGE70" s="947"/>
      <c r="AGF70" s="947"/>
      <c r="AGG70" s="947"/>
      <c r="AGH70" s="656">
        <v>266</v>
      </c>
      <c r="AGI70" s="956"/>
      <c r="AGJ70" s="957"/>
      <c r="AGK70" s="958"/>
      <c r="AGL70" s="959"/>
      <c r="AGM70" s="144"/>
      <c r="AGN70" s="144"/>
      <c r="AGO70" s="144"/>
      <c r="AGP70" s="144"/>
      <c r="AGQ70" s="144"/>
      <c r="AGR70" s="144"/>
      <c r="AGS70" s="144"/>
      <c r="AGT70" s="144"/>
      <c r="AHO70" s="144"/>
      <c r="AHP70" s="144"/>
      <c r="AHQ70" s="144"/>
      <c r="AHR70" s="144"/>
      <c r="AHS70" s="144"/>
      <c r="AHT70" s="144"/>
      <c r="AHU70" s="144"/>
      <c r="AIM70" s="827"/>
      <c r="AIN70" s="818"/>
      <c r="AIO70" s="818"/>
      <c r="AIP70" s="818"/>
      <c r="AIQ70" s="818"/>
      <c r="AIR70" s="818"/>
      <c r="AIS70" s="818"/>
      <c r="AIT70" s="818"/>
      <c r="AIU70" s="818"/>
      <c r="AIV70" s="818"/>
      <c r="AIW70" s="818"/>
      <c r="AIX70" s="818"/>
      <c r="AIY70" s="818"/>
      <c r="AIZ70" s="818"/>
      <c r="AJA70" s="754"/>
      <c r="AJB70" s="755"/>
      <c r="AJC70" s="1329"/>
      <c r="AJD70" s="1330"/>
      <c r="AJE70" s="1125"/>
      <c r="AJF70" s="713"/>
      <c r="AJG70" s="743"/>
      <c r="AJH70" s="745"/>
      <c r="AJI70" s="747"/>
    </row>
    <row r="71" spans="12:982" ht="48" customHeight="1" thickBot="1">
      <c r="N71" s="3"/>
      <c r="O71" s="3"/>
      <c r="P71" s="3"/>
      <c r="Q71" s="3"/>
      <c r="AI71" s="798"/>
      <c r="AJ71" s="799"/>
      <c r="AK71" s="800"/>
      <c r="AL71" s="827"/>
      <c r="AM71" s="1491"/>
      <c r="AN71" s="805"/>
      <c r="AO71" s="805"/>
      <c r="AP71" s="805"/>
      <c r="AQ71" s="805"/>
      <c r="AR71" s="805"/>
      <c r="AS71" s="805"/>
      <c r="AT71" s="805"/>
      <c r="AU71" s="805"/>
      <c r="AV71" s="805"/>
      <c r="AW71" s="805"/>
      <c r="AX71" s="805"/>
      <c r="AY71" s="806"/>
      <c r="AZ71" s="810"/>
      <c r="BA71" s="811"/>
      <c r="BB71" s="761"/>
      <c r="BC71" s="762"/>
      <c r="BD71" s="272"/>
      <c r="BE71" s="272"/>
      <c r="BF71" s="272"/>
      <c r="BG71" s="597"/>
      <c r="BX71" s="825"/>
      <c r="BY71" s="695" t="s">
        <v>442</v>
      </c>
      <c r="BZ71" s="695"/>
      <c r="CA71" s="146"/>
      <c r="CB71" s="87"/>
      <c r="CC71" s="87"/>
      <c r="CD71" s="87"/>
      <c r="CE71" s="87"/>
      <c r="CF71" s="87"/>
      <c r="CG71" s="87"/>
      <c r="CH71" s="146"/>
      <c r="CI71" s="85" t="s">
        <v>467</v>
      </c>
      <c r="CJ71" s="757" t="s">
        <v>461</v>
      </c>
      <c r="CK71" s="758"/>
      <c r="CL71" s="819" t="s">
        <v>126</v>
      </c>
      <c r="CM71" s="820"/>
      <c r="CN71" s="675" t="s">
        <v>731</v>
      </c>
      <c r="CO71" s="676"/>
      <c r="CP71" s="821" t="s">
        <v>473</v>
      </c>
      <c r="CQ71" s="822"/>
      <c r="CR71" s="822"/>
      <c r="CS71" s="823"/>
      <c r="CT71" s="769" t="s">
        <v>462</v>
      </c>
      <c r="CU71" s="769"/>
      <c r="CV71" s="769"/>
      <c r="CW71" s="769"/>
      <c r="DI71" s="144"/>
      <c r="DJ71" s="144"/>
      <c r="DK71" s="144"/>
      <c r="DL71" s="144"/>
      <c r="DM71" s="144"/>
      <c r="DN71" s="144"/>
      <c r="DO71" s="144"/>
      <c r="DP71" s="144"/>
      <c r="DQ71" s="144"/>
      <c r="DR71" s="144"/>
      <c r="DS71" s="144"/>
      <c r="DT71" s="144"/>
      <c r="DU71" s="144"/>
      <c r="DX71" s="144"/>
      <c r="DZ71" s="825"/>
      <c r="EA71" s="1354" t="s">
        <v>470</v>
      </c>
      <c r="EB71" s="1355"/>
      <c r="EC71" s="739">
        <f>$AW$34</f>
        <v>0.17058500000000001</v>
      </c>
      <c r="ED71" s="739"/>
      <c r="EE71" s="701" t="s">
        <v>1088</v>
      </c>
      <c r="EF71" s="701"/>
      <c r="EG71" s="701"/>
      <c r="EH71" s="701"/>
      <c r="EI71" s="701"/>
      <c r="EJ71" s="701"/>
      <c r="EK71" s="701"/>
      <c r="EL71" s="701"/>
      <c r="EM71" s="702"/>
      <c r="EN71" s="1087">
        <f>((3.14*(AW34*1000+2*EN49)/CO28)-EN28)</f>
        <v>14.621707563485572</v>
      </c>
      <c r="EO71" s="1006"/>
      <c r="EP71" s="759" t="s">
        <v>50</v>
      </c>
      <c r="EQ71" s="760"/>
      <c r="ER71" s="1309"/>
      <c r="ES71" s="1092" t="s">
        <v>1083</v>
      </c>
      <c r="ET71" s="1092"/>
      <c r="EU71" s="1092"/>
      <c r="EV71" s="1085"/>
      <c r="EW71" s="767"/>
      <c r="EX71" s="767"/>
      <c r="EY71" s="767"/>
      <c r="EZ71" s="767"/>
      <c r="FA71" s="767"/>
      <c r="FB71" s="767"/>
      <c r="FC71" s="767"/>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X71" s="8"/>
      <c r="GY71" s="8"/>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R71" s="767"/>
      <c r="IS71" s="246" t="s">
        <v>1129</v>
      </c>
      <c r="IT71" s="739">
        <f>$GT$32</f>
        <v>9.0185672413793123E-3</v>
      </c>
      <c r="IU71" s="739"/>
      <c r="IV71" s="249" t="s">
        <v>1127</v>
      </c>
      <c r="IW71" s="677">
        <f>$GT$81</f>
        <v>3.8167608251202525</v>
      </c>
      <c r="IX71" s="677"/>
      <c r="IY71" s="941"/>
      <c r="IZ71" s="942"/>
      <c r="JA71" s="942"/>
      <c r="JB71" s="942"/>
      <c r="JC71" s="942"/>
      <c r="JD71" s="942"/>
      <c r="JE71" s="1011"/>
      <c r="JF71" s="765"/>
      <c r="JG71" s="766"/>
      <c r="JH71" s="761"/>
      <c r="JI71" s="762"/>
      <c r="JJ71" s="715"/>
      <c r="JK71" s="1251"/>
      <c r="JL71" s="1252"/>
      <c r="JM71" s="747"/>
      <c r="JN71" s="767"/>
      <c r="JO71" s="767"/>
      <c r="JP71" s="767"/>
      <c r="JQ71" s="767"/>
      <c r="JR71" s="767"/>
      <c r="JS71" s="767"/>
      <c r="LB71" s="144"/>
      <c r="LC71" s="144"/>
      <c r="LD71" s="144"/>
      <c r="LE71" s="144"/>
      <c r="LF71" s="144"/>
      <c r="LG71" s="144"/>
      <c r="LH71" s="144"/>
      <c r="LI71" s="144"/>
      <c r="LJ71" s="144"/>
      <c r="LK71" s="144"/>
      <c r="LL71" s="144"/>
      <c r="MZ71" s="144"/>
      <c r="NA71" s="144"/>
      <c r="NB71" s="144"/>
      <c r="NC71" s="144"/>
      <c r="ND71" s="144"/>
      <c r="NE71" s="144"/>
      <c r="NF71" s="144"/>
      <c r="NI71" s="1620"/>
      <c r="NJ71" s="1621"/>
      <c r="NK71" s="1621"/>
      <c r="NL71" s="1621"/>
      <c r="NM71" s="1621"/>
      <c r="NN71" s="1621"/>
      <c r="NO71" s="1621"/>
      <c r="NP71" s="1621"/>
      <c r="NQ71" s="1621"/>
      <c r="NR71" s="1621"/>
      <c r="NS71" s="1621"/>
      <c r="NT71" s="1621"/>
      <c r="NU71" s="1621"/>
      <c r="NV71" s="1621"/>
      <c r="NW71" s="1621"/>
      <c r="NX71" s="1621"/>
      <c r="NY71" s="1621"/>
      <c r="NZ71" s="1621"/>
      <c r="OA71" s="1621"/>
      <c r="OB71" s="1621"/>
      <c r="OC71" s="1621"/>
      <c r="OD71" s="1622"/>
      <c r="OQ71" s="144"/>
      <c r="OR71" s="144"/>
      <c r="OS71" s="144"/>
      <c r="OT71" s="144"/>
      <c r="OU71" s="144"/>
      <c r="OV71" s="144"/>
      <c r="OW71" s="144"/>
      <c r="OX71" s="144"/>
      <c r="OY71" s="144"/>
      <c r="OZ71" s="144"/>
      <c r="PA71" s="144"/>
      <c r="PB71" s="144"/>
      <c r="PC71" s="144"/>
      <c r="PD71" s="144"/>
      <c r="PE71" s="144"/>
      <c r="PF71" s="144"/>
      <c r="PG71" s="144"/>
      <c r="PJ71" s="892"/>
      <c r="PK71" s="930"/>
      <c r="PL71" s="931"/>
      <c r="PM71" s="931"/>
      <c r="PN71" s="951"/>
      <c r="PO71" s="707"/>
      <c r="PP71" s="707"/>
      <c r="PQ71" s="707"/>
      <c r="PR71" s="707"/>
      <c r="PS71" s="707"/>
      <c r="PT71" s="707"/>
      <c r="PU71" s="707"/>
      <c r="PV71" s="707"/>
      <c r="PW71" s="708"/>
      <c r="PX71" s="1012"/>
      <c r="PY71" s="1013"/>
      <c r="PZ71" s="1013"/>
      <c r="QA71" s="1013"/>
      <c r="QB71" s="1013"/>
      <c r="QC71" s="1013"/>
      <c r="QD71" s="1013"/>
      <c r="QE71" s="1013"/>
      <c r="QF71" s="1014"/>
      <c r="QG71" s="892"/>
      <c r="QH71" s="893"/>
      <c r="QI71" s="893"/>
      <c r="QJ71" s="893"/>
      <c r="QK71" s="893"/>
      <c r="QL71" s="893"/>
      <c r="QM71" s="894"/>
      <c r="QP71" s="144"/>
      <c r="QQ71" s="144"/>
      <c r="QR71" s="144"/>
      <c r="QU71" s="144"/>
      <c r="QV71" s="144"/>
      <c r="RC71" s="369">
        <v>53</v>
      </c>
      <c r="RD71" s="668">
        <v>5.2999999999999999E-2</v>
      </c>
      <c r="RE71" s="669"/>
      <c r="RF71" s="670">
        <f t="shared" si="30"/>
        <v>12.849655276430104</v>
      </c>
      <c r="RG71" s="670"/>
      <c r="RH71" s="670"/>
      <c r="RI71" s="670"/>
      <c r="RJ71" s="698">
        <f t="shared" si="12"/>
        <v>30</v>
      </c>
      <c r="RK71" s="699"/>
      <c r="RL71" s="726"/>
      <c r="RM71" s="670">
        <f t="shared" si="13"/>
        <v>13.03815644664655</v>
      </c>
      <c r="RN71" s="670"/>
      <c r="RO71" s="670"/>
      <c r="RP71" s="670"/>
      <c r="RQ71" s="670"/>
      <c r="RR71" s="670"/>
      <c r="RS71" s="671">
        <f t="shared" si="38"/>
        <v>1.560804663639157</v>
      </c>
      <c r="RT71" s="671"/>
      <c r="RU71" s="671"/>
      <c r="RV71" s="671"/>
      <c r="RW71" s="671"/>
      <c r="RX71" s="671"/>
      <c r="RY71" s="681">
        <f t="shared" si="14"/>
        <v>13.131246503103531</v>
      </c>
      <c r="RZ71" s="681"/>
      <c r="SA71" s="681"/>
      <c r="SB71" s="681"/>
      <c r="SC71" s="681">
        <f>'Вывод расчетов'!$AQ$6/RY71</f>
        <v>28.938608372799042</v>
      </c>
      <c r="SD71" s="681"/>
      <c r="SE71" s="681"/>
      <c r="SF71" s="681"/>
      <c r="SG71" s="867">
        <f t="shared" si="31"/>
        <v>0.9929107981915517</v>
      </c>
      <c r="SH71" s="867"/>
      <c r="SI71" s="867"/>
      <c r="SJ71" s="867"/>
      <c r="SK71" s="865">
        <f t="shared" si="16"/>
        <v>0.11886188133550502</v>
      </c>
      <c r="SL71" s="865"/>
      <c r="SM71" s="865"/>
      <c r="SN71" s="865"/>
      <c r="SO71" s="692">
        <f t="shared" si="26"/>
        <v>29.083779179119869</v>
      </c>
      <c r="SP71" s="693"/>
      <c r="SQ71" s="693"/>
      <c r="SR71" s="693"/>
      <c r="SS71" s="694"/>
      <c r="ST71" s="668">
        <f t="shared" si="24"/>
        <v>14.421774196418287</v>
      </c>
      <c r="SU71" s="678"/>
      <c r="SV71" s="678"/>
      <c r="SW71" s="678"/>
      <c r="SX71" s="678"/>
      <c r="SY71" s="669"/>
      <c r="SZ71" s="682">
        <f t="shared" si="19"/>
        <v>32.463114180748015</v>
      </c>
      <c r="TA71" s="683"/>
      <c r="TB71" s="683"/>
      <c r="TC71" s="683"/>
      <c r="TD71" s="683"/>
      <c r="TE71" s="684"/>
      <c r="TF71" s="682">
        <f>'Вывод расчетов'!$XC$174*SC71</f>
        <v>29.399473601813302</v>
      </c>
      <c r="TG71" s="683"/>
      <c r="TH71" s="684"/>
      <c r="TI71" s="681">
        <f t="shared" si="58"/>
        <v>33.155508264196648</v>
      </c>
      <c r="TJ71" s="681"/>
      <c r="TK71" s="681"/>
      <c r="TL71" s="681"/>
      <c r="TM71" s="685">
        <f t="shared" si="21"/>
        <v>0.58661579441983636</v>
      </c>
      <c r="TN71" s="686"/>
      <c r="TO71" s="686"/>
      <c r="TP71" s="687"/>
      <c r="TQ71" s="688">
        <f t="shared" si="22"/>
        <v>1.7109758757813478</v>
      </c>
      <c r="TR71" s="688"/>
      <c r="TS71" s="688"/>
      <c r="TT71" s="688"/>
      <c r="TU71" s="689">
        <f t="shared" si="27"/>
        <v>0.16640498762240474</v>
      </c>
      <c r="TV71" s="690"/>
      <c r="TW71" s="690"/>
      <c r="TX71" s="690"/>
      <c r="TY71" s="690"/>
      <c r="TZ71" s="691"/>
      <c r="UA71" s="679">
        <v>5.2999999999999999E-2</v>
      </c>
      <c r="UB71" s="680"/>
      <c r="UC71" s="650">
        <v>0.53</v>
      </c>
      <c r="UD71" s="866">
        <f t="shared" si="39"/>
        <v>3.3442834736510028</v>
      </c>
      <c r="UE71" s="866"/>
      <c r="UF71" s="866"/>
      <c r="UG71" s="866"/>
      <c r="UH71" s="866"/>
      <c r="UI71" s="866"/>
      <c r="UJ71" s="866"/>
      <c r="UK71" s="681">
        <f t="shared" si="40"/>
        <v>29.811224790545644</v>
      </c>
      <c r="UL71" s="681"/>
      <c r="UM71" s="681"/>
      <c r="UN71" s="681"/>
      <c r="UO71" s="816">
        <f t="shared" si="41"/>
        <v>0.89913339747343379</v>
      </c>
      <c r="UP71" s="816"/>
      <c r="UQ71" s="816"/>
      <c r="UR71" s="816"/>
      <c r="US71" s="866">
        <f t="shared" si="42"/>
        <v>0.89590231600047066</v>
      </c>
      <c r="UT71" s="866"/>
      <c r="UU71" s="866"/>
      <c r="UV71" s="866"/>
      <c r="UW71" s="866"/>
      <c r="VX71" s="248">
        <v>1</v>
      </c>
      <c r="VY71" s="229"/>
      <c r="WD71" s="825"/>
      <c r="WE71" s="665" t="s">
        <v>442</v>
      </c>
      <c r="WF71" s="666"/>
      <c r="WG71" s="522"/>
      <c r="WH71" s="87"/>
      <c r="WI71" s="87"/>
      <c r="WJ71" s="87"/>
      <c r="WK71" s="87"/>
      <c r="WL71" s="87"/>
      <c r="WM71" s="87"/>
      <c r="WN71" s="522"/>
      <c r="WO71" s="85" t="s">
        <v>467</v>
      </c>
      <c r="WP71" s="757" t="s">
        <v>461</v>
      </c>
      <c r="WQ71" s="758"/>
      <c r="WR71" s="819" t="s">
        <v>126</v>
      </c>
      <c r="WS71" s="820"/>
      <c r="WT71" s="675" t="s">
        <v>731</v>
      </c>
      <c r="WU71" s="676"/>
      <c r="WV71" s="821" t="s">
        <v>473</v>
      </c>
      <c r="WW71" s="822"/>
      <c r="WX71" s="822"/>
      <c r="WY71" s="823"/>
      <c r="WZ71" s="769" t="s">
        <v>462</v>
      </c>
      <c r="XA71" s="769"/>
      <c r="XB71" s="769"/>
      <c r="XC71" s="769"/>
      <c r="XO71" s="825"/>
      <c r="XP71" s="665" t="s">
        <v>442</v>
      </c>
      <c r="XQ71" s="666"/>
      <c r="XR71" s="456"/>
      <c r="XS71" s="87"/>
      <c r="XT71" s="87"/>
      <c r="XU71" s="87"/>
      <c r="XV71" s="87"/>
      <c r="XW71" s="87"/>
      <c r="XX71" s="87"/>
      <c r="XY71" s="456"/>
      <c r="XZ71" s="85" t="s">
        <v>467</v>
      </c>
      <c r="YA71" s="757" t="s">
        <v>461</v>
      </c>
      <c r="YB71" s="899"/>
      <c r="YC71" s="774" t="s">
        <v>126</v>
      </c>
      <c r="YD71" s="776"/>
      <c r="YE71" s="675" t="s">
        <v>731</v>
      </c>
      <c r="YF71" s="676"/>
      <c r="YG71" s="821" t="s">
        <v>473</v>
      </c>
      <c r="YH71" s="822"/>
      <c r="YI71" s="822"/>
      <c r="YJ71" s="823"/>
      <c r="YK71" s="821" t="s">
        <v>921</v>
      </c>
      <c r="YL71" s="822"/>
      <c r="YM71" s="823"/>
      <c r="ABE71" s="144"/>
      <c r="ABF71" s="144"/>
      <c r="ABW71" s="144"/>
      <c r="ABX71" s="144"/>
      <c r="ABY71" s="144"/>
      <c r="ABZ71" s="144"/>
      <c r="ACA71" s="144"/>
      <c r="ACB71" s="144"/>
      <c r="ACC71" s="144"/>
      <c r="ADB71" s="1033"/>
      <c r="ADC71" s="1033"/>
      <c r="ADD71" s="187"/>
      <c r="ADE71" s="187"/>
      <c r="ADF71" s="187"/>
      <c r="ADG71" s="187"/>
      <c r="ADH71" s="187"/>
      <c r="ADI71" s="188"/>
      <c r="ADJ71" s="1032"/>
      <c r="ADK71" s="1032"/>
      <c r="ADL71" s="1037"/>
      <c r="ADM71" s="1038"/>
      <c r="ADN71" s="1037"/>
      <c r="ADO71" s="1038"/>
      <c r="ADP71" s="1037"/>
      <c r="ADQ71" s="1038"/>
      <c r="ADR71" s="1037"/>
      <c r="ADS71" s="1038"/>
      <c r="ADT71" s="1037"/>
      <c r="ADU71" s="1038"/>
      <c r="ADV71" s="1037"/>
      <c r="ADW71" s="1038"/>
      <c r="ADX71" s="767"/>
      <c r="ADY71" s="767"/>
      <c r="ADZ71" s="767"/>
      <c r="AEA71" s="767"/>
      <c r="AEB71" s="767"/>
      <c r="AEC71" s="767"/>
      <c r="AED71" s="767"/>
      <c r="AEE71" s="767"/>
      <c r="AEF71" s="767"/>
      <c r="AEG71" s="767"/>
      <c r="AEH71" s="767"/>
      <c r="AEI71" s="172"/>
      <c r="AEJ71" s="172"/>
      <c r="AEK71" s="177"/>
      <c r="AEP71" s="947"/>
      <c r="AEQ71" s="947"/>
      <c r="AER71" s="947"/>
      <c r="AES71" s="947"/>
      <c r="AET71" s="656">
        <v>27</v>
      </c>
      <c r="AEU71" s="956"/>
      <c r="AEV71" s="957"/>
      <c r="AEW71" s="958">
        <f t="shared" si="35"/>
        <v>0.85500000000000009</v>
      </c>
      <c r="AEX71" s="959"/>
      <c r="AEZ71" s="947"/>
      <c r="AFA71" s="947"/>
      <c r="AFB71" s="947"/>
      <c r="AFC71" s="947"/>
      <c r="AFD71" s="656">
        <v>87</v>
      </c>
      <c r="AFE71" s="956"/>
      <c r="AFF71" s="957"/>
      <c r="AFG71" s="958">
        <f t="shared" si="36"/>
        <v>2.7550000000000003</v>
      </c>
      <c r="AFH71" s="959"/>
      <c r="AFJ71" s="947"/>
      <c r="AFK71" s="947"/>
      <c r="AFL71" s="947"/>
      <c r="AFM71" s="947"/>
      <c r="AFN71" s="656">
        <v>147</v>
      </c>
      <c r="AFO71" s="956"/>
      <c r="AFP71" s="957"/>
      <c r="AFQ71" s="958">
        <f t="shared" si="37"/>
        <v>4.6550000000000002</v>
      </c>
      <c r="AFR71" s="959"/>
      <c r="AFT71" s="947"/>
      <c r="AFU71" s="947"/>
      <c r="AFV71" s="947"/>
      <c r="AFW71" s="947"/>
      <c r="AFX71" s="656">
        <v>207</v>
      </c>
      <c r="AFY71" s="956"/>
      <c r="AFZ71" s="957"/>
      <c r="AGA71" s="958"/>
      <c r="AGB71" s="959"/>
      <c r="AGD71" s="947"/>
      <c r="AGE71" s="947"/>
      <c r="AGF71" s="947"/>
      <c r="AGG71" s="947"/>
      <c r="AGH71" s="656">
        <v>267</v>
      </c>
      <c r="AGI71" s="956"/>
      <c r="AGJ71" s="957"/>
      <c r="AGK71" s="958"/>
      <c r="AGL71" s="959"/>
      <c r="AGM71" s="144"/>
      <c r="AGN71" s="144"/>
      <c r="AGO71" s="144"/>
      <c r="AGP71" s="144"/>
      <c r="AGQ71" s="144"/>
      <c r="AGR71" s="144"/>
      <c r="AGS71" s="144"/>
      <c r="AGT71" s="144"/>
    </row>
    <row r="72" spans="12:982" ht="48" customHeight="1" thickBot="1">
      <c r="N72" s="3"/>
      <c r="O72" s="3"/>
      <c r="P72" s="3"/>
      <c r="Q72" s="3"/>
      <c r="BN72" s="144"/>
      <c r="BX72" s="826"/>
      <c r="BY72" s="731" t="s">
        <v>34</v>
      </c>
      <c r="BZ72" s="732"/>
      <c r="CA72" s="732"/>
      <c r="CB72" s="732"/>
      <c r="CC72" s="732"/>
      <c r="CD72" s="732"/>
      <c r="CE72" s="732"/>
      <c r="CF72" s="732"/>
      <c r="CG72" s="732"/>
      <c r="CH72" s="732"/>
      <c r="CI72" s="732"/>
      <c r="CJ72" s="732"/>
      <c r="CK72" s="733"/>
      <c r="CL72" s="1397">
        <f>(2*CL52*CL68*CM32)/(3.14*AW34)</f>
        <v>38030.18494500727</v>
      </c>
      <c r="CM72" s="1398"/>
      <c r="CN72" s="759" t="s">
        <v>17</v>
      </c>
      <c r="CO72" s="760"/>
      <c r="CP72" s="712"/>
      <c r="CQ72" s="740" t="s">
        <v>901</v>
      </c>
      <c r="CR72" s="742"/>
      <c r="CS72" s="746"/>
      <c r="CT72" s="767"/>
      <c r="CU72" s="767"/>
      <c r="CV72" s="767"/>
      <c r="CW72" s="767"/>
      <c r="DI72" s="144"/>
      <c r="DJ72" s="144"/>
      <c r="DK72" s="144"/>
      <c r="DP72" s="144"/>
      <c r="DQ72" s="144"/>
      <c r="DR72" s="144"/>
      <c r="DS72" s="144"/>
      <c r="DT72" s="144"/>
      <c r="DU72" s="144"/>
      <c r="DX72" s="144"/>
      <c r="DZ72" s="826"/>
      <c r="EA72" s="1354" t="s">
        <v>1224</v>
      </c>
      <c r="EB72" s="1355"/>
      <c r="EC72" s="1074">
        <f>$CO$28</f>
        <v>33</v>
      </c>
      <c r="ED72" s="1074"/>
      <c r="EE72" s="704"/>
      <c r="EF72" s="704"/>
      <c r="EG72" s="704"/>
      <c r="EH72" s="704"/>
      <c r="EI72" s="704"/>
      <c r="EJ72" s="704"/>
      <c r="EK72" s="704"/>
      <c r="EL72" s="704"/>
      <c r="EM72" s="705"/>
      <c r="EN72" s="1089"/>
      <c r="EO72" s="708"/>
      <c r="EP72" s="761"/>
      <c r="EQ72" s="762"/>
      <c r="ER72" s="1310"/>
      <c r="ES72" s="1093"/>
      <c r="ET72" s="1093"/>
      <c r="EU72" s="1093"/>
      <c r="EV72" s="1086"/>
      <c r="EW72" s="767"/>
      <c r="EX72" s="767"/>
      <c r="EY72" s="767"/>
      <c r="EZ72" s="767"/>
      <c r="FA72" s="767"/>
      <c r="FB72" s="767"/>
      <c r="FC72" s="767"/>
      <c r="GF72" s="792" t="s">
        <v>1013</v>
      </c>
      <c r="GG72" s="793"/>
      <c r="GH72" s="794"/>
      <c r="GI72" s="85" t="s">
        <v>839</v>
      </c>
      <c r="GJ72" s="665" t="s">
        <v>442</v>
      </c>
      <c r="GK72" s="666"/>
      <c r="GL72" s="152"/>
      <c r="GM72" s="87"/>
      <c r="GN72" s="87"/>
      <c r="GO72" s="87"/>
      <c r="GP72" s="87"/>
      <c r="GQ72" s="87"/>
      <c r="GR72" s="87"/>
      <c r="GS72" s="152"/>
      <c r="GT72" s="85" t="s">
        <v>467</v>
      </c>
      <c r="GU72" s="757" t="s">
        <v>461</v>
      </c>
      <c r="GV72" s="758"/>
      <c r="GW72" s="819" t="s">
        <v>126</v>
      </c>
      <c r="GX72" s="820"/>
      <c r="GY72" s="675" t="s">
        <v>731</v>
      </c>
      <c r="GZ72" s="676"/>
      <c r="HA72" s="769" t="s">
        <v>473</v>
      </c>
      <c r="HB72" s="769"/>
      <c r="HC72" s="769"/>
      <c r="HD72" s="769"/>
      <c r="HE72" s="769"/>
      <c r="HM72" s="144"/>
      <c r="HN72" s="144"/>
      <c r="HO72" s="144"/>
      <c r="HP72" s="144"/>
      <c r="HQ72" s="144"/>
      <c r="HR72" s="144"/>
      <c r="HS72" s="144"/>
      <c r="HT72" s="144"/>
      <c r="HU72" s="144"/>
      <c r="HV72" s="144"/>
      <c r="HW72" s="144"/>
      <c r="HX72" s="144"/>
      <c r="HY72" s="144"/>
      <c r="HZ72" s="144"/>
      <c r="IA72" s="144"/>
      <c r="IB72" s="144"/>
      <c r="IC72" s="144"/>
      <c r="ID72" s="144"/>
      <c r="IE72" s="144"/>
      <c r="IF72" s="144"/>
      <c r="IG72" s="144"/>
      <c r="IH72" s="144"/>
      <c r="II72" s="144"/>
      <c r="IJ72" s="144"/>
      <c r="IK72" s="144"/>
      <c r="IR72" s="768"/>
      <c r="IS72" s="247" t="s">
        <v>1128</v>
      </c>
      <c r="IT72" s="672">
        <f>$AZ$86</f>
        <v>0.13</v>
      </c>
      <c r="IU72" s="672"/>
      <c r="IV72" s="930"/>
      <c r="IW72" s="931"/>
      <c r="IX72" s="931"/>
      <c r="IY72" s="943"/>
      <c r="IZ72" s="944"/>
      <c r="JA72" s="944"/>
      <c r="JB72" s="944"/>
      <c r="JC72" s="944"/>
      <c r="JD72" s="944"/>
      <c r="JE72" s="1004"/>
      <c r="JF72" s="1022"/>
      <c r="JG72" s="1023"/>
      <c r="JH72" s="1023"/>
      <c r="JI72" s="1023"/>
      <c r="JJ72" s="1023"/>
      <c r="JK72" s="1023"/>
      <c r="JL72" s="1023"/>
      <c r="JM72" s="1024"/>
      <c r="JN72" s="768"/>
      <c r="JO72" s="768"/>
      <c r="JP72" s="768"/>
      <c r="JQ72" s="768"/>
      <c r="JR72" s="768"/>
      <c r="JS72" s="768"/>
      <c r="LB72" s="144"/>
      <c r="LC72" s="144"/>
      <c r="LD72" s="144"/>
      <c r="LE72" s="144"/>
      <c r="LF72" s="144"/>
      <c r="LG72" s="144"/>
      <c r="LK72" s="144"/>
      <c r="LL72" s="144"/>
      <c r="LM72" s="144"/>
      <c r="LN72" s="144"/>
      <c r="LO72" s="144"/>
      <c r="LP72" s="144"/>
      <c r="LQ72" s="144"/>
      <c r="LR72" s="144"/>
      <c r="LS72" s="144"/>
      <c r="LY72" s="144"/>
      <c r="LZ72" s="902"/>
      <c r="MA72" s="903"/>
      <c r="MB72" s="904"/>
      <c r="MC72" s="939" t="s">
        <v>1353</v>
      </c>
      <c r="MD72" s="940"/>
      <c r="ME72" s="940"/>
      <c r="MF72" s="940"/>
      <c r="MG72" s="940"/>
      <c r="MH72" s="940"/>
      <c r="MI72" s="927" t="s">
        <v>1348</v>
      </c>
      <c r="MJ72" s="928"/>
      <c r="MK72" s="929"/>
      <c r="ML72" s="927" t="s">
        <v>1349</v>
      </c>
      <c r="MM72" s="928"/>
      <c r="MN72" s="929"/>
      <c r="MO72" s="927" t="s">
        <v>1350</v>
      </c>
      <c r="MP72" s="928"/>
      <c r="MQ72" s="929"/>
      <c r="MR72" s="980" t="s">
        <v>1360</v>
      </c>
      <c r="MS72" s="981"/>
      <c r="MT72" s="981"/>
      <c r="MU72" s="982"/>
      <c r="MV72" s="174"/>
      <c r="MW72" s="174"/>
      <c r="MX72" s="174"/>
      <c r="MY72" s="175"/>
      <c r="MZ72" s="144"/>
      <c r="NA72" s="144"/>
      <c r="NB72" s="144"/>
      <c r="NC72" s="144"/>
      <c r="ND72" s="144"/>
      <c r="NE72" s="144"/>
      <c r="NF72" s="144"/>
      <c r="NI72" s="1620"/>
      <c r="NJ72" s="1621"/>
      <c r="NK72" s="1621"/>
      <c r="NL72" s="1621"/>
      <c r="NM72" s="1621"/>
      <c r="NN72" s="1621"/>
      <c r="NO72" s="1621"/>
      <c r="NP72" s="1621"/>
      <c r="NQ72" s="1621"/>
      <c r="NR72" s="1621"/>
      <c r="NS72" s="1621"/>
      <c r="NT72" s="1621"/>
      <c r="NU72" s="1621"/>
      <c r="NV72" s="1621"/>
      <c r="NW72" s="1621"/>
      <c r="NX72" s="1621"/>
      <c r="NY72" s="1621"/>
      <c r="NZ72" s="1621"/>
      <c r="OA72" s="1621"/>
      <c r="OB72" s="1621"/>
      <c r="OC72" s="1621"/>
      <c r="OD72" s="1622"/>
      <c r="OQ72" s="144"/>
      <c r="OR72" s="144"/>
      <c r="OS72" s="144"/>
      <c r="OT72" s="144"/>
      <c r="OU72" s="144"/>
      <c r="OV72" s="144"/>
      <c r="OW72" s="144"/>
      <c r="OX72" s="144"/>
      <c r="OY72" s="144"/>
      <c r="OZ72" s="144"/>
      <c r="PA72" s="144"/>
      <c r="PB72" s="144"/>
      <c r="PC72" s="144"/>
      <c r="PD72" s="144"/>
      <c r="PE72" s="144"/>
      <c r="PF72" s="144"/>
      <c r="PG72" s="144"/>
      <c r="QU72" s="144"/>
      <c r="QV72" s="144"/>
      <c r="RC72" s="369">
        <v>54</v>
      </c>
      <c r="RD72" s="668">
        <v>5.3999999999999999E-2</v>
      </c>
      <c r="RE72" s="669"/>
      <c r="RF72" s="670">
        <f t="shared" si="30"/>
        <v>12.611698697236953</v>
      </c>
      <c r="RG72" s="670"/>
      <c r="RH72" s="670"/>
      <c r="RI72" s="670"/>
      <c r="RJ72" s="698">
        <f t="shared" si="12"/>
        <v>30</v>
      </c>
      <c r="RK72" s="699"/>
      <c r="RL72" s="726"/>
      <c r="RM72" s="670">
        <f t="shared" si="13"/>
        <v>12.800199867453399</v>
      </c>
      <c r="RN72" s="670"/>
      <c r="RO72" s="670"/>
      <c r="RP72" s="670"/>
      <c r="RQ72" s="670"/>
      <c r="RR72" s="670"/>
      <c r="RS72" s="671">
        <f t="shared" si="38"/>
        <v>1.560804663639157</v>
      </c>
      <c r="RT72" s="671"/>
      <c r="RU72" s="671"/>
      <c r="RV72" s="671"/>
      <c r="RW72" s="671"/>
      <c r="RX72" s="671"/>
      <c r="RY72" s="681">
        <f t="shared" si="14"/>
        <v>12.895007865247377</v>
      </c>
      <c r="RZ72" s="681"/>
      <c r="SA72" s="681"/>
      <c r="SB72" s="681"/>
      <c r="SC72" s="681">
        <f>'Вывод расчетов'!$AQ$6/RY72</f>
        <v>29.468768376955936</v>
      </c>
      <c r="SD72" s="681"/>
      <c r="SE72" s="681"/>
      <c r="SF72" s="681"/>
      <c r="SG72" s="867">
        <f t="shared" si="31"/>
        <v>0.99264769755980609</v>
      </c>
      <c r="SH72" s="867"/>
      <c r="SI72" s="867"/>
      <c r="SJ72" s="867"/>
      <c r="SK72" s="865">
        <f t="shared" si="16"/>
        <v>0.12103945030119721</v>
      </c>
      <c r="SL72" s="865"/>
      <c r="SM72" s="865"/>
      <c r="SN72" s="865"/>
      <c r="SO72" s="692">
        <f t="shared" si="26"/>
        <v>29.602427520439782</v>
      </c>
      <c r="SP72" s="693"/>
      <c r="SQ72" s="693"/>
      <c r="SR72" s="693"/>
      <c r="SS72" s="694"/>
      <c r="ST72" s="668">
        <f t="shared" si="24"/>
        <v>14.548960287396044</v>
      </c>
      <c r="SU72" s="678"/>
      <c r="SV72" s="678"/>
      <c r="SW72" s="678"/>
      <c r="SX72" s="678"/>
      <c r="SY72" s="669"/>
      <c r="SZ72" s="682">
        <f t="shared" si="19"/>
        <v>32.984480601445242</v>
      </c>
      <c r="TA72" s="683"/>
      <c r="TB72" s="683"/>
      <c r="TC72" s="683"/>
      <c r="TD72" s="683"/>
      <c r="TE72" s="684"/>
      <c r="TF72" s="682">
        <f>'Вывод расчетов'!$XC$174*SC72</f>
        <v>29.93807673179651</v>
      </c>
      <c r="TG72" s="683"/>
      <c r="TH72" s="684"/>
      <c r="TI72" s="681">
        <f t="shared" si="58"/>
        <v>33.746767373301353</v>
      </c>
      <c r="TJ72" s="681"/>
      <c r="TK72" s="681"/>
      <c r="TL72" s="681"/>
      <c r="TM72" s="685">
        <f t="shared" si="21"/>
        <v>0.6056095191931572</v>
      </c>
      <c r="TN72" s="686"/>
      <c r="TO72" s="686"/>
      <c r="TP72" s="687"/>
      <c r="TQ72" s="688">
        <f t="shared" si="22"/>
        <v>1.7742408395017466</v>
      </c>
      <c r="TR72" s="688"/>
      <c r="TS72" s="688"/>
      <c r="TT72" s="688"/>
      <c r="TU72" s="689">
        <f t="shared" si="27"/>
        <v>0.17179292733673468</v>
      </c>
      <c r="TV72" s="690"/>
      <c r="TW72" s="690"/>
      <c r="TX72" s="690"/>
      <c r="TY72" s="690"/>
      <c r="TZ72" s="691"/>
      <c r="UA72" s="756">
        <v>5.3999999999999999E-2</v>
      </c>
      <c r="UB72" s="756"/>
      <c r="UC72" s="650">
        <v>0.54</v>
      </c>
      <c r="UD72" s="866">
        <f t="shared" si="39"/>
        <v>3.4319301018590522</v>
      </c>
      <c r="UE72" s="866"/>
      <c r="UF72" s="866"/>
      <c r="UG72" s="866"/>
      <c r="UH72" s="866"/>
      <c r="UI72" s="866"/>
      <c r="UJ72" s="866"/>
      <c r="UK72" s="681">
        <f t="shared" si="40"/>
        <v>30.3148372714423</v>
      </c>
      <c r="UL72" s="681"/>
      <c r="UM72" s="681"/>
      <c r="UN72" s="681"/>
      <c r="UO72" s="816">
        <f t="shared" si="41"/>
        <v>0.89830344151498753</v>
      </c>
      <c r="UP72" s="816"/>
      <c r="UQ72" s="816"/>
      <c r="UR72" s="816"/>
      <c r="US72" s="866">
        <f t="shared" si="42"/>
        <v>0.89746532249905209</v>
      </c>
      <c r="UT72" s="866"/>
      <c r="UU72" s="866"/>
      <c r="UV72" s="866"/>
      <c r="UW72" s="866"/>
      <c r="VX72" s="248">
        <v>2</v>
      </c>
      <c r="VY72" s="229"/>
      <c r="WD72" s="826"/>
      <c r="WE72" s="552" t="s">
        <v>1596</v>
      </c>
      <c r="WF72" s="739">
        <f>$WR$68</f>
        <v>34.601834264627279</v>
      </c>
      <c r="WG72" s="739"/>
      <c r="WH72" s="701" t="s">
        <v>178</v>
      </c>
      <c r="WI72" s="701"/>
      <c r="WJ72" s="701"/>
      <c r="WK72" s="701"/>
      <c r="WL72" s="701"/>
      <c r="WM72" s="701"/>
      <c r="WN72" s="701"/>
      <c r="WO72" s="701"/>
      <c r="WP72" s="701"/>
      <c r="WQ72" s="702"/>
      <c r="WR72" s="763">
        <f>1+(MN98/WR68)</f>
        <v>1.0159256182286724</v>
      </c>
      <c r="WS72" s="764"/>
      <c r="WT72" s="1115" t="s">
        <v>762</v>
      </c>
      <c r="WU72" s="1116"/>
      <c r="WV72" s="712"/>
      <c r="WW72" s="952" t="s">
        <v>1326</v>
      </c>
      <c r="WX72" s="953"/>
      <c r="WY72" s="746"/>
      <c r="WZ72" s="890"/>
      <c r="XA72" s="841"/>
      <c r="XB72" s="841"/>
      <c r="XC72" s="891"/>
      <c r="XO72" s="826"/>
      <c r="XP72" s="700" t="s">
        <v>180</v>
      </c>
      <c r="XQ72" s="701"/>
      <c r="XR72" s="701"/>
      <c r="XS72" s="701"/>
      <c r="XT72" s="701"/>
      <c r="XU72" s="701"/>
      <c r="XV72" s="701"/>
      <c r="XW72" s="701"/>
      <c r="XX72" s="701"/>
      <c r="XY72" s="701"/>
      <c r="XZ72" s="701"/>
      <c r="YA72" s="701"/>
      <c r="YB72" s="702"/>
      <c r="YC72" s="1087">
        <f>YC67</f>
        <v>14.472988276304768</v>
      </c>
      <c r="YD72" s="1006"/>
      <c r="YE72" s="812" t="s">
        <v>798</v>
      </c>
      <c r="YF72" s="813"/>
      <c r="YG72" s="712"/>
      <c r="YH72" s="952" t="s">
        <v>1507</v>
      </c>
      <c r="YI72" s="953"/>
      <c r="YJ72" s="746"/>
      <c r="YK72" s="1066" t="s">
        <v>920</v>
      </c>
      <c r="YL72" s="1111"/>
      <c r="YM72" s="1067"/>
      <c r="ABE72" s="144"/>
      <c r="ABF72" s="144"/>
      <c r="ABW72" s="144"/>
      <c r="ABX72" s="144"/>
      <c r="ABY72" s="144"/>
      <c r="ABZ72" s="144"/>
      <c r="ACA72" s="144"/>
      <c r="ACB72" s="144"/>
      <c r="ACC72" s="144"/>
      <c r="ADB72" s="1033"/>
      <c r="ADC72" s="1033"/>
      <c r="ADD72" s="184"/>
      <c r="ADE72" s="184"/>
      <c r="ADF72" s="184"/>
      <c r="ADG72" s="184"/>
      <c r="ADH72" s="184"/>
      <c r="ADI72" s="186"/>
      <c r="ADJ72" s="1032"/>
      <c r="ADK72" s="1032"/>
      <c r="ADL72" s="1039"/>
      <c r="ADM72" s="1040"/>
      <c r="ADN72" s="1039"/>
      <c r="ADO72" s="1040"/>
      <c r="ADP72" s="1039"/>
      <c r="ADQ72" s="1040"/>
      <c r="ADR72" s="1039"/>
      <c r="ADS72" s="1040"/>
      <c r="ADT72" s="1039"/>
      <c r="ADU72" s="1040"/>
      <c r="ADV72" s="1039"/>
      <c r="ADW72" s="1040"/>
      <c r="ADX72" s="767"/>
      <c r="ADY72" s="767"/>
      <c r="ADZ72" s="767"/>
      <c r="AEA72" s="767"/>
      <c r="AEB72" s="767"/>
      <c r="AEC72" s="767"/>
      <c r="AED72" s="767"/>
      <c r="AEE72" s="767"/>
      <c r="AEF72" s="767"/>
      <c r="AEG72" s="767"/>
      <c r="AEH72" s="767"/>
      <c r="AEI72" s="172"/>
      <c r="AEJ72" s="172"/>
      <c r="AEK72" s="177"/>
      <c r="AEP72" s="947"/>
      <c r="AEQ72" s="947"/>
      <c r="AER72" s="947"/>
      <c r="AES72" s="947"/>
      <c r="AET72" s="656">
        <v>28</v>
      </c>
      <c r="AEU72" s="956"/>
      <c r="AEV72" s="957"/>
      <c r="AEW72" s="958">
        <f t="shared" si="35"/>
        <v>0.88666666666666671</v>
      </c>
      <c r="AEX72" s="959"/>
      <c r="AEZ72" s="947"/>
      <c r="AFA72" s="947"/>
      <c r="AFB72" s="947"/>
      <c r="AFC72" s="947"/>
      <c r="AFD72" s="656">
        <v>88</v>
      </c>
      <c r="AFE72" s="956"/>
      <c r="AFF72" s="957"/>
      <c r="AFG72" s="958">
        <f t="shared" si="36"/>
        <v>2.7866666666666671</v>
      </c>
      <c r="AFH72" s="959"/>
      <c r="AFJ72" s="947"/>
      <c r="AFK72" s="947"/>
      <c r="AFL72" s="947"/>
      <c r="AFM72" s="947"/>
      <c r="AFN72" s="656">
        <v>148</v>
      </c>
      <c r="AFO72" s="956"/>
      <c r="AFP72" s="957"/>
      <c r="AFQ72" s="958">
        <f t="shared" si="37"/>
        <v>4.6866666666666674</v>
      </c>
      <c r="AFR72" s="959"/>
      <c r="AFT72" s="947"/>
      <c r="AFU72" s="947"/>
      <c r="AFV72" s="947"/>
      <c r="AFW72" s="947"/>
      <c r="AFX72" s="656">
        <v>208</v>
      </c>
      <c r="AFY72" s="956"/>
      <c r="AFZ72" s="957"/>
      <c r="AGA72" s="958"/>
      <c r="AGB72" s="959"/>
      <c r="AGD72" s="947"/>
      <c r="AGE72" s="947"/>
      <c r="AGF72" s="947"/>
      <c r="AGG72" s="947"/>
      <c r="AGH72" s="656">
        <v>268</v>
      </c>
      <c r="AGI72" s="956"/>
      <c r="AGJ72" s="957"/>
      <c r="AGK72" s="958"/>
      <c r="AGL72" s="959"/>
      <c r="AGM72" s="144"/>
      <c r="AGN72" s="144"/>
      <c r="AGO72" s="144"/>
      <c r="AGP72" s="144"/>
      <c r="AGQ72" s="144"/>
      <c r="AGR72" s="144"/>
      <c r="AGS72" s="144"/>
      <c r="AGT72" s="144"/>
      <c r="AIM72" s="792" t="s">
        <v>1079</v>
      </c>
      <c r="AIN72" s="793"/>
      <c r="AIO72" s="794"/>
      <c r="AIP72" s="825"/>
      <c r="AIQ72" s="147" t="s">
        <v>442</v>
      </c>
      <c r="AIR72" s="148"/>
      <c r="AIS72" s="156"/>
      <c r="AIT72" s="87"/>
      <c r="AIU72" s="87"/>
      <c r="AIV72" s="87"/>
      <c r="AIW72" s="87"/>
      <c r="AIX72" s="216"/>
      <c r="AIY72" s="84" t="s">
        <v>729</v>
      </c>
      <c r="AIZ72" s="156"/>
      <c r="AJA72" s="85" t="s">
        <v>467</v>
      </c>
      <c r="AJB72" s="757" t="s">
        <v>461</v>
      </c>
      <c r="AJC72" s="758"/>
      <c r="AJD72" s="819" t="s">
        <v>126</v>
      </c>
      <c r="AJE72" s="820"/>
      <c r="AJF72" s="675" t="s">
        <v>731</v>
      </c>
      <c r="AJG72" s="676"/>
      <c r="AJH72" s="821" t="s">
        <v>473</v>
      </c>
      <c r="AJI72" s="822"/>
      <c r="AJJ72" s="822"/>
      <c r="AJK72" s="823"/>
      <c r="AJL72" s="821" t="s">
        <v>921</v>
      </c>
      <c r="AJM72" s="822"/>
      <c r="AJN72" s="823"/>
    </row>
    <row r="73" spans="12:982" ht="48" customHeight="1" thickBot="1">
      <c r="N73" s="3"/>
      <c r="O73" s="3"/>
      <c r="P73" s="3"/>
      <c r="Q73" s="3"/>
      <c r="AI73" s="933" t="s">
        <v>789</v>
      </c>
      <c r="AJ73" s="825"/>
      <c r="AK73" s="695" t="s">
        <v>442</v>
      </c>
      <c r="AL73" s="695"/>
      <c r="AM73" s="86"/>
      <c r="AN73" s="87"/>
      <c r="AO73" s="87"/>
      <c r="AP73" s="87"/>
      <c r="AQ73" s="87"/>
      <c r="AR73" s="87"/>
      <c r="AS73" s="87"/>
      <c r="AT73" s="86"/>
      <c r="AU73" s="85" t="s">
        <v>467</v>
      </c>
      <c r="AV73" s="757" t="s">
        <v>461</v>
      </c>
      <c r="AW73" s="758"/>
      <c r="AX73" s="819" t="s">
        <v>126</v>
      </c>
      <c r="AY73" s="820"/>
      <c r="AZ73" s="675" t="s">
        <v>731</v>
      </c>
      <c r="BA73" s="676"/>
      <c r="BB73" s="821" t="s">
        <v>473</v>
      </c>
      <c r="BC73" s="822"/>
      <c r="BD73" s="822"/>
      <c r="BE73" s="823"/>
      <c r="BN73" s="144"/>
      <c r="BX73" s="827"/>
      <c r="BY73" s="734"/>
      <c r="BZ73" s="735"/>
      <c r="CA73" s="735"/>
      <c r="CB73" s="735"/>
      <c r="CC73" s="735"/>
      <c r="CD73" s="735"/>
      <c r="CE73" s="735"/>
      <c r="CF73" s="735"/>
      <c r="CG73" s="735"/>
      <c r="CH73" s="735"/>
      <c r="CI73" s="735"/>
      <c r="CJ73" s="735"/>
      <c r="CK73" s="736"/>
      <c r="CL73" s="1399"/>
      <c r="CM73" s="736"/>
      <c r="CN73" s="761"/>
      <c r="CO73" s="762"/>
      <c r="CP73" s="713"/>
      <c r="CQ73" s="743"/>
      <c r="CR73" s="745"/>
      <c r="CS73" s="747"/>
      <c r="CT73" s="768"/>
      <c r="CU73" s="768"/>
      <c r="CV73" s="768"/>
      <c r="CW73" s="768"/>
      <c r="DI73" s="144"/>
      <c r="DJ73" s="144"/>
      <c r="DK73" s="144"/>
      <c r="DL73" s="144"/>
      <c r="DM73" s="144"/>
      <c r="DN73" s="144"/>
      <c r="DO73" s="144"/>
      <c r="DP73" s="144"/>
      <c r="DQ73" s="144"/>
      <c r="DR73" s="144"/>
      <c r="DS73" s="144"/>
      <c r="DT73" s="144"/>
      <c r="DU73" s="144"/>
      <c r="DV73" s="144"/>
      <c r="DW73" s="144"/>
      <c r="DX73" s="144"/>
      <c r="DZ73" s="827"/>
      <c r="EA73" s="949" t="s">
        <v>1225</v>
      </c>
      <c r="EB73" s="962"/>
      <c r="EC73" s="672">
        <f>$FW$29</f>
        <v>6.7</v>
      </c>
      <c r="ED73" s="672"/>
      <c r="EE73" s="707"/>
      <c r="EF73" s="707"/>
      <c r="EG73" s="707"/>
      <c r="EH73" s="707"/>
      <c r="EI73" s="707"/>
      <c r="EJ73" s="707"/>
      <c r="EK73" s="707"/>
      <c r="EL73" s="707"/>
      <c r="EM73" s="708"/>
      <c r="EN73" s="1022"/>
      <c r="EO73" s="1023"/>
      <c r="EP73" s="1023"/>
      <c r="EQ73" s="1023"/>
      <c r="ER73" s="1023"/>
      <c r="ES73" s="1023"/>
      <c r="ET73" s="1023"/>
      <c r="EU73" s="1023"/>
      <c r="EV73" s="1024"/>
      <c r="EW73" s="768"/>
      <c r="EX73" s="768"/>
      <c r="EY73" s="768"/>
      <c r="EZ73" s="768"/>
      <c r="FA73" s="768"/>
      <c r="FB73" s="768"/>
      <c r="FC73" s="768"/>
      <c r="GF73" s="795"/>
      <c r="GG73" s="796"/>
      <c r="GH73" s="797"/>
      <c r="GI73" s="825"/>
      <c r="GJ73" s="939" t="s">
        <v>1797</v>
      </c>
      <c r="GK73" s="701"/>
      <c r="GL73" s="701"/>
      <c r="GM73" s="701"/>
      <c r="GN73" s="701"/>
      <c r="GO73" s="701"/>
      <c r="GP73" s="701"/>
      <c r="GQ73" s="701"/>
      <c r="GR73" s="701"/>
      <c r="GS73" s="701"/>
      <c r="GT73" s="701"/>
      <c r="GU73" s="701"/>
      <c r="GV73" s="701"/>
      <c r="GW73" s="808">
        <v>0.5</v>
      </c>
      <c r="GX73" s="809"/>
      <c r="GY73" s="759" t="s">
        <v>50</v>
      </c>
      <c r="GZ73" s="760"/>
      <c r="HA73" s="712"/>
      <c r="HB73" s="740" t="s">
        <v>1111</v>
      </c>
      <c r="HC73" s="741"/>
      <c r="HD73" s="742"/>
      <c r="HE73" s="746"/>
      <c r="HL73" s="144"/>
      <c r="HM73" s="144"/>
      <c r="HN73" s="144"/>
      <c r="HO73" s="144"/>
      <c r="HP73" s="144"/>
      <c r="HQ73" s="144"/>
      <c r="HR73" s="144"/>
      <c r="HS73" s="144"/>
      <c r="HT73" s="144"/>
      <c r="HU73" s="144"/>
      <c r="HV73" s="144"/>
      <c r="HW73" s="144"/>
      <c r="HX73" s="144"/>
      <c r="HY73" s="144"/>
      <c r="HZ73" s="144"/>
      <c r="IA73" s="144"/>
      <c r="IB73" s="144"/>
      <c r="IC73" s="144"/>
      <c r="ID73" s="144"/>
      <c r="IE73" s="144"/>
      <c r="IF73" s="144"/>
      <c r="IG73" s="144"/>
      <c r="IH73" s="144"/>
      <c r="LY73" s="144"/>
      <c r="LZ73" s="907"/>
      <c r="MA73" s="901"/>
      <c r="MB73" s="908"/>
      <c r="MC73" s="967"/>
      <c r="MD73" s="968"/>
      <c r="ME73" s="968"/>
      <c r="MF73" s="968"/>
      <c r="MG73" s="968"/>
      <c r="MH73" s="969"/>
      <c r="MI73" s="970">
        <f>'Программные таблицы'!F432</f>
        <v>2.8571428571428569E-8</v>
      </c>
      <c r="MJ73" s="970"/>
      <c r="MK73" s="970"/>
      <c r="ML73" s="970">
        <f>'Программные таблицы'!H432</f>
        <v>4.6511627906976744E-8</v>
      </c>
      <c r="MM73" s="970"/>
      <c r="MN73" s="970"/>
      <c r="MO73" s="970">
        <f>'Программные таблицы'!J432</f>
        <v>4.8780487804878047E-8</v>
      </c>
      <c r="MP73" s="970"/>
      <c r="MQ73" s="970"/>
      <c r="MR73" s="1107"/>
      <c r="MS73" s="1108"/>
      <c r="MT73" s="383">
        <f xml:space="preserve">
IF(MQ75=MI73,20,
IF(MQ75=ML73,75,
IF(MQ75=MO73,115,0
)))</f>
        <v>75</v>
      </c>
      <c r="MU73" s="378" t="s">
        <v>1359</v>
      </c>
      <c r="MV73" s="179"/>
      <c r="MW73" s="179"/>
      <c r="MX73" s="179"/>
      <c r="MY73" s="180"/>
      <c r="NA73" s="144"/>
      <c r="NB73" s="144"/>
      <c r="NC73" s="144"/>
      <c r="ND73" s="144"/>
      <c r="NE73" s="144"/>
      <c r="NF73" s="144"/>
      <c r="NI73" s="1620"/>
      <c r="NJ73" s="1621"/>
      <c r="NK73" s="1621"/>
      <c r="NL73" s="1621"/>
      <c r="NM73" s="1621"/>
      <c r="NN73" s="1621"/>
      <c r="NO73" s="1621"/>
      <c r="NP73" s="1621"/>
      <c r="NQ73" s="1621"/>
      <c r="NR73" s="1621"/>
      <c r="NS73" s="1621"/>
      <c r="NT73" s="1621"/>
      <c r="NU73" s="1621"/>
      <c r="NV73" s="1621"/>
      <c r="NW73" s="1621"/>
      <c r="NX73" s="1621"/>
      <c r="NY73" s="1621"/>
      <c r="NZ73" s="1621"/>
      <c r="OA73" s="1621"/>
      <c r="OB73" s="1621"/>
      <c r="OC73" s="1621"/>
      <c r="OD73" s="1622"/>
      <c r="OQ73" s="144"/>
      <c r="OR73" s="144"/>
      <c r="OS73" s="144"/>
      <c r="OT73" s="144"/>
      <c r="OU73" s="144"/>
      <c r="OV73" s="144"/>
      <c r="OW73" s="144"/>
      <c r="OX73" s="144"/>
      <c r="OY73" s="144"/>
      <c r="OZ73" s="144"/>
      <c r="PA73" s="144"/>
      <c r="PB73" s="144"/>
      <c r="PC73" s="144"/>
      <c r="PD73" s="144"/>
      <c r="PE73" s="144"/>
      <c r="PF73" s="144"/>
      <c r="PG73" s="144"/>
      <c r="PL73" s="504"/>
      <c r="PM73" s="665" t="s">
        <v>1657</v>
      </c>
      <c r="PN73" s="667"/>
      <c r="PO73" s="504"/>
      <c r="PP73" s="685" t="s">
        <v>1666</v>
      </c>
      <c r="PQ73" s="686"/>
      <c r="PR73" s="686"/>
      <c r="PS73" s="686"/>
      <c r="PT73" s="686"/>
      <c r="PU73" s="686"/>
      <c r="PV73" s="686"/>
      <c r="PW73" s="686"/>
      <c r="PX73" s="686"/>
      <c r="PY73" s="686"/>
      <c r="PZ73" s="687"/>
      <c r="QA73" s="504"/>
      <c r="QV73" s="144"/>
      <c r="RC73" s="369">
        <v>55</v>
      </c>
      <c r="RD73" s="668">
        <v>5.5E-2</v>
      </c>
      <c r="RE73" s="669"/>
      <c r="RF73" s="670">
        <f t="shared" si="30"/>
        <v>12.382395084559919</v>
      </c>
      <c r="RG73" s="670"/>
      <c r="RH73" s="670"/>
      <c r="RI73" s="670"/>
      <c r="RJ73" s="698">
        <f t="shared" si="12"/>
        <v>30</v>
      </c>
      <c r="RK73" s="699"/>
      <c r="RL73" s="726"/>
      <c r="RM73" s="670">
        <f t="shared" si="13"/>
        <v>12.570896254776365</v>
      </c>
      <c r="RN73" s="670"/>
      <c r="RO73" s="670"/>
      <c r="RP73" s="670"/>
      <c r="RQ73" s="670"/>
      <c r="RR73" s="670"/>
      <c r="RS73" s="671">
        <f t="shared" si="38"/>
        <v>1.560804663639157</v>
      </c>
      <c r="RT73" s="671"/>
      <c r="RU73" s="671"/>
      <c r="RV73" s="671"/>
      <c r="RW73" s="671"/>
      <c r="RX73" s="671"/>
      <c r="RY73" s="681">
        <f t="shared" si="14"/>
        <v>12.667420567992055</v>
      </c>
      <c r="RZ73" s="681"/>
      <c r="SA73" s="681"/>
      <c r="SB73" s="681"/>
      <c r="SC73" s="681">
        <f>'Вывод расчетов'!$AQ$6/RY73</f>
        <v>29.998214550496666</v>
      </c>
      <c r="SD73" s="681"/>
      <c r="SE73" s="681"/>
      <c r="SF73" s="681"/>
      <c r="SG73" s="867">
        <f t="shared" si="31"/>
        <v>0.99238011300741158</v>
      </c>
      <c r="SH73" s="867"/>
      <c r="SI73" s="867"/>
      <c r="SJ73" s="867"/>
      <c r="SK73" s="865">
        <f t="shared" si="16"/>
        <v>0.12321408729279794</v>
      </c>
      <c r="SL73" s="865"/>
      <c r="SM73" s="865"/>
      <c r="SN73" s="865"/>
      <c r="SO73" s="692">
        <f t="shared" si="26"/>
        <v>30.119953986773712</v>
      </c>
      <c r="SP73" s="693"/>
      <c r="SQ73" s="693"/>
      <c r="SR73" s="693"/>
      <c r="SS73" s="694"/>
      <c r="ST73" s="668">
        <f t="shared" si="24"/>
        <v>14.678279388248972</v>
      </c>
      <c r="SU73" s="678"/>
      <c r="SV73" s="678"/>
      <c r="SW73" s="678"/>
      <c r="SX73" s="678"/>
      <c r="SY73" s="669"/>
      <c r="SZ73" s="682">
        <f t="shared" si="19"/>
        <v>33.506171281793151</v>
      </c>
      <c r="TA73" s="683"/>
      <c r="TB73" s="683"/>
      <c r="TC73" s="683"/>
      <c r="TD73" s="683"/>
      <c r="TE73" s="684"/>
      <c r="TF73" s="682">
        <f>'Вывод расчетов'!$XC$174*SC73</f>
        <v>30.475954662969684</v>
      </c>
      <c r="TG73" s="683"/>
      <c r="TH73" s="684"/>
      <c r="TI73" s="681">
        <f t="shared" si="58"/>
        <v>34.336747544922027</v>
      </c>
      <c r="TJ73" s="681"/>
      <c r="TK73" s="681"/>
      <c r="TL73" s="681"/>
      <c r="TM73" s="685">
        <f t="shared" si="21"/>
        <v>0.62491795367064529</v>
      </c>
      <c r="TN73" s="686"/>
      <c r="TO73" s="686"/>
      <c r="TP73" s="687"/>
      <c r="TQ73" s="688">
        <f t="shared" si="22"/>
        <v>1.8385668059727649</v>
      </c>
      <c r="TR73" s="688"/>
      <c r="TS73" s="688"/>
      <c r="TT73" s="688"/>
      <c r="TU73" s="689">
        <f t="shared" si="27"/>
        <v>0.17727014058397098</v>
      </c>
      <c r="TV73" s="690"/>
      <c r="TW73" s="690"/>
      <c r="TX73" s="690"/>
      <c r="TY73" s="690"/>
      <c r="TZ73" s="691"/>
      <c r="UA73" s="679">
        <v>5.5E-2</v>
      </c>
      <c r="UB73" s="680"/>
      <c r="UC73" s="650">
        <v>0.55000000000000004</v>
      </c>
      <c r="UD73" s="866">
        <f t="shared" si="39"/>
        <v>3.5210417160547953</v>
      </c>
      <c r="UE73" s="866"/>
      <c r="UF73" s="866"/>
      <c r="UG73" s="866"/>
      <c r="UH73" s="866"/>
      <c r="UI73" s="866"/>
      <c r="UJ73" s="866"/>
      <c r="UK73" s="681">
        <f t="shared" si="40"/>
        <v>30.81570582886723</v>
      </c>
      <c r="UL73" s="681"/>
      <c r="UM73" s="681"/>
      <c r="UN73" s="681"/>
      <c r="UO73" s="816">
        <f t="shared" si="41"/>
        <v>0.89745558424110228</v>
      </c>
      <c r="UP73" s="816"/>
      <c r="UQ73" s="816"/>
      <c r="UR73" s="816"/>
      <c r="US73" s="866">
        <f t="shared" si="42"/>
        <v>0.89893750418271545</v>
      </c>
      <c r="UT73" s="866"/>
      <c r="UU73" s="866"/>
      <c r="UV73" s="866"/>
      <c r="UW73" s="866"/>
      <c r="VX73" s="248">
        <v>3</v>
      </c>
      <c r="VY73" s="229"/>
      <c r="WD73" s="827"/>
      <c r="WE73" s="588" t="s">
        <v>1468</v>
      </c>
      <c r="WF73" s="883">
        <f>$MN$98</f>
        <v>0.55105560251025065</v>
      </c>
      <c r="WG73" s="883"/>
      <c r="WH73" s="707"/>
      <c r="WI73" s="707"/>
      <c r="WJ73" s="707"/>
      <c r="WK73" s="707"/>
      <c r="WL73" s="707"/>
      <c r="WM73" s="707"/>
      <c r="WN73" s="707"/>
      <c r="WO73" s="707"/>
      <c r="WP73" s="707"/>
      <c r="WQ73" s="708"/>
      <c r="WR73" s="765"/>
      <c r="WS73" s="766"/>
      <c r="WT73" s="1117"/>
      <c r="WU73" s="1118"/>
      <c r="WV73" s="713"/>
      <c r="WW73" s="954"/>
      <c r="WX73" s="955"/>
      <c r="WY73" s="747"/>
      <c r="WZ73" s="892"/>
      <c r="XA73" s="893"/>
      <c r="XB73" s="893"/>
      <c r="XC73" s="894"/>
      <c r="XO73" s="827"/>
      <c r="XP73" s="706"/>
      <c r="XQ73" s="707"/>
      <c r="XR73" s="707"/>
      <c r="XS73" s="707"/>
      <c r="XT73" s="707"/>
      <c r="XU73" s="707"/>
      <c r="XV73" s="707"/>
      <c r="XW73" s="707"/>
      <c r="XX73" s="707"/>
      <c r="XY73" s="707"/>
      <c r="XZ73" s="707"/>
      <c r="YA73" s="707"/>
      <c r="YB73" s="708"/>
      <c r="YC73" s="1089"/>
      <c r="YD73" s="708"/>
      <c r="YE73" s="814"/>
      <c r="YF73" s="815"/>
      <c r="YG73" s="713"/>
      <c r="YH73" s="954"/>
      <c r="YI73" s="955"/>
      <c r="YJ73" s="747"/>
      <c r="YK73" s="1112"/>
      <c r="YL73" s="1113"/>
      <c r="YM73" s="1114"/>
      <c r="AAD73" s="816" t="s">
        <v>1736</v>
      </c>
      <c r="AAE73" s="816"/>
      <c r="AAF73" s="816" t="s">
        <v>877</v>
      </c>
      <c r="AAG73" s="816"/>
      <c r="AAH73" s="533" t="s">
        <v>436</v>
      </c>
      <c r="AAI73" s="956" t="s">
        <v>1735</v>
      </c>
      <c r="AAJ73" s="957"/>
      <c r="AAK73" s="960" t="s">
        <v>1577</v>
      </c>
      <c r="AAL73" s="961"/>
      <c r="AAN73" s="816" t="s">
        <v>1736</v>
      </c>
      <c r="AAO73" s="816"/>
      <c r="AAP73" s="816" t="s">
        <v>877</v>
      </c>
      <c r="AAQ73" s="816"/>
      <c r="AAR73" s="533" t="s">
        <v>436</v>
      </c>
      <c r="AAS73" s="956" t="s">
        <v>1735</v>
      </c>
      <c r="AAT73" s="957"/>
      <c r="AAU73" s="960" t="s">
        <v>1577</v>
      </c>
      <c r="AAV73" s="961"/>
      <c r="AAX73" s="816" t="s">
        <v>1736</v>
      </c>
      <c r="AAY73" s="816"/>
      <c r="AAZ73" s="816" t="s">
        <v>877</v>
      </c>
      <c r="ABA73" s="816"/>
      <c r="ABB73" s="533" t="s">
        <v>436</v>
      </c>
      <c r="ABC73" s="956" t="s">
        <v>1735</v>
      </c>
      <c r="ABD73" s="957"/>
      <c r="ABE73" s="960" t="s">
        <v>1577</v>
      </c>
      <c r="ABF73" s="961"/>
      <c r="ABH73" s="816" t="s">
        <v>1736</v>
      </c>
      <c r="ABI73" s="816"/>
      <c r="ABJ73" s="816" t="s">
        <v>877</v>
      </c>
      <c r="ABK73" s="816"/>
      <c r="ABL73" s="538" t="s">
        <v>436</v>
      </c>
      <c r="ABM73" s="956" t="s">
        <v>1735</v>
      </c>
      <c r="ABN73" s="957"/>
      <c r="ABO73" s="960" t="s">
        <v>1577</v>
      </c>
      <c r="ABP73" s="961"/>
      <c r="ABR73" s="816" t="s">
        <v>1736</v>
      </c>
      <c r="ABS73" s="816"/>
      <c r="ABT73" s="816" t="s">
        <v>877</v>
      </c>
      <c r="ABU73" s="816"/>
      <c r="ABV73" s="538" t="s">
        <v>436</v>
      </c>
      <c r="ABW73" s="956" t="s">
        <v>1735</v>
      </c>
      <c r="ABX73" s="957"/>
      <c r="ABY73" s="960" t="s">
        <v>1577</v>
      </c>
      <c r="ABZ73" s="961"/>
      <c r="ACA73" s="144"/>
      <c r="ACB73" s="144"/>
      <c r="ACC73" s="144"/>
      <c r="ADB73" s="1035">
        <v>17</v>
      </c>
      <c r="ADC73" s="1036"/>
      <c r="ADD73" s="494" t="s">
        <v>1189</v>
      </c>
      <c r="ADE73" s="677">
        <f>$CL$52</f>
        <v>32.488628979857047</v>
      </c>
      <c r="ADF73" s="677"/>
      <c r="ADG73" s="494" t="s">
        <v>1627</v>
      </c>
      <c r="ADH73" s="724">
        <f>$CO$64</f>
        <v>19</v>
      </c>
      <c r="ADI73" s="724"/>
      <c r="ADJ73" s="1033" t="s">
        <v>50</v>
      </c>
      <c r="ADK73" s="1033"/>
      <c r="ADL73" s="1033"/>
      <c r="ADM73" s="1033"/>
      <c r="ADN73" s="1033"/>
      <c r="ADO73" s="1033"/>
      <c r="ADP73" s="1033"/>
      <c r="ADQ73" s="1033"/>
      <c r="ADR73" s="1033"/>
      <c r="ADS73" s="1033"/>
      <c r="ADT73" s="1033"/>
      <c r="ADU73" s="1033"/>
      <c r="ADV73" s="1033"/>
      <c r="ADW73" s="1033"/>
      <c r="ADX73" s="74"/>
      <c r="ADY73" s="70"/>
      <c r="ADZ73" s="70"/>
      <c r="AEA73" s="70"/>
      <c r="AEB73" s="70"/>
      <c r="AEC73" s="70"/>
      <c r="AED73" s="70"/>
      <c r="AEE73" s="70"/>
      <c r="AEF73" s="70"/>
      <c r="AEG73" s="70"/>
      <c r="AEH73" s="71"/>
      <c r="AEI73" s="172"/>
      <c r="AEJ73" s="172"/>
      <c r="AEK73" s="177"/>
      <c r="AEP73" s="947"/>
      <c r="AEQ73" s="947"/>
      <c r="AER73" s="947"/>
      <c r="AES73" s="947"/>
      <c r="AET73" s="656">
        <v>29</v>
      </c>
      <c r="AEU73" s="956"/>
      <c r="AEV73" s="957"/>
      <c r="AEW73" s="958">
        <f t="shared" si="35"/>
        <v>0.91833333333333345</v>
      </c>
      <c r="AEX73" s="959"/>
      <c r="AEZ73" s="947"/>
      <c r="AFA73" s="947"/>
      <c r="AFB73" s="947"/>
      <c r="AFC73" s="947"/>
      <c r="AFD73" s="656">
        <v>89</v>
      </c>
      <c r="AFE73" s="956"/>
      <c r="AFF73" s="957"/>
      <c r="AFG73" s="958">
        <f t="shared" si="36"/>
        <v>2.8183333333333334</v>
      </c>
      <c r="AFH73" s="959"/>
      <c r="AFJ73" s="947"/>
      <c r="AFK73" s="947"/>
      <c r="AFL73" s="947"/>
      <c r="AFM73" s="947"/>
      <c r="AFN73" s="656">
        <v>149</v>
      </c>
      <c r="AFO73" s="956"/>
      <c r="AFP73" s="957"/>
      <c r="AFQ73" s="958">
        <f t="shared" si="37"/>
        <v>4.7183333333333337</v>
      </c>
      <c r="AFR73" s="959"/>
      <c r="AFT73" s="947"/>
      <c r="AFU73" s="947"/>
      <c r="AFV73" s="947"/>
      <c r="AFW73" s="947"/>
      <c r="AFX73" s="656">
        <v>209</v>
      </c>
      <c r="AFY73" s="956"/>
      <c r="AFZ73" s="957"/>
      <c r="AGA73" s="958"/>
      <c r="AGB73" s="959"/>
      <c r="AGD73" s="947"/>
      <c r="AGE73" s="947"/>
      <c r="AGF73" s="947"/>
      <c r="AGG73" s="947"/>
      <c r="AGH73" s="656">
        <v>269</v>
      </c>
      <c r="AGI73" s="956"/>
      <c r="AGJ73" s="957"/>
      <c r="AGK73" s="958"/>
      <c r="AGL73" s="959"/>
      <c r="AGM73" s="144"/>
      <c r="AGN73" s="144"/>
      <c r="AGO73" s="144"/>
      <c r="AGP73" s="144"/>
      <c r="AGQ73" s="144"/>
      <c r="AGR73" s="144"/>
      <c r="AGS73" s="144"/>
      <c r="AGT73" s="144"/>
      <c r="AIM73" s="795"/>
      <c r="AIN73" s="796"/>
      <c r="AIO73" s="797"/>
      <c r="AIP73" s="826"/>
      <c r="AIQ73" s="727" t="s">
        <v>979</v>
      </c>
      <c r="AIR73" s="816"/>
      <c r="AIS73" s="816"/>
      <c r="AIT73" s="816"/>
      <c r="AIU73" s="816"/>
      <c r="AIV73" s="816"/>
      <c r="AIW73" s="816"/>
      <c r="AIX73" s="816"/>
      <c r="AIY73" s="816"/>
      <c r="AIZ73" s="816"/>
      <c r="AJA73" s="816"/>
      <c r="AJB73" s="816"/>
      <c r="AJC73" s="816"/>
      <c r="AJD73" s="763">
        <v>0.11</v>
      </c>
      <c r="AJE73" s="764"/>
      <c r="AJF73" s="1005"/>
      <c r="AJG73" s="1006"/>
      <c r="AJH73" s="712"/>
      <c r="AJI73" s="740" t="s">
        <v>978</v>
      </c>
      <c r="AJJ73" s="742"/>
      <c r="AJK73" s="746"/>
      <c r="AJL73" s="1066" t="s">
        <v>920</v>
      </c>
      <c r="AJM73" s="1111"/>
      <c r="AJN73" s="1067"/>
    </row>
    <row r="74" spans="12:982" ht="48" customHeight="1" thickBot="1">
      <c r="N74" s="3"/>
      <c r="O74" s="3"/>
      <c r="P74" s="3"/>
      <c r="Q74" s="3"/>
      <c r="AI74" s="934"/>
      <c r="AJ74" s="826"/>
      <c r="AK74" s="731" t="s">
        <v>20</v>
      </c>
      <c r="AL74" s="732"/>
      <c r="AM74" s="732"/>
      <c r="AN74" s="732"/>
      <c r="AO74" s="732"/>
      <c r="AP74" s="732"/>
      <c r="AQ74" s="732"/>
      <c r="AR74" s="732"/>
      <c r="AS74" s="732"/>
      <c r="AT74" s="732"/>
      <c r="AU74" s="732"/>
      <c r="AV74" s="732"/>
      <c r="AW74" s="732"/>
      <c r="AX74" s="1521">
        <v>1.1000000000000001</v>
      </c>
      <c r="AY74" s="1522"/>
      <c r="AZ74" s="759" t="s">
        <v>736</v>
      </c>
      <c r="BA74" s="760"/>
      <c r="BB74" s="714"/>
      <c r="BC74" s="740" t="s">
        <v>782</v>
      </c>
      <c r="BD74" s="742"/>
      <c r="BE74" s="746"/>
      <c r="DI74" s="144"/>
      <c r="DJ74" s="144"/>
      <c r="DK74" s="144"/>
      <c r="DL74" s="144"/>
      <c r="DM74" s="144"/>
      <c r="DN74" s="144"/>
      <c r="DO74" s="144"/>
      <c r="DT74" s="144"/>
      <c r="DU74" s="144"/>
      <c r="DV74" s="144"/>
      <c r="DW74" s="144"/>
      <c r="DX74" s="144"/>
      <c r="GE74" s="3"/>
      <c r="GF74" s="798"/>
      <c r="GG74" s="799"/>
      <c r="GH74" s="800"/>
      <c r="GI74" s="827"/>
      <c r="GJ74" s="706"/>
      <c r="GK74" s="707"/>
      <c r="GL74" s="707"/>
      <c r="GM74" s="707"/>
      <c r="GN74" s="707"/>
      <c r="GO74" s="707"/>
      <c r="GP74" s="707"/>
      <c r="GQ74" s="707"/>
      <c r="GR74" s="707"/>
      <c r="GS74" s="707"/>
      <c r="GT74" s="707"/>
      <c r="GU74" s="707"/>
      <c r="GV74" s="707"/>
      <c r="GW74" s="810"/>
      <c r="GX74" s="811"/>
      <c r="GY74" s="761"/>
      <c r="GZ74" s="762"/>
      <c r="HA74" s="713"/>
      <c r="HB74" s="743"/>
      <c r="HC74" s="744"/>
      <c r="HD74" s="745"/>
      <c r="HE74" s="747"/>
      <c r="HM74" s="144"/>
      <c r="HN74" s="144"/>
      <c r="HO74" s="144"/>
      <c r="HP74" s="144"/>
      <c r="HQ74" s="144"/>
      <c r="HR74" s="144"/>
      <c r="HS74" s="144"/>
      <c r="HT74" s="144"/>
      <c r="HU74" s="144"/>
      <c r="HV74" s="144"/>
      <c r="HW74" s="144"/>
      <c r="HX74" s="144"/>
      <c r="HY74" s="144"/>
      <c r="HZ74" s="144"/>
      <c r="IA74" s="144"/>
      <c r="IB74" s="144"/>
      <c r="IC74" s="144"/>
      <c r="ID74" s="144"/>
      <c r="IE74" s="144"/>
      <c r="IF74" s="144"/>
      <c r="IG74" s="144"/>
      <c r="IH74" s="144"/>
      <c r="IT74" s="202"/>
      <c r="IU74" s="665"/>
      <c r="IV74" s="667"/>
      <c r="IW74" s="202"/>
      <c r="IX74" s="685" t="s">
        <v>71</v>
      </c>
      <c r="IY74" s="686"/>
      <c r="IZ74" s="686"/>
      <c r="JA74" s="686"/>
      <c r="JB74" s="686"/>
      <c r="JC74" s="686"/>
      <c r="JD74" s="686"/>
      <c r="JE74" s="686"/>
      <c r="JF74" s="686"/>
      <c r="JG74" s="686"/>
      <c r="JH74" s="687"/>
      <c r="JI74" s="202"/>
      <c r="LY74" s="144"/>
      <c r="LZ74" s="792" t="s">
        <v>1078</v>
      </c>
      <c r="MA74" s="793"/>
      <c r="MB74" s="794"/>
      <c r="MC74" s="825"/>
      <c r="MD74" s="147" t="s">
        <v>442</v>
      </c>
      <c r="ME74" s="148"/>
      <c r="MF74" s="373"/>
      <c r="MG74" s="87"/>
      <c r="MH74" s="87"/>
      <c r="MI74" s="87"/>
      <c r="MJ74" s="87"/>
      <c r="MK74" s="87"/>
      <c r="ML74" s="84" t="s">
        <v>477</v>
      </c>
      <c r="MM74" s="373"/>
      <c r="MN74" s="85" t="s">
        <v>467</v>
      </c>
      <c r="MO74" s="757" t="s">
        <v>461</v>
      </c>
      <c r="MP74" s="758"/>
      <c r="MQ74" s="774" t="s">
        <v>126</v>
      </c>
      <c r="MR74" s="1205"/>
      <c r="MS74" s="1206"/>
      <c r="MT74" s="971" t="s">
        <v>731</v>
      </c>
      <c r="MU74" s="972"/>
      <c r="MV74" s="1350" t="s">
        <v>473</v>
      </c>
      <c r="MW74" s="822"/>
      <c r="MX74" s="822"/>
      <c r="MY74" s="823"/>
      <c r="NA74" s="144"/>
      <c r="NB74" s="144"/>
      <c r="NI74" s="1620"/>
      <c r="NJ74" s="1621"/>
      <c r="NK74" s="1621"/>
      <c r="NL74" s="1621"/>
      <c r="NM74" s="1621"/>
      <c r="NN74" s="1621"/>
      <c r="NO74" s="1621"/>
      <c r="NP74" s="1621"/>
      <c r="NQ74" s="1621"/>
      <c r="NR74" s="1621"/>
      <c r="NS74" s="1621"/>
      <c r="NT74" s="1621"/>
      <c r="NU74" s="1621"/>
      <c r="NV74" s="1621"/>
      <c r="NW74" s="1621"/>
      <c r="NX74" s="1621"/>
      <c r="NY74" s="1621"/>
      <c r="NZ74" s="1621"/>
      <c r="OA74" s="1621"/>
      <c r="OB74" s="1621"/>
      <c r="OC74" s="1621"/>
      <c r="OD74" s="1622"/>
      <c r="OQ74" s="144"/>
      <c r="OR74" s="144"/>
      <c r="OS74" s="144"/>
      <c r="OT74" s="144"/>
      <c r="OU74" s="144"/>
      <c r="OV74" s="144"/>
      <c r="OW74" s="144"/>
      <c r="OX74" s="144"/>
      <c r="OY74" s="144"/>
      <c r="OZ74" s="144"/>
      <c r="PA74" s="144"/>
      <c r="PB74" s="144"/>
      <c r="PC74" s="144"/>
      <c r="PD74" s="144"/>
      <c r="PE74" s="144"/>
      <c r="PF74" s="144"/>
      <c r="PG74" s="144"/>
      <c r="QU74" s="144"/>
      <c r="QV74" s="144"/>
      <c r="RC74" s="369">
        <v>56</v>
      </c>
      <c r="RD74" s="668">
        <v>5.6000000000000001E-2</v>
      </c>
      <c r="RE74" s="669"/>
      <c r="RF74" s="670">
        <f t="shared" si="30"/>
        <v>12.161280886621348</v>
      </c>
      <c r="RG74" s="670"/>
      <c r="RH74" s="670"/>
      <c r="RI74" s="670"/>
      <c r="RJ74" s="698">
        <f t="shared" si="12"/>
        <v>30</v>
      </c>
      <c r="RK74" s="699"/>
      <c r="RL74" s="726"/>
      <c r="RM74" s="670">
        <f t="shared" si="13"/>
        <v>12.349782056837794</v>
      </c>
      <c r="RN74" s="670"/>
      <c r="RO74" s="670"/>
      <c r="RP74" s="670"/>
      <c r="RQ74" s="670"/>
      <c r="RR74" s="670"/>
      <c r="RS74" s="671">
        <f t="shared" si="38"/>
        <v>1.560804663639157</v>
      </c>
      <c r="RT74" s="671"/>
      <c r="RU74" s="671"/>
      <c r="RV74" s="671"/>
      <c r="RW74" s="671"/>
      <c r="RX74" s="671"/>
      <c r="RY74" s="681">
        <f t="shared" si="14"/>
        <v>12.448021049525522</v>
      </c>
      <c r="RZ74" s="681"/>
      <c r="SA74" s="681"/>
      <c r="SB74" s="681"/>
      <c r="SC74" s="681">
        <f>'Вывод расчетов'!$AQ$6/RY74</f>
        <v>30.526940666965242</v>
      </c>
      <c r="SD74" s="681"/>
      <c r="SE74" s="681"/>
      <c r="SF74" s="681"/>
      <c r="SG74" s="867">
        <f t="shared" si="31"/>
        <v>0.99210806341852442</v>
      </c>
      <c r="SH74" s="867"/>
      <c r="SI74" s="867"/>
      <c r="SJ74" s="867"/>
      <c r="SK74" s="865">
        <f t="shared" si="16"/>
        <v>0.12538576673588206</v>
      </c>
      <c r="SL74" s="865"/>
      <c r="SM74" s="865"/>
      <c r="SN74" s="865"/>
      <c r="SO74" s="692">
        <f t="shared" si="26"/>
        <v>30.636346428326334</v>
      </c>
      <c r="SP74" s="693"/>
      <c r="SQ74" s="693"/>
      <c r="SR74" s="693"/>
      <c r="SS74" s="694"/>
      <c r="ST74" s="668">
        <f t="shared" si="24"/>
        <v>14.80972062362421</v>
      </c>
      <c r="SU74" s="678"/>
      <c r="SV74" s="678"/>
      <c r="SW74" s="678"/>
      <c r="SX74" s="678"/>
      <c r="SY74" s="669"/>
      <c r="SZ74" s="682">
        <f t="shared" si="19"/>
        <v>34.028128767627287</v>
      </c>
      <c r="TA74" s="683"/>
      <c r="TB74" s="683"/>
      <c r="TC74" s="683"/>
      <c r="TD74" s="683"/>
      <c r="TE74" s="684"/>
      <c r="TF74" s="682">
        <f>'Вывод расчетов'!$XC$174*SC74</f>
        <v>31.013101069716665</v>
      </c>
      <c r="TG74" s="683"/>
      <c r="TH74" s="684"/>
      <c r="TI74" s="681">
        <f t="shared" si="58"/>
        <v>34.92543492829202</v>
      </c>
      <c r="TJ74" s="681"/>
      <c r="TK74" s="681"/>
      <c r="TL74" s="681"/>
      <c r="TM74" s="685">
        <f t="shared" si="21"/>
        <v>0.64453948630574476</v>
      </c>
      <c r="TN74" s="686"/>
      <c r="TO74" s="686"/>
      <c r="TP74" s="687"/>
      <c r="TQ74" s="688">
        <f t="shared" si="22"/>
        <v>1.9039483655713936</v>
      </c>
      <c r="TR74" s="688"/>
      <c r="TS74" s="688"/>
      <c r="TT74" s="688"/>
      <c r="TU74" s="689">
        <f t="shared" si="27"/>
        <v>0.18283617021756721</v>
      </c>
      <c r="TV74" s="690"/>
      <c r="TW74" s="690"/>
      <c r="TX74" s="690"/>
      <c r="TY74" s="690"/>
      <c r="TZ74" s="691"/>
      <c r="UA74" s="679">
        <v>5.6000000000000001E-2</v>
      </c>
      <c r="UB74" s="680"/>
      <c r="UC74" s="650">
        <v>0.56000000000000005</v>
      </c>
      <c r="UD74" s="866">
        <f t="shared" si="39"/>
        <v>3.611610837922119</v>
      </c>
      <c r="UE74" s="866"/>
      <c r="UF74" s="866"/>
      <c r="UG74" s="866"/>
      <c r="UH74" s="866"/>
      <c r="UI74" s="866"/>
      <c r="UJ74" s="866"/>
      <c r="UK74" s="681">
        <f t="shared" si="40"/>
        <v>31.313824090369902</v>
      </c>
      <c r="UL74" s="681"/>
      <c r="UM74" s="681"/>
      <c r="UN74" s="681"/>
      <c r="UO74" s="816">
        <f t="shared" si="41"/>
        <v>0.8965908128177249</v>
      </c>
      <c r="UP74" s="816"/>
      <c r="UQ74" s="816"/>
      <c r="UR74" s="816"/>
      <c r="US74" s="866">
        <f t="shared" si="42"/>
        <v>0.90032415938993005</v>
      </c>
      <c r="UT74" s="866"/>
      <c r="UU74" s="866"/>
      <c r="UV74" s="866"/>
      <c r="UW74" s="866"/>
      <c r="VX74" s="248">
        <v>4</v>
      </c>
      <c r="VY74" s="229"/>
      <c r="AAD74" s="947"/>
      <c r="AAE74" s="947"/>
      <c r="AAF74" s="947"/>
      <c r="AAG74" s="947"/>
      <c r="AAH74" s="535">
        <v>1</v>
      </c>
      <c r="AAI74" s="956"/>
      <c r="AAJ74" s="957"/>
      <c r="AAK74" s="958">
        <f>(4/300*AAH74)</f>
        <v>1.3333333333333334E-2</v>
      </c>
      <c r="AAL74" s="959"/>
      <c r="AAN74" s="947"/>
      <c r="AAO74" s="947"/>
      <c r="AAP74" s="947"/>
      <c r="AAQ74" s="947"/>
      <c r="AAR74" s="535">
        <v>61</v>
      </c>
      <c r="AAS74" s="956"/>
      <c r="AAT74" s="957"/>
      <c r="AAU74" s="958">
        <f>(4/300*AAR74)</f>
        <v>0.81333333333333335</v>
      </c>
      <c r="AAV74" s="959"/>
      <c r="AAX74" s="947"/>
      <c r="AAY74" s="947"/>
      <c r="AAZ74" s="947"/>
      <c r="ABA74" s="947"/>
      <c r="ABB74" s="535">
        <v>121</v>
      </c>
      <c r="ABC74" s="956"/>
      <c r="ABD74" s="957"/>
      <c r="ABE74" s="958">
        <f>(4/300*ABB74)</f>
        <v>1.6133333333333335</v>
      </c>
      <c r="ABF74" s="959"/>
      <c r="ABH74" s="947"/>
      <c r="ABI74" s="947"/>
      <c r="ABJ74" s="947"/>
      <c r="ABK74" s="947"/>
      <c r="ABL74" s="537">
        <v>181</v>
      </c>
      <c r="ABM74" s="956"/>
      <c r="ABN74" s="957"/>
      <c r="ABO74" s="958">
        <f>(4/300*ABL74)</f>
        <v>2.4133333333333336</v>
      </c>
      <c r="ABP74" s="959"/>
      <c r="ABR74" s="947"/>
      <c r="ABS74" s="947"/>
      <c r="ABT74" s="947"/>
      <c r="ABU74" s="947"/>
      <c r="ABV74" s="537">
        <v>241</v>
      </c>
      <c r="ABW74" s="956"/>
      <c r="ABX74" s="957"/>
      <c r="ABY74" s="958">
        <f>(4/300*ABV74)</f>
        <v>3.2133333333333334</v>
      </c>
      <c r="ABZ74" s="959"/>
      <c r="ACA74" s="144"/>
      <c r="ACB74" s="144"/>
      <c r="ACC74" s="144"/>
      <c r="ADB74" s="1037"/>
      <c r="ADC74" s="1038"/>
      <c r="ADD74" s="494" t="s">
        <v>774</v>
      </c>
      <c r="ADE74" s="724">
        <f>$CO$56</f>
        <v>1</v>
      </c>
      <c r="ADF74" s="724"/>
      <c r="ADG74" s="495" t="s">
        <v>1179</v>
      </c>
      <c r="ADH74" s="756">
        <f>$CL$76</f>
        <v>0.95799999999999996</v>
      </c>
      <c r="ADI74" s="756"/>
      <c r="ADJ74" s="1033"/>
      <c r="ADK74" s="1033"/>
      <c r="ADL74" s="1033"/>
      <c r="ADM74" s="1033"/>
      <c r="ADN74" s="1033"/>
      <c r="ADO74" s="1033"/>
      <c r="ADP74" s="1033"/>
      <c r="ADQ74" s="1033"/>
      <c r="ADR74" s="1033"/>
      <c r="ADS74" s="1033"/>
      <c r="ADT74" s="1033"/>
      <c r="ADU74" s="1033"/>
      <c r="ADV74" s="1033"/>
      <c r="ADW74" s="1033"/>
      <c r="ADX74" s="496"/>
      <c r="ADY74" s="497"/>
      <c r="ADZ74" s="497"/>
      <c r="AEA74" s="497"/>
      <c r="AEB74" s="497"/>
      <c r="AEC74" s="497"/>
      <c r="AED74" s="497"/>
      <c r="AEE74" s="497"/>
      <c r="AEF74" s="497"/>
      <c r="AEG74" s="497"/>
      <c r="AEH74" s="498"/>
      <c r="AEI74" s="172"/>
      <c r="AEJ74" s="172"/>
      <c r="AEK74" s="177"/>
      <c r="AEP74" s="947"/>
      <c r="AEQ74" s="947"/>
      <c r="AER74" s="947"/>
      <c r="AES74" s="947"/>
      <c r="AET74" s="656">
        <v>30</v>
      </c>
      <c r="AEU74" s="956"/>
      <c r="AEV74" s="957"/>
      <c r="AEW74" s="958">
        <f t="shared" si="35"/>
        <v>0.95000000000000007</v>
      </c>
      <c r="AEX74" s="959"/>
      <c r="AEZ74" s="947"/>
      <c r="AFA74" s="947"/>
      <c r="AFB74" s="947"/>
      <c r="AFC74" s="947"/>
      <c r="AFD74" s="656">
        <v>90</v>
      </c>
      <c r="AFE74" s="956"/>
      <c r="AFF74" s="957"/>
      <c r="AFG74" s="958">
        <f t="shared" si="36"/>
        <v>2.85</v>
      </c>
      <c r="AFH74" s="959"/>
      <c r="AFJ74" s="947"/>
      <c r="AFK74" s="947"/>
      <c r="AFL74" s="947"/>
      <c r="AFM74" s="947"/>
      <c r="AFN74" s="656">
        <v>150</v>
      </c>
      <c r="AFO74" s="956"/>
      <c r="AFP74" s="957"/>
      <c r="AFQ74" s="958">
        <f t="shared" si="37"/>
        <v>4.75</v>
      </c>
      <c r="AFR74" s="959"/>
      <c r="AFT74" s="947"/>
      <c r="AFU74" s="947"/>
      <c r="AFV74" s="947"/>
      <c r="AFW74" s="947"/>
      <c r="AFX74" s="656">
        <v>210</v>
      </c>
      <c r="AFY74" s="956"/>
      <c r="AFZ74" s="957"/>
      <c r="AGA74" s="958"/>
      <c r="AGB74" s="959"/>
      <c r="AGD74" s="947"/>
      <c r="AGE74" s="947"/>
      <c r="AGF74" s="947"/>
      <c r="AGG74" s="947"/>
      <c r="AGH74" s="656">
        <v>270</v>
      </c>
      <c r="AGI74" s="956"/>
      <c r="AGJ74" s="957"/>
      <c r="AGK74" s="958"/>
      <c r="AGL74" s="959"/>
      <c r="AGM74" s="144"/>
      <c r="AGN74" s="144"/>
      <c r="AGO74" s="144"/>
      <c r="AGP74" s="144"/>
      <c r="AGQ74" s="144"/>
      <c r="AGR74" s="144"/>
      <c r="AGS74" s="144"/>
      <c r="AGT74" s="144"/>
      <c r="AIM74" s="798"/>
      <c r="AIN74" s="799"/>
      <c r="AIO74" s="800"/>
      <c r="AIP74" s="827"/>
      <c r="AIQ74" s="818"/>
      <c r="AIR74" s="818"/>
      <c r="AIS74" s="818"/>
      <c r="AIT74" s="818"/>
      <c r="AIU74" s="818"/>
      <c r="AIV74" s="818"/>
      <c r="AIW74" s="818"/>
      <c r="AIX74" s="818"/>
      <c r="AIY74" s="818"/>
      <c r="AIZ74" s="818"/>
      <c r="AJA74" s="818"/>
      <c r="AJB74" s="818"/>
      <c r="AJC74" s="818"/>
      <c r="AJD74" s="765"/>
      <c r="AJE74" s="766"/>
      <c r="AJF74" s="706"/>
      <c r="AJG74" s="708"/>
      <c r="AJH74" s="713"/>
      <c r="AJI74" s="743"/>
      <c r="AJJ74" s="745"/>
      <c r="AJK74" s="747"/>
      <c r="AJL74" s="1112"/>
      <c r="AJM74" s="1113"/>
      <c r="AJN74" s="1114"/>
    </row>
    <row r="75" spans="12:982" ht="48" customHeight="1" thickBot="1">
      <c r="N75" s="3"/>
      <c r="O75" s="3"/>
      <c r="P75" s="3"/>
      <c r="Q75" s="3"/>
      <c r="AI75" s="935"/>
      <c r="AJ75" s="827"/>
      <c r="AK75" s="734"/>
      <c r="AL75" s="735"/>
      <c r="AM75" s="735"/>
      <c r="AN75" s="735"/>
      <c r="AO75" s="735"/>
      <c r="AP75" s="735"/>
      <c r="AQ75" s="735"/>
      <c r="AR75" s="735"/>
      <c r="AS75" s="735"/>
      <c r="AT75" s="735"/>
      <c r="AU75" s="735"/>
      <c r="AV75" s="735"/>
      <c r="AW75" s="735"/>
      <c r="AX75" s="1523"/>
      <c r="AY75" s="1524"/>
      <c r="AZ75" s="761"/>
      <c r="BA75" s="762"/>
      <c r="BB75" s="715"/>
      <c r="BC75" s="743"/>
      <c r="BD75" s="745"/>
      <c r="BE75" s="747"/>
      <c r="BP75" s="144"/>
      <c r="BT75" s="144"/>
      <c r="BX75" s="825"/>
      <c r="BY75" s="695" t="s">
        <v>442</v>
      </c>
      <c r="BZ75" s="695"/>
      <c r="CA75" s="146"/>
      <c r="CB75" s="87"/>
      <c r="CC75" s="87"/>
      <c r="CD75" s="87"/>
      <c r="CE75" s="87"/>
      <c r="CF75" s="87"/>
      <c r="CG75" s="87"/>
      <c r="CH75" s="146"/>
      <c r="CI75" s="85" t="s">
        <v>467</v>
      </c>
      <c r="CJ75" s="757" t="s">
        <v>461</v>
      </c>
      <c r="CK75" s="973"/>
      <c r="CL75" s="1586" t="s">
        <v>126</v>
      </c>
      <c r="CM75" s="1586"/>
      <c r="CN75" s="1094" t="s">
        <v>731</v>
      </c>
      <c r="CO75" s="676"/>
      <c r="CP75" s="821" t="s">
        <v>473</v>
      </c>
      <c r="CQ75" s="822"/>
      <c r="CR75" s="822"/>
      <c r="CS75" s="823"/>
      <c r="CT75" s="821" t="s">
        <v>462</v>
      </c>
      <c r="CU75" s="822"/>
      <c r="CV75" s="822"/>
      <c r="CW75" s="823"/>
      <c r="DC75" s="144"/>
      <c r="DD75" s="144"/>
      <c r="DE75" s="144"/>
      <c r="DF75" s="144"/>
      <c r="DG75" s="144"/>
      <c r="DH75" s="144"/>
      <c r="DZ75" s="777" t="s">
        <v>752</v>
      </c>
      <c r="EA75" s="778"/>
      <c r="EB75" s="779"/>
      <c r="EC75" s="85" t="s">
        <v>839</v>
      </c>
      <c r="ED75" s="665" t="s">
        <v>442</v>
      </c>
      <c r="EE75" s="666"/>
      <c r="EF75" s="239"/>
      <c r="EG75" s="87"/>
      <c r="EH75" s="87"/>
      <c r="EI75" s="87"/>
      <c r="EJ75" s="87"/>
      <c r="EK75" s="87"/>
      <c r="EL75" s="87"/>
      <c r="EM75" s="239"/>
      <c r="EN75" s="85" t="s">
        <v>467</v>
      </c>
      <c r="EO75" s="757" t="s">
        <v>461</v>
      </c>
      <c r="EP75" s="758"/>
      <c r="EQ75" s="819" t="s">
        <v>126</v>
      </c>
      <c r="ER75" s="820"/>
      <c r="ES75" s="675" t="s">
        <v>731</v>
      </c>
      <c r="ET75" s="676"/>
      <c r="EU75" s="821" t="s">
        <v>473</v>
      </c>
      <c r="EV75" s="822"/>
      <c r="EW75" s="822"/>
      <c r="EX75" s="822"/>
      <c r="EY75" s="823"/>
      <c r="HL75" s="144"/>
      <c r="HM75" s="144"/>
      <c r="HN75" s="144"/>
      <c r="HO75" s="144"/>
      <c r="LY75" s="144"/>
      <c r="LZ75" s="795"/>
      <c r="MA75" s="796"/>
      <c r="MB75" s="797"/>
      <c r="MC75" s="826"/>
      <c r="MD75" s="939" t="s">
        <v>1354</v>
      </c>
      <c r="ME75" s="701"/>
      <c r="MF75" s="701"/>
      <c r="MG75" s="701"/>
      <c r="MH75" s="701"/>
      <c r="MI75" s="701"/>
      <c r="MJ75" s="701"/>
      <c r="MK75" s="701"/>
      <c r="ML75" s="701"/>
      <c r="MM75" s="701"/>
      <c r="MN75" s="701"/>
      <c r="MO75" s="701"/>
      <c r="MP75" s="701"/>
      <c r="MQ75" s="1262">
        <f>ML73</f>
        <v>4.6511627906976744E-8</v>
      </c>
      <c r="MR75" s="1263"/>
      <c r="MS75" s="1264"/>
      <c r="MT75" s="895" t="s">
        <v>1343</v>
      </c>
      <c r="MU75" s="896"/>
      <c r="MV75" s="712"/>
      <c r="MW75" s="952" t="s">
        <v>1357</v>
      </c>
      <c r="MX75" s="953"/>
      <c r="MY75" s="746"/>
      <c r="NI75" s="1620"/>
      <c r="NJ75" s="1621"/>
      <c r="NK75" s="1621"/>
      <c r="NL75" s="1621"/>
      <c r="NM75" s="1621"/>
      <c r="NN75" s="1621"/>
      <c r="NO75" s="1621"/>
      <c r="NP75" s="1621"/>
      <c r="NQ75" s="1621"/>
      <c r="NR75" s="1621"/>
      <c r="NS75" s="1621"/>
      <c r="NT75" s="1621"/>
      <c r="NU75" s="1621"/>
      <c r="NV75" s="1621"/>
      <c r="NW75" s="1621"/>
      <c r="NX75" s="1621"/>
      <c r="NY75" s="1621"/>
      <c r="NZ75" s="1621"/>
      <c r="OA75" s="1621"/>
      <c r="OB75" s="1621"/>
      <c r="OC75" s="1621"/>
      <c r="OD75" s="1622"/>
      <c r="OQ75" s="144"/>
      <c r="OR75" s="144"/>
      <c r="OS75" s="144"/>
      <c r="OT75" s="144"/>
      <c r="OU75" s="144"/>
      <c r="OV75" s="144"/>
      <c r="OW75" s="144"/>
      <c r="OX75" s="144"/>
      <c r="OY75" s="144"/>
      <c r="OZ75" s="144"/>
      <c r="PA75" s="144"/>
      <c r="PB75" s="144"/>
      <c r="PC75" s="144"/>
      <c r="PD75" s="144"/>
      <c r="PE75" s="144"/>
      <c r="PF75" s="144"/>
      <c r="PG75" s="144"/>
      <c r="PJ75" s="825"/>
      <c r="PK75" s="695" t="s">
        <v>442</v>
      </c>
      <c r="PL75" s="695"/>
      <c r="PM75" s="504"/>
      <c r="PN75" s="546" t="s">
        <v>1129</v>
      </c>
      <c r="PO75" s="739">
        <f>$GT$32</f>
        <v>9.0185672413793123E-3</v>
      </c>
      <c r="PP75" s="739"/>
      <c r="PQ75" s="545" t="s">
        <v>1180</v>
      </c>
      <c r="PR75" s="724">
        <f>$GW$24</f>
        <v>58</v>
      </c>
      <c r="PS75" s="724"/>
      <c r="PT75" s="504"/>
      <c r="PU75" s="85" t="s">
        <v>467</v>
      </c>
      <c r="PV75" s="757" t="s">
        <v>461</v>
      </c>
      <c r="PW75" s="899"/>
      <c r="PX75" s="819" t="s">
        <v>126</v>
      </c>
      <c r="PY75" s="820"/>
      <c r="PZ75" s="675" t="s">
        <v>731</v>
      </c>
      <c r="QA75" s="676"/>
      <c r="QB75" s="821" t="s">
        <v>473</v>
      </c>
      <c r="QC75" s="822"/>
      <c r="QD75" s="822"/>
      <c r="QE75" s="822"/>
      <c r="QF75" s="823"/>
      <c r="QG75" s="769" t="s">
        <v>462</v>
      </c>
      <c r="QH75" s="769"/>
      <c r="QI75" s="769"/>
      <c r="QJ75" s="769"/>
      <c r="QK75" s="769"/>
      <c r="QL75" s="769"/>
      <c r="QM75" s="769"/>
      <c r="QN75" s="769"/>
      <c r="QO75" s="769"/>
      <c r="QP75" s="769"/>
      <c r="QQ75" s="769"/>
      <c r="QR75" s="769"/>
      <c r="QU75" s="144"/>
      <c r="QV75" s="144"/>
      <c r="RC75" s="369">
        <v>57</v>
      </c>
      <c r="RD75" s="668">
        <v>5.7000000000000002E-2</v>
      </c>
      <c r="RE75" s="669"/>
      <c r="RF75" s="670">
        <f t="shared" si="30"/>
        <v>11.947925081592903</v>
      </c>
      <c r="RG75" s="670"/>
      <c r="RH75" s="670"/>
      <c r="RI75" s="670"/>
      <c r="RJ75" s="698">
        <f t="shared" si="12"/>
        <v>30</v>
      </c>
      <c r="RK75" s="699"/>
      <c r="RL75" s="726"/>
      <c r="RM75" s="670">
        <f t="shared" si="13"/>
        <v>12.136426251809349</v>
      </c>
      <c r="RN75" s="670"/>
      <c r="RO75" s="670"/>
      <c r="RP75" s="670"/>
      <c r="RQ75" s="670"/>
      <c r="RR75" s="670"/>
      <c r="RS75" s="671">
        <f t="shared" si="38"/>
        <v>1.560804663639157</v>
      </c>
      <c r="RT75" s="671"/>
      <c r="RU75" s="671"/>
      <c r="RV75" s="671"/>
      <c r="RW75" s="671"/>
      <c r="RX75" s="671"/>
      <c r="RY75" s="681">
        <f t="shared" si="14"/>
        <v>12.236378278054534</v>
      </c>
      <c r="RZ75" s="681"/>
      <c r="SA75" s="681"/>
      <c r="SB75" s="681"/>
      <c r="SC75" s="681">
        <f>'Вывод расчетов'!$AQ$6/RY75</f>
        <v>31.054940552264156</v>
      </c>
      <c r="SD75" s="681"/>
      <c r="SE75" s="681"/>
      <c r="SF75" s="681"/>
      <c r="SG75" s="867">
        <f t="shared" si="31"/>
        <v>0.99183156780757209</v>
      </c>
      <c r="SH75" s="867"/>
      <c r="SI75" s="867"/>
      <c r="SJ75" s="867"/>
      <c r="SK75" s="865">
        <f t="shared" si="16"/>
        <v>0.12755446327108072</v>
      </c>
      <c r="SL75" s="865"/>
      <c r="SM75" s="865"/>
      <c r="SN75" s="865"/>
      <c r="SO75" s="692">
        <f t="shared" si="26"/>
        <v>31.151592817254357</v>
      </c>
      <c r="SP75" s="693"/>
      <c r="SQ75" s="693"/>
      <c r="SR75" s="693"/>
      <c r="SS75" s="694"/>
      <c r="ST75" s="668">
        <f t="shared" si="24"/>
        <v>14.943273036055368</v>
      </c>
      <c r="SU75" s="678"/>
      <c r="SV75" s="678"/>
      <c r="SW75" s="678"/>
      <c r="SX75" s="678"/>
      <c r="SY75" s="669"/>
      <c r="SZ75" s="682">
        <f t="shared" si="19"/>
        <v>34.55029875532356</v>
      </c>
      <c r="TA75" s="683"/>
      <c r="TB75" s="683"/>
      <c r="TC75" s="683"/>
      <c r="TD75" s="683"/>
      <c r="TE75" s="684"/>
      <c r="TF75" s="682">
        <f>'Вывод расчетов'!$XC$174*SC75</f>
        <v>31.549509679613635</v>
      </c>
      <c r="TG75" s="683"/>
      <c r="TH75" s="684"/>
      <c r="TI75" s="681">
        <f t="shared" si="58"/>
        <v>35.512815811669974</v>
      </c>
      <c r="TJ75" s="681"/>
      <c r="TK75" s="681"/>
      <c r="TL75" s="681"/>
      <c r="TM75" s="685">
        <f t="shared" si="21"/>
        <v>0.66447249346738113</v>
      </c>
      <c r="TN75" s="686"/>
      <c r="TO75" s="686"/>
      <c r="TP75" s="687"/>
      <c r="TQ75" s="688">
        <f t="shared" si="22"/>
        <v>1.9703800678296739</v>
      </c>
      <c r="TR75" s="688"/>
      <c r="TS75" s="688"/>
      <c r="TT75" s="688"/>
      <c r="TU75" s="689">
        <f t="shared" si="27"/>
        <v>0.18849055566296741</v>
      </c>
      <c r="TV75" s="690"/>
      <c r="TW75" s="690"/>
      <c r="TX75" s="690"/>
      <c r="TY75" s="690"/>
      <c r="TZ75" s="691"/>
      <c r="UA75" s="756">
        <v>5.7000000000000002E-2</v>
      </c>
      <c r="UB75" s="756"/>
      <c r="UC75" s="650">
        <v>0.56999999999999995</v>
      </c>
      <c r="UD75" s="866">
        <f t="shared" si="39"/>
        <v>3.703629932787436</v>
      </c>
      <c r="UE75" s="866"/>
      <c r="UF75" s="866"/>
      <c r="UG75" s="866"/>
      <c r="UH75" s="866"/>
      <c r="UI75" s="866"/>
      <c r="UJ75" s="866"/>
      <c r="UK75" s="681">
        <f t="shared" si="40"/>
        <v>31.809185878882538</v>
      </c>
      <c r="UL75" s="681"/>
      <c r="UM75" s="681"/>
      <c r="UN75" s="681"/>
      <c r="UO75" s="816">
        <f t="shared" si="41"/>
        <v>0.89571004584856451</v>
      </c>
      <c r="UP75" s="816"/>
      <c r="UQ75" s="816"/>
      <c r="UR75" s="816"/>
      <c r="US75" s="866">
        <f t="shared" si="42"/>
        <v>0.9016302011702424</v>
      </c>
      <c r="UT75" s="866"/>
      <c r="UU75" s="866"/>
      <c r="UV75" s="866"/>
      <c r="UW75" s="866"/>
      <c r="VX75" s="248">
        <v>5</v>
      </c>
      <c r="VY75" s="229"/>
      <c r="WD75" s="825"/>
      <c r="WE75" s="147" t="s">
        <v>442</v>
      </c>
      <c r="WF75" s="148"/>
      <c r="WG75" s="522"/>
      <c r="WH75" s="87"/>
      <c r="WI75" s="87"/>
      <c r="WJ75" s="87"/>
      <c r="WK75" s="87"/>
      <c r="WL75" s="87"/>
      <c r="WM75" s="87"/>
      <c r="WN75" s="522"/>
      <c r="WO75" s="85" t="s">
        <v>467</v>
      </c>
      <c r="WP75" s="757" t="s">
        <v>461</v>
      </c>
      <c r="WQ75" s="758"/>
      <c r="WR75" s="819" t="s">
        <v>126</v>
      </c>
      <c r="WS75" s="820"/>
      <c r="WT75" s="675" t="s">
        <v>731</v>
      </c>
      <c r="WU75" s="676"/>
      <c r="WV75" s="821" t="s">
        <v>473</v>
      </c>
      <c r="WW75" s="822"/>
      <c r="WX75" s="822"/>
      <c r="WY75" s="823"/>
      <c r="WZ75" s="769" t="s">
        <v>462</v>
      </c>
      <c r="XA75" s="769"/>
      <c r="XB75" s="769"/>
      <c r="XC75" s="769"/>
      <c r="XD75" s="769"/>
      <c r="XQ75" s="216"/>
      <c r="XR75" s="665" t="s">
        <v>928</v>
      </c>
      <c r="XS75" s="667"/>
      <c r="XT75" s="216"/>
      <c r="XU75" s="728" t="s">
        <v>1115</v>
      </c>
      <c r="XV75" s="1053"/>
      <c r="XW75" s="1053"/>
      <c r="XX75" s="1053"/>
      <c r="XY75" s="1053"/>
      <c r="XZ75" s="1053"/>
      <c r="YA75" s="1053"/>
      <c r="YB75" s="1053"/>
      <c r="YC75" s="1053"/>
      <c r="YD75" s="1053"/>
      <c r="YE75" s="1054"/>
      <c r="YF75" s="216"/>
      <c r="AAD75" s="947"/>
      <c r="AAE75" s="947"/>
      <c r="AAF75" s="947"/>
      <c r="AAG75" s="947"/>
      <c r="AAH75" s="535">
        <v>2</v>
      </c>
      <c r="AAI75" s="956"/>
      <c r="AAJ75" s="957"/>
      <c r="AAK75" s="958">
        <f t="shared" ref="AAK75:AAK133" si="59">(4/300*AAH75)</f>
        <v>2.6666666666666668E-2</v>
      </c>
      <c r="AAL75" s="959"/>
      <c r="AAN75" s="947"/>
      <c r="AAO75" s="947"/>
      <c r="AAP75" s="947"/>
      <c r="AAQ75" s="947"/>
      <c r="AAR75" s="535">
        <v>62</v>
      </c>
      <c r="AAS75" s="956"/>
      <c r="AAT75" s="957"/>
      <c r="AAU75" s="958">
        <f t="shared" ref="AAU75:AAU133" si="60">(4/300*AAR75)</f>
        <v>0.82666666666666677</v>
      </c>
      <c r="AAV75" s="959"/>
      <c r="AAX75" s="947"/>
      <c r="AAY75" s="947"/>
      <c r="AAZ75" s="947"/>
      <c r="ABA75" s="947"/>
      <c r="ABB75" s="535">
        <v>122</v>
      </c>
      <c r="ABC75" s="956"/>
      <c r="ABD75" s="957"/>
      <c r="ABE75" s="958">
        <f t="shared" ref="ABE75:ABE133" si="61">(4/300*ABB75)</f>
        <v>1.6266666666666667</v>
      </c>
      <c r="ABF75" s="959"/>
      <c r="ABH75" s="947"/>
      <c r="ABI75" s="947"/>
      <c r="ABJ75" s="947"/>
      <c r="ABK75" s="947"/>
      <c r="ABL75" s="537">
        <v>182</v>
      </c>
      <c r="ABM75" s="956"/>
      <c r="ABN75" s="957"/>
      <c r="ABO75" s="958">
        <f t="shared" ref="ABO75:ABO133" si="62">(4/300*ABL75)</f>
        <v>2.4266666666666667</v>
      </c>
      <c r="ABP75" s="959"/>
      <c r="ABR75" s="947"/>
      <c r="ABS75" s="947"/>
      <c r="ABT75" s="947"/>
      <c r="ABU75" s="947"/>
      <c r="ABV75" s="537">
        <v>242</v>
      </c>
      <c r="ABW75" s="956"/>
      <c r="ABX75" s="957"/>
      <c r="ABY75" s="958">
        <f t="shared" ref="ABY75:ABY133" si="63">(4/300*ABV75)</f>
        <v>3.226666666666667</v>
      </c>
      <c r="ABZ75" s="959"/>
      <c r="ACA75" s="144"/>
      <c r="ACB75" s="144"/>
      <c r="ACC75" s="144"/>
      <c r="ADB75" s="1037"/>
      <c r="ADC75" s="1038"/>
      <c r="ADD75" s="502" t="s">
        <v>1224</v>
      </c>
      <c r="ADE75" s="1074">
        <f>$CO$28</f>
        <v>33</v>
      </c>
      <c r="ADF75" s="1074"/>
      <c r="ADG75" s="494" t="s">
        <v>1180</v>
      </c>
      <c r="ADH75" s="756">
        <f>$GW$24</f>
        <v>58</v>
      </c>
      <c r="ADI75" s="756"/>
      <c r="ADJ75" s="1033"/>
      <c r="ADK75" s="1033"/>
      <c r="ADL75" s="1033"/>
      <c r="ADM75" s="1033"/>
      <c r="ADN75" s="1033"/>
      <c r="ADO75" s="1033"/>
      <c r="ADP75" s="1033"/>
      <c r="ADQ75" s="1033"/>
      <c r="ADR75" s="1033"/>
      <c r="ADS75" s="1033"/>
      <c r="ADT75" s="1033"/>
      <c r="ADU75" s="1033"/>
      <c r="ADV75" s="1033"/>
      <c r="ADW75" s="1033"/>
      <c r="ADX75" s="496"/>
      <c r="ADY75" s="497"/>
      <c r="ADZ75" s="497"/>
      <c r="AEA75" s="497"/>
      <c r="AEB75" s="497"/>
      <c r="AEC75" s="497"/>
      <c r="AED75" s="497"/>
      <c r="AEE75" s="497"/>
      <c r="AEF75" s="497"/>
      <c r="AEG75" s="497"/>
      <c r="AEH75" s="498"/>
      <c r="AEI75" s="172"/>
      <c r="AEJ75" s="172"/>
      <c r="AEK75" s="177"/>
      <c r="AEP75" s="947"/>
      <c r="AEQ75" s="947"/>
      <c r="AER75" s="947"/>
      <c r="AES75" s="947"/>
      <c r="AET75" s="656">
        <v>31</v>
      </c>
      <c r="AEU75" s="956"/>
      <c r="AEV75" s="957"/>
      <c r="AEW75" s="958">
        <f t="shared" si="35"/>
        <v>0.9816666666666668</v>
      </c>
      <c r="AEX75" s="959"/>
      <c r="AEZ75" s="947"/>
      <c r="AFA75" s="947"/>
      <c r="AFB75" s="947"/>
      <c r="AFC75" s="947"/>
      <c r="AFD75" s="656">
        <v>91</v>
      </c>
      <c r="AFE75" s="956"/>
      <c r="AFF75" s="957"/>
      <c r="AFG75" s="958">
        <f t="shared" si="36"/>
        <v>2.8816666666666668</v>
      </c>
      <c r="AFH75" s="959"/>
      <c r="AFJ75" s="947"/>
      <c r="AFK75" s="947"/>
      <c r="AFL75" s="947"/>
      <c r="AFM75" s="947"/>
      <c r="AFN75" s="656">
        <v>151</v>
      </c>
      <c r="AFO75" s="956"/>
      <c r="AFP75" s="957"/>
      <c r="AFQ75" s="958">
        <f t="shared" si="37"/>
        <v>4.7816666666666672</v>
      </c>
      <c r="AFR75" s="959"/>
      <c r="AFT75" s="947"/>
      <c r="AFU75" s="947"/>
      <c r="AFV75" s="947"/>
      <c r="AFW75" s="947"/>
      <c r="AFX75" s="656">
        <v>211</v>
      </c>
      <c r="AFY75" s="956"/>
      <c r="AFZ75" s="957"/>
      <c r="AGA75" s="958"/>
      <c r="AGB75" s="959"/>
      <c r="AGD75" s="947"/>
      <c r="AGE75" s="947"/>
      <c r="AGF75" s="947"/>
      <c r="AGG75" s="947"/>
      <c r="AGH75" s="656">
        <v>271</v>
      </c>
      <c r="AGI75" s="956"/>
      <c r="AGJ75" s="957"/>
      <c r="AGK75" s="958"/>
      <c r="AGL75" s="959"/>
    </row>
    <row r="76" spans="12:982" ht="48" customHeight="1" thickBot="1">
      <c r="N76" s="3"/>
      <c r="O76" s="3"/>
      <c r="P76" s="3"/>
      <c r="Q76" s="3"/>
      <c r="BT76" s="144"/>
      <c r="BX76" s="826"/>
      <c r="BY76" s="731" t="s">
        <v>16</v>
      </c>
      <c r="BZ76" s="732"/>
      <c r="CA76" s="732"/>
      <c r="CB76" s="732"/>
      <c r="CC76" s="732"/>
      <c r="CD76" s="732"/>
      <c r="CE76" s="732"/>
      <c r="CF76" s="732"/>
      <c r="CG76" s="732"/>
      <c r="CH76" s="732"/>
      <c r="CI76" s="732"/>
      <c r="CJ76" s="732"/>
      <c r="CK76" s="733"/>
      <c r="CL76" s="1087">
        <f>CO80</f>
        <v>0.95799999999999996</v>
      </c>
      <c r="CM76" s="1006"/>
      <c r="CN76" s="849" t="s">
        <v>762</v>
      </c>
      <c r="CO76" s="850"/>
      <c r="CP76" s="712"/>
      <c r="CQ76" s="952" t="s">
        <v>814</v>
      </c>
      <c r="CR76" s="1250"/>
      <c r="CS76" s="746"/>
      <c r="CT76" s="919"/>
      <c r="CU76" s="840"/>
      <c r="CV76" s="840"/>
      <c r="CW76" s="920"/>
      <c r="DC76" s="710">
        <v>0.96599999999999997</v>
      </c>
      <c r="DD76" s="711"/>
      <c r="DE76" s="144"/>
      <c r="DF76" s="144"/>
      <c r="DG76" s="144"/>
      <c r="DH76" s="144"/>
      <c r="DZ76" s="780"/>
      <c r="EA76" s="781"/>
      <c r="EB76" s="782"/>
      <c r="EC76" s="214" t="s">
        <v>899</v>
      </c>
      <c r="ED76" s="816"/>
      <c r="EE76" s="816"/>
      <c r="EF76" s="816"/>
      <c r="EG76" s="816"/>
      <c r="EH76" s="816"/>
      <c r="EI76" s="816"/>
      <c r="EJ76" s="816"/>
      <c r="EK76" s="816"/>
      <c r="EL76" s="816"/>
      <c r="EM76" s="816"/>
      <c r="EN76" s="816"/>
      <c r="EO76" s="816"/>
      <c r="EP76" s="816"/>
      <c r="EQ76" s="1170">
        <f>ROUND(EN71,1)</f>
        <v>14.6</v>
      </c>
      <c r="ER76" s="1171"/>
      <c r="ES76" s="759" t="s">
        <v>50</v>
      </c>
      <c r="ET76" s="760"/>
      <c r="EU76" s="714"/>
      <c r="EV76" s="740" t="s">
        <v>1083</v>
      </c>
      <c r="EW76" s="741"/>
      <c r="EX76" s="742"/>
      <c r="EY76" s="746"/>
      <c r="FQ76" s="696" t="s">
        <v>1164</v>
      </c>
      <c r="FR76" s="697"/>
      <c r="FS76" s="698">
        <f>$EQ$67</f>
        <v>10.3</v>
      </c>
      <c r="FT76" s="726"/>
      <c r="GF76" s="792" t="s">
        <v>1013</v>
      </c>
      <c r="GG76" s="793"/>
      <c r="GH76" s="794"/>
      <c r="GI76" s="85" t="s">
        <v>839</v>
      </c>
      <c r="GJ76" s="665" t="s">
        <v>442</v>
      </c>
      <c r="GK76" s="666"/>
      <c r="GL76" s="152"/>
      <c r="GM76" s="87"/>
      <c r="GN76" s="87"/>
      <c r="GO76" s="87"/>
      <c r="GP76" s="87"/>
      <c r="GQ76" s="87"/>
      <c r="GR76" s="87"/>
      <c r="GS76" s="152"/>
      <c r="GT76" s="85" t="s">
        <v>467</v>
      </c>
      <c r="GU76" s="757" t="s">
        <v>461</v>
      </c>
      <c r="GV76" s="758"/>
      <c r="GW76" s="819" t="s">
        <v>126</v>
      </c>
      <c r="GX76" s="820"/>
      <c r="GY76" s="675" t="s">
        <v>731</v>
      </c>
      <c r="GZ76" s="1094"/>
      <c r="HA76" s="769" t="s">
        <v>473</v>
      </c>
      <c r="HB76" s="769"/>
      <c r="HC76" s="769"/>
      <c r="HD76" s="769"/>
      <c r="HE76" s="769"/>
      <c r="HF76" s="769"/>
      <c r="HL76" s="144"/>
      <c r="HM76" s="144"/>
      <c r="IR76" s="767"/>
      <c r="IS76" s="665" t="s">
        <v>442</v>
      </c>
      <c r="IT76" s="667"/>
      <c r="IU76" s="245"/>
      <c r="IV76" s="249" t="s">
        <v>1134</v>
      </c>
      <c r="IW76" s="677">
        <f>$AZ$86</f>
        <v>0.13</v>
      </c>
      <c r="IX76" s="677"/>
      <c r="IY76" s="150"/>
      <c r="IZ76" s="87"/>
      <c r="JA76" s="87"/>
      <c r="JB76" s="150"/>
      <c r="JC76" s="85" t="s">
        <v>467</v>
      </c>
      <c r="JD76" s="757" t="s">
        <v>461</v>
      </c>
      <c r="JE76" s="758"/>
      <c r="JF76" s="819" t="s">
        <v>126</v>
      </c>
      <c r="JG76" s="820"/>
      <c r="JH76" s="675" t="s">
        <v>731</v>
      </c>
      <c r="JI76" s="676"/>
      <c r="JJ76" s="821" t="s">
        <v>473</v>
      </c>
      <c r="JK76" s="822"/>
      <c r="JL76" s="822"/>
      <c r="JM76" s="823"/>
      <c r="JN76" s="769" t="s">
        <v>462</v>
      </c>
      <c r="JO76" s="769"/>
      <c r="JP76" s="769"/>
      <c r="JQ76" s="769"/>
      <c r="LY76" s="144"/>
      <c r="LZ76" s="798"/>
      <c r="MA76" s="799"/>
      <c r="MB76" s="800"/>
      <c r="MC76" s="827"/>
      <c r="MD76" s="706"/>
      <c r="ME76" s="707"/>
      <c r="MF76" s="707"/>
      <c r="MG76" s="707"/>
      <c r="MH76" s="707"/>
      <c r="MI76" s="707"/>
      <c r="MJ76" s="707"/>
      <c r="MK76" s="707"/>
      <c r="ML76" s="707"/>
      <c r="MM76" s="707"/>
      <c r="MN76" s="707"/>
      <c r="MO76" s="707"/>
      <c r="MP76" s="707"/>
      <c r="MQ76" s="1265"/>
      <c r="MR76" s="1266"/>
      <c r="MS76" s="1267"/>
      <c r="MT76" s="897"/>
      <c r="MU76" s="898"/>
      <c r="MV76" s="713"/>
      <c r="MW76" s="954"/>
      <c r="MX76" s="955"/>
      <c r="MY76" s="747"/>
      <c r="NI76" s="1620"/>
      <c r="NJ76" s="1621"/>
      <c r="NK76" s="1621"/>
      <c r="NL76" s="1621"/>
      <c r="NM76" s="1621"/>
      <c r="NN76" s="1621"/>
      <c r="NO76" s="1621"/>
      <c r="NP76" s="1621"/>
      <c r="NQ76" s="1621"/>
      <c r="NR76" s="1621"/>
      <c r="NS76" s="1621"/>
      <c r="NT76" s="1621"/>
      <c r="NU76" s="1621"/>
      <c r="NV76" s="1621"/>
      <c r="NW76" s="1621"/>
      <c r="NX76" s="1621"/>
      <c r="NY76" s="1621"/>
      <c r="NZ76" s="1621"/>
      <c r="OA76" s="1621"/>
      <c r="OB76" s="1621"/>
      <c r="OC76" s="1621"/>
      <c r="OD76" s="1622"/>
      <c r="OQ76" s="144"/>
      <c r="OR76" s="144"/>
      <c r="OS76" s="144"/>
      <c r="OT76" s="144"/>
      <c r="OU76" s="144"/>
      <c r="OV76" s="144"/>
      <c r="OW76" s="144"/>
      <c r="OX76" s="144"/>
      <c r="OY76" s="144"/>
      <c r="OZ76" s="144"/>
      <c r="PA76" s="144"/>
      <c r="PB76" s="144"/>
      <c r="PC76" s="144"/>
      <c r="PD76" s="144"/>
      <c r="PE76" s="144"/>
      <c r="PF76" s="144"/>
      <c r="PG76" s="144"/>
      <c r="PJ76" s="826"/>
      <c r="PK76" s="863" t="s">
        <v>1741</v>
      </c>
      <c r="PL76" s="863"/>
      <c r="PM76" s="863"/>
      <c r="PN76" s="677">
        <f>$PX$80</f>
        <v>617.57470435316327</v>
      </c>
      <c r="PO76" s="677"/>
      <c r="PP76" s="547" t="s">
        <v>1749</v>
      </c>
      <c r="PQ76" s="677">
        <f>$AZ$86</f>
        <v>0.13</v>
      </c>
      <c r="PR76" s="698"/>
      <c r="PS76" s="939" t="s">
        <v>181</v>
      </c>
      <c r="PT76" s="940"/>
      <c r="PU76" s="940"/>
      <c r="PV76" s="940"/>
      <c r="PW76" s="1003"/>
      <c r="PX76" s="748">
        <f>PN76*(PO75-PN77/1000)*PR75*PQ76</f>
        <v>35.010308137056725</v>
      </c>
      <c r="PY76" s="749"/>
      <c r="PZ76" s="759" t="s">
        <v>3</v>
      </c>
      <c r="QA76" s="760"/>
      <c r="QB76" s="712"/>
      <c r="QC76" s="952" t="s">
        <v>1742</v>
      </c>
      <c r="QD76" s="1151"/>
      <c r="QE76" s="953"/>
      <c r="QF76" s="746"/>
      <c r="QG76" s="767"/>
      <c r="QH76" s="767"/>
      <c r="QI76" s="767"/>
      <c r="QJ76" s="767"/>
      <c r="QK76" s="767"/>
      <c r="QL76" s="767"/>
      <c r="QM76" s="767"/>
      <c r="QN76" s="767"/>
      <c r="QO76" s="767"/>
      <c r="QP76" s="767"/>
      <c r="QQ76" s="767"/>
      <c r="QR76" s="767"/>
      <c r="QS76" s="144"/>
      <c r="QT76" s="144"/>
      <c r="QU76" s="144"/>
      <c r="QV76" s="144"/>
      <c r="RC76" s="369">
        <v>58</v>
      </c>
      <c r="RD76" s="668">
        <v>5.8000000000000003E-2</v>
      </c>
      <c r="RE76" s="669"/>
      <c r="RF76" s="670">
        <f t="shared" si="30"/>
        <v>11.741926373289576</v>
      </c>
      <c r="RG76" s="670"/>
      <c r="RH76" s="670"/>
      <c r="RI76" s="670"/>
      <c r="RJ76" s="698">
        <f t="shared" si="12"/>
        <v>30</v>
      </c>
      <c r="RK76" s="699"/>
      <c r="RL76" s="726"/>
      <c r="RM76" s="670">
        <f t="shared" si="13"/>
        <v>11.930427543506022</v>
      </c>
      <c r="RN76" s="670"/>
      <c r="RO76" s="670"/>
      <c r="RP76" s="670"/>
      <c r="RQ76" s="670"/>
      <c r="RR76" s="670"/>
      <c r="RS76" s="671">
        <f t="shared" si="38"/>
        <v>1.560804663639157</v>
      </c>
      <c r="RT76" s="671"/>
      <c r="RU76" s="671"/>
      <c r="RV76" s="671"/>
      <c r="RW76" s="671"/>
      <c r="RX76" s="671"/>
      <c r="RY76" s="681">
        <f t="shared" si="14"/>
        <v>12.032090947498897</v>
      </c>
      <c r="RZ76" s="681"/>
      <c r="SA76" s="681"/>
      <c r="SB76" s="681"/>
      <c r="SC76" s="681">
        <f>'Вывод расчетов'!$AQ$6/RY76</f>
        <v>31.582208084870764</v>
      </c>
      <c r="SD76" s="681"/>
      <c r="SE76" s="681"/>
      <c r="SF76" s="681"/>
      <c r="SG76" s="867">
        <f t="shared" si="31"/>
        <v>0.99155064531705461</v>
      </c>
      <c r="SH76" s="867"/>
      <c r="SI76" s="867"/>
      <c r="SJ76" s="867"/>
      <c r="SK76" s="865">
        <f t="shared" si="16"/>
        <v>0.12972015175496995</v>
      </c>
      <c r="SL76" s="865"/>
      <c r="SM76" s="865"/>
      <c r="SN76" s="865"/>
      <c r="SO76" s="692">
        <f t="shared" si="26"/>
        <v>31.665681248222356</v>
      </c>
      <c r="SP76" s="693"/>
      <c r="SQ76" s="693"/>
      <c r="SR76" s="693"/>
      <c r="SS76" s="694"/>
      <c r="ST76" s="668">
        <f t="shared" si="24"/>
        <v>15.07892558752247</v>
      </c>
      <c r="SU76" s="678"/>
      <c r="SV76" s="678"/>
      <c r="SW76" s="678"/>
      <c r="SX76" s="678"/>
      <c r="SY76" s="669"/>
      <c r="SZ76" s="682">
        <f t="shared" si="19"/>
        <v>35.072629867006846</v>
      </c>
      <c r="TA76" s="683"/>
      <c r="TB76" s="683"/>
      <c r="TC76" s="683"/>
      <c r="TD76" s="683"/>
      <c r="TE76" s="684"/>
      <c r="TF76" s="682">
        <f>'Вывод расчетов'!$XC$174*SC76</f>
        <v>32.08517427364891</v>
      </c>
      <c r="TG76" s="683"/>
      <c r="TH76" s="684"/>
      <c r="TI76" s="681">
        <f t="shared" si="58"/>
        <v>36.098876622973485</v>
      </c>
      <c r="TJ76" s="681"/>
      <c r="TK76" s="681"/>
      <c r="TL76" s="681"/>
      <c r="TM76" s="685">
        <f t="shared" si="21"/>
        <v>0.68471533967065168</v>
      </c>
      <c r="TN76" s="686"/>
      <c r="TO76" s="686"/>
      <c r="TP76" s="687"/>
      <c r="TQ76" s="688">
        <f t="shared" si="22"/>
        <v>2.0378564222106452</v>
      </c>
      <c r="TR76" s="688"/>
      <c r="TS76" s="688"/>
      <c r="TT76" s="688"/>
      <c r="TU76" s="689">
        <f t="shared" si="27"/>
        <v>0.19423283298304692</v>
      </c>
      <c r="TV76" s="690"/>
      <c r="TW76" s="690"/>
      <c r="TX76" s="690"/>
      <c r="TY76" s="690"/>
      <c r="TZ76" s="691"/>
      <c r="UA76" s="679">
        <v>5.8000000000000003E-2</v>
      </c>
      <c r="UB76" s="680"/>
      <c r="UC76" s="650">
        <v>0.57999999999999996</v>
      </c>
      <c r="UD76" s="866">
        <f t="shared" si="39"/>
        <v>3.797091410691757</v>
      </c>
      <c r="UE76" s="866"/>
      <c r="UF76" s="866"/>
      <c r="UG76" s="866"/>
      <c r="UH76" s="866"/>
      <c r="UI76" s="866"/>
      <c r="UJ76" s="866"/>
      <c r="UK76" s="681">
        <f t="shared" si="40"/>
        <v>32.301785212281729</v>
      </c>
      <c r="UL76" s="681"/>
      <c r="UM76" s="681"/>
      <c r="UN76" s="681"/>
      <c r="UO76" s="816">
        <f t="shared" si="41"/>
        <v>0.89481413922240249</v>
      </c>
      <c r="UP76" s="816"/>
      <c r="UQ76" s="816"/>
      <c r="UR76" s="816"/>
      <c r="US76" s="866">
        <f t="shared" si="42"/>
        <v>0.90286018950664892</v>
      </c>
      <c r="UT76" s="866"/>
      <c r="UU76" s="866"/>
      <c r="UV76" s="866"/>
      <c r="UW76" s="866"/>
      <c r="VX76" s="248">
        <v>6</v>
      </c>
      <c r="VY76" s="229"/>
      <c r="WD76" s="826"/>
      <c r="WE76" s="556" t="s">
        <v>1340</v>
      </c>
      <c r="WF76" s="724">
        <f>$AQ$6</f>
        <v>380</v>
      </c>
      <c r="WG76" s="724"/>
      <c r="WH76" s="700" t="s">
        <v>142</v>
      </c>
      <c r="WI76" s="701"/>
      <c r="WJ76" s="701"/>
      <c r="WK76" s="701"/>
      <c r="WL76" s="701"/>
      <c r="WM76" s="701"/>
      <c r="WN76" s="701"/>
      <c r="WO76" s="701"/>
      <c r="WP76" s="701"/>
      <c r="WQ76" s="702"/>
      <c r="WR76" s="763">
        <f>(PX17+3*JF159^2*MN23)/(3*AQ6)</f>
        <v>0.35032244113124977</v>
      </c>
      <c r="WS76" s="764"/>
      <c r="WT76" s="895" t="s">
        <v>35</v>
      </c>
      <c r="WU76" s="896"/>
      <c r="WV76" s="712"/>
      <c r="WW76" s="952" t="s">
        <v>1327</v>
      </c>
      <c r="WX76" s="953"/>
      <c r="WY76" s="746"/>
      <c r="WZ76" s="767"/>
      <c r="XA76" s="767"/>
      <c r="XB76" s="767"/>
      <c r="XC76" s="767"/>
      <c r="XD76" s="767"/>
      <c r="AAD76" s="947"/>
      <c r="AAE76" s="947"/>
      <c r="AAF76" s="947"/>
      <c r="AAG76" s="947"/>
      <c r="AAH76" s="535">
        <v>3</v>
      </c>
      <c r="AAI76" s="956"/>
      <c r="AAJ76" s="957"/>
      <c r="AAK76" s="958">
        <f t="shared" si="59"/>
        <v>0.04</v>
      </c>
      <c r="AAL76" s="959"/>
      <c r="AAN76" s="947"/>
      <c r="AAO76" s="947"/>
      <c r="AAP76" s="947"/>
      <c r="AAQ76" s="947"/>
      <c r="AAR76" s="535">
        <v>63</v>
      </c>
      <c r="AAS76" s="956"/>
      <c r="AAT76" s="957"/>
      <c r="AAU76" s="958">
        <f t="shared" si="60"/>
        <v>0.84000000000000008</v>
      </c>
      <c r="AAV76" s="959"/>
      <c r="AAX76" s="947"/>
      <c r="AAY76" s="947"/>
      <c r="AAZ76" s="947"/>
      <c r="ABA76" s="947"/>
      <c r="ABB76" s="535">
        <v>123</v>
      </c>
      <c r="ABC76" s="956"/>
      <c r="ABD76" s="957"/>
      <c r="ABE76" s="958">
        <f t="shared" si="61"/>
        <v>1.6400000000000001</v>
      </c>
      <c r="ABF76" s="959"/>
      <c r="ABH76" s="947"/>
      <c r="ABI76" s="947"/>
      <c r="ABJ76" s="947"/>
      <c r="ABK76" s="947"/>
      <c r="ABL76" s="537">
        <v>183</v>
      </c>
      <c r="ABM76" s="956"/>
      <c r="ABN76" s="957"/>
      <c r="ABO76" s="958">
        <f t="shared" si="62"/>
        <v>2.44</v>
      </c>
      <c r="ABP76" s="959"/>
      <c r="ABR76" s="947"/>
      <c r="ABS76" s="947"/>
      <c r="ABT76" s="947"/>
      <c r="ABU76" s="947"/>
      <c r="ABV76" s="537">
        <v>243</v>
      </c>
      <c r="ABW76" s="956"/>
      <c r="ABX76" s="957"/>
      <c r="ABY76" s="958">
        <f t="shared" si="63"/>
        <v>3.24</v>
      </c>
      <c r="ABZ76" s="959"/>
      <c r="ACA76" s="144"/>
      <c r="ACB76" s="144"/>
      <c r="ACC76" s="144"/>
      <c r="ADB76" s="1037"/>
      <c r="ADC76" s="1038"/>
      <c r="ADD76" s="1060" t="s">
        <v>1454</v>
      </c>
      <c r="ADE76" s="1060"/>
      <c r="ADF76" s="1060"/>
      <c r="ADG76" s="1060"/>
      <c r="ADH76" s="677">
        <f>$NB$129</f>
        <v>0.4375</v>
      </c>
      <c r="ADI76" s="677"/>
      <c r="ADJ76" s="1033"/>
      <c r="ADK76" s="1033"/>
      <c r="ADL76" s="1033"/>
      <c r="ADM76" s="1033"/>
      <c r="ADN76" s="1033"/>
      <c r="ADO76" s="1033"/>
      <c r="ADP76" s="1033"/>
      <c r="ADQ76" s="1033"/>
      <c r="ADR76" s="1033"/>
      <c r="ADS76" s="1033"/>
      <c r="ADT76" s="1033"/>
      <c r="ADU76" s="1033"/>
      <c r="ADV76" s="1033"/>
      <c r="ADW76" s="1033"/>
      <c r="ADX76" s="499"/>
      <c r="ADY76" s="500"/>
      <c r="ADZ76" s="500"/>
      <c r="AEA76" s="500"/>
      <c r="AEB76" s="500"/>
      <c r="AEC76" s="500"/>
      <c r="AED76" s="500"/>
      <c r="AEE76" s="500"/>
      <c r="AEF76" s="500"/>
      <c r="AEG76" s="500"/>
      <c r="AEH76" s="501"/>
      <c r="AEI76" s="172"/>
      <c r="AEJ76" s="172"/>
      <c r="AEK76" s="177"/>
      <c r="AEP76" s="947"/>
      <c r="AEQ76" s="947"/>
      <c r="AER76" s="947"/>
      <c r="AES76" s="947"/>
      <c r="AET76" s="657">
        <v>32</v>
      </c>
      <c r="AEU76" s="956"/>
      <c r="AEV76" s="957"/>
      <c r="AEW76" s="958">
        <f t="shared" si="35"/>
        <v>1.0133333333333334</v>
      </c>
      <c r="AEX76" s="959"/>
      <c r="AEZ76" s="947"/>
      <c r="AFA76" s="947"/>
      <c r="AFB76" s="947"/>
      <c r="AFC76" s="947"/>
      <c r="AFD76" s="656">
        <v>92</v>
      </c>
      <c r="AFE76" s="956"/>
      <c r="AFF76" s="957"/>
      <c r="AFG76" s="958">
        <f t="shared" si="36"/>
        <v>2.9133333333333336</v>
      </c>
      <c r="AFH76" s="959"/>
      <c r="AFJ76" s="947"/>
      <c r="AFK76" s="947"/>
      <c r="AFL76" s="947"/>
      <c r="AFM76" s="947"/>
      <c r="AFN76" s="656">
        <v>152</v>
      </c>
      <c r="AFO76" s="956"/>
      <c r="AFP76" s="957"/>
      <c r="AFQ76" s="958">
        <f t="shared" si="37"/>
        <v>4.8133333333333335</v>
      </c>
      <c r="AFR76" s="959"/>
      <c r="AFT76" s="947"/>
      <c r="AFU76" s="947"/>
      <c r="AFV76" s="947"/>
      <c r="AFW76" s="947"/>
      <c r="AFX76" s="656">
        <v>212</v>
      </c>
      <c r="AFY76" s="956"/>
      <c r="AFZ76" s="957"/>
      <c r="AGA76" s="958"/>
      <c r="AGB76" s="959"/>
      <c r="AGD76" s="947"/>
      <c r="AGE76" s="947"/>
      <c r="AGF76" s="947"/>
      <c r="AGG76" s="947"/>
      <c r="AGH76" s="656">
        <v>272</v>
      </c>
      <c r="AGI76" s="956"/>
      <c r="AGJ76" s="957"/>
      <c r="AGK76" s="958"/>
      <c r="AGL76" s="959"/>
      <c r="AIM76" s="792" t="s">
        <v>1079</v>
      </c>
      <c r="AIN76" s="793"/>
      <c r="AIO76" s="794"/>
      <c r="AIP76" s="825"/>
      <c r="AIQ76" s="147" t="s">
        <v>442</v>
      </c>
      <c r="AIR76" s="148"/>
      <c r="AIS76" s="156"/>
      <c r="AIT76" s="87"/>
      <c r="AIU76" s="87"/>
      <c r="AIV76" s="87"/>
      <c r="AIW76" s="87"/>
      <c r="AIX76" s="216"/>
      <c r="AIY76" s="84" t="s">
        <v>729</v>
      </c>
      <c r="AIZ76" s="156"/>
      <c r="AJA76" s="85" t="s">
        <v>467</v>
      </c>
      <c r="AJB76" s="757" t="s">
        <v>461</v>
      </c>
      <c r="AJC76" s="758"/>
      <c r="AJD76" s="819" t="s">
        <v>126</v>
      </c>
      <c r="AJE76" s="820"/>
      <c r="AJF76" s="675" t="s">
        <v>731</v>
      </c>
      <c r="AJG76" s="676"/>
      <c r="AJH76" s="821" t="s">
        <v>473</v>
      </c>
      <c r="AJI76" s="822"/>
      <c r="AJJ76" s="822"/>
      <c r="AJK76" s="823"/>
    </row>
    <row r="77" spans="12:982" ht="48" customHeight="1" thickBot="1">
      <c r="N77" s="3"/>
      <c r="O77" s="3"/>
      <c r="P77" s="3"/>
      <c r="Q77" s="3"/>
      <c r="AI77" s="825"/>
      <c r="AJ77" s="695" t="s">
        <v>442</v>
      </c>
      <c r="AK77" s="695"/>
      <c r="AL77" s="135"/>
      <c r="AM77" s="87"/>
      <c r="AN77" s="87"/>
      <c r="AO77" s="87"/>
      <c r="AP77" s="87"/>
      <c r="AQ77" s="87"/>
      <c r="AR77" s="87"/>
      <c r="AS77" s="135"/>
      <c r="AT77" s="85" t="s">
        <v>467</v>
      </c>
      <c r="AU77" s="757" t="s">
        <v>461</v>
      </c>
      <c r="AV77" s="758"/>
      <c r="AW77" s="819" t="s">
        <v>126</v>
      </c>
      <c r="AX77" s="820"/>
      <c r="AY77" s="1296" t="s">
        <v>731</v>
      </c>
      <c r="AZ77" s="1296"/>
      <c r="BA77" s="1296"/>
      <c r="BB77" s="821" t="s">
        <v>473</v>
      </c>
      <c r="BC77" s="822"/>
      <c r="BD77" s="822"/>
      <c r="BE77" s="823"/>
      <c r="BF77" s="821" t="s">
        <v>472</v>
      </c>
      <c r="BG77" s="822"/>
      <c r="BH77" s="823"/>
      <c r="BT77" s="144"/>
      <c r="BX77" s="827"/>
      <c r="BY77" s="734"/>
      <c r="BZ77" s="735"/>
      <c r="CA77" s="735"/>
      <c r="CB77" s="735"/>
      <c r="CC77" s="735"/>
      <c r="CD77" s="735"/>
      <c r="CE77" s="735"/>
      <c r="CF77" s="735"/>
      <c r="CG77" s="735"/>
      <c r="CH77" s="735"/>
      <c r="CI77" s="735"/>
      <c r="CJ77" s="735"/>
      <c r="CK77" s="736"/>
      <c r="CL77" s="1089"/>
      <c r="CM77" s="708"/>
      <c r="CN77" s="851"/>
      <c r="CO77" s="852"/>
      <c r="CP77" s="713"/>
      <c r="CQ77" s="1251"/>
      <c r="CR77" s="1252"/>
      <c r="CS77" s="747"/>
      <c r="CT77" s="892"/>
      <c r="CU77" s="893"/>
      <c r="CV77" s="893"/>
      <c r="CW77" s="894"/>
      <c r="DC77" s="710">
        <v>0.70699999999999996</v>
      </c>
      <c r="DD77" s="711"/>
      <c r="DE77" s="144"/>
      <c r="DF77" s="144"/>
      <c r="DG77" s="144"/>
      <c r="DH77" s="144"/>
      <c r="DZ77" s="783"/>
      <c r="EA77" s="784"/>
      <c r="EB77" s="785"/>
      <c r="EC77" s="240" t="s">
        <v>703</v>
      </c>
      <c r="ED77" s="818"/>
      <c r="EE77" s="818"/>
      <c r="EF77" s="818"/>
      <c r="EG77" s="818"/>
      <c r="EH77" s="818"/>
      <c r="EI77" s="818"/>
      <c r="EJ77" s="818"/>
      <c r="EK77" s="818"/>
      <c r="EL77" s="818"/>
      <c r="EM77" s="818"/>
      <c r="EN77" s="818"/>
      <c r="EO77" s="818"/>
      <c r="EP77" s="818"/>
      <c r="EQ77" s="1172"/>
      <c r="ER77" s="1173"/>
      <c r="ES77" s="761"/>
      <c r="ET77" s="762"/>
      <c r="EU77" s="715"/>
      <c r="EV77" s="743"/>
      <c r="EW77" s="744"/>
      <c r="EX77" s="745"/>
      <c r="EY77" s="747"/>
      <c r="GF77" s="795"/>
      <c r="GG77" s="796"/>
      <c r="GH77" s="797"/>
      <c r="GI77" s="825"/>
      <c r="GJ77" s="939" t="s">
        <v>1802</v>
      </c>
      <c r="GK77" s="701"/>
      <c r="GL77" s="701"/>
      <c r="GM77" s="701"/>
      <c r="GN77" s="701"/>
      <c r="GO77" s="701"/>
      <c r="GP77" s="701"/>
      <c r="GQ77" s="701"/>
      <c r="GR77" s="701"/>
      <c r="GS77" s="701"/>
      <c r="GT77" s="701"/>
      <c r="GU77" s="701"/>
      <c r="GV77" s="701"/>
      <c r="GW77" s="808">
        <v>1</v>
      </c>
      <c r="GX77" s="809"/>
      <c r="GY77" s="759" t="s">
        <v>50</v>
      </c>
      <c r="GZ77" s="760"/>
      <c r="HA77" s="978"/>
      <c r="HB77" s="1092" t="s">
        <v>1110</v>
      </c>
      <c r="HC77" s="1092"/>
      <c r="HD77" s="1092"/>
      <c r="HE77" s="1092"/>
      <c r="HF77" s="1085"/>
      <c r="HL77" s="144"/>
      <c r="HM77" s="144"/>
      <c r="IR77" s="767"/>
      <c r="IS77" s="246" t="s">
        <v>806</v>
      </c>
      <c r="IT77" s="884">
        <f>$CL$88</f>
        <v>1.6841666110977177E-2</v>
      </c>
      <c r="IU77" s="884"/>
      <c r="IV77" s="246" t="s">
        <v>1124</v>
      </c>
      <c r="IW77" s="677">
        <f>$EQ$37</f>
        <v>0.97</v>
      </c>
      <c r="IX77" s="677"/>
      <c r="IY77" s="939" t="s">
        <v>71</v>
      </c>
      <c r="IZ77" s="940"/>
      <c r="JA77" s="940"/>
      <c r="JB77" s="940"/>
      <c r="JC77" s="940"/>
      <c r="JD77" s="940"/>
      <c r="JE77" s="1003"/>
      <c r="JF77" s="763">
        <f>IT77*1000/(2*IT78*IW76*IW77)</f>
        <v>0.9805684428191489</v>
      </c>
      <c r="JG77" s="764"/>
      <c r="JH77" s="759" t="s">
        <v>18</v>
      </c>
      <c r="JI77" s="760"/>
      <c r="JJ77" s="712"/>
      <c r="JK77" s="716" t="s">
        <v>1154</v>
      </c>
      <c r="JL77" s="717"/>
      <c r="JM77" s="746"/>
      <c r="JN77" s="890"/>
      <c r="JO77" s="841"/>
      <c r="JP77" s="841"/>
      <c r="JQ77" s="891"/>
      <c r="LZ77" s="144"/>
      <c r="MA77" s="144"/>
      <c r="MB77" s="144"/>
      <c r="MC77" s="144"/>
      <c r="MD77" s="144"/>
      <c r="ME77" s="144"/>
      <c r="MF77" s="144"/>
      <c r="MG77" s="144"/>
      <c r="MH77" s="144"/>
      <c r="MI77" s="144"/>
      <c r="MJ77" s="144"/>
      <c r="MK77" s="144"/>
      <c r="ML77" s="144"/>
      <c r="MM77" s="144"/>
      <c r="MN77" s="144"/>
      <c r="MO77" s="144"/>
      <c r="MP77" s="144"/>
      <c r="MQ77" s="144"/>
      <c r="MR77" s="144"/>
      <c r="MS77" s="144"/>
      <c r="MT77" s="144"/>
      <c r="MU77" s="144"/>
      <c r="MV77" s="144"/>
      <c r="MW77" s="144"/>
      <c r="MX77" s="144"/>
      <c r="MY77" s="144"/>
      <c r="MZ77" s="144"/>
      <c r="NA77" s="144"/>
      <c r="NB77" s="144"/>
      <c r="NI77" s="1620"/>
      <c r="NJ77" s="1621"/>
      <c r="NK77" s="1621"/>
      <c r="NL77" s="1621"/>
      <c r="NM77" s="1621"/>
      <c r="NN77" s="1621"/>
      <c r="NO77" s="1621"/>
      <c r="NP77" s="1621"/>
      <c r="NQ77" s="1621"/>
      <c r="NR77" s="1621"/>
      <c r="NS77" s="1621"/>
      <c r="NT77" s="1621"/>
      <c r="NU77" s="1621"/>
      <c r="NV77" s="1621"/>
      <c r="NW77" s="1621"/>
      <c r="NX77" s="1621"/>
      <c r="NY77" s="1621"/>
      <c r="NZ77" s="1621"/>
      <c r="OA77" s="1621"/>
      <c r="OB77" s="1621"/>
      <c r="OC77" s="1621"/>
      <c r="OD77" s="1622"/>
      <c r="PJ77" s="827"/>
      <c r="PK77" s="709" t="s">
        <v>1478</v>
      </c>
      <c r="PL77" s="709"/>
      <c r="PM77" s="709"/>
      <c r="PN77" s="672">
        <f>$GW$69</f>
        <v>1.5</v>
      </c>
      <c r="PO77" s="672"/>
      <c r="PP77" s="930"/>
      <c r="PQ77" s="931"/>
      <c r="PR77" s="951"/>
      <c r="PS77" s="943"/>
      <c r="PT77" s="944"/>
      <c r="PU77" s="944"/>
      <c r="PV77" s="944"/>
      <c r="PW77" s="1004"/>
      <c r="PX77" s="750"/>
      <c r="PY77" s="751"/>
      <c r="PZ77" s="761"/>
      <c r="QA77" s="762"/>
      <c r="QB77" s="713"/>
      <c r="QC77" s="954"/>
      <c r="QD77" s="1152"/>
      <c r="QE77" s="955"/>
      <c r="QF77" s="747"/>
      <c r="QG77" s="768"/>
      <c r="QH77" s="768"/>
      <c r="QI77" s="768"/>
      <c r="QJ77" s="768"/>
      <c r="QK77" s="768"/>
      <c r="QL77" s="768"/>
      <c r="QM77" s="768"/>
      <c r="QN77" s="768"/>
      <c r="QO77" s="768"/>
      <c r="QP77" s="768"/>
      <c r="QQ77" s="768"/>
      <c r="QR77" s="768"/>
      <c r="QT77" s="144"/>
      <c r="QU77" s="144"/>
      <c r="QV77" s="144"/>
      <c r="RC77" s="369">
        <v>59</v>
      </c>
      <c r="RD77" s="668">
        <v>5.8999999999999997E-2</v>
      </c>
      <c r="RE77" s="669"/>
      <c r="RF77" s="670">
        <f t="shared" si="30"/>
        <v>11.542910672047382</v>
      </c>
      <c r="RG77" s="670"/>
      <c r="RH77" s="670"/>
      <c r="RI77" s="670"/>
      <c r="RJ77" s="698">
        <f t="shared" si="12"/>
        <v>30</v>
      </c>
      <c r="RK77" s="699"/>
      <c r="RL77" s="726"/>
      <c r="RM77" s="670">
        <f t="shared" si="13"/>
        <v>11.731411842263828</v>
      </c>
      <c r="RN77" s="670"/>
      <c r="RO77" s="670"/>
      <c r="RP77" s="670"/>
      <c r="RQ77" s="670"/>
      <c r="RR77" s="670"/>
      <c r="RS77" s="671">
        <f t="shared" si="38"/>
        <v>1.560804663639157</v>
      </c>
      <c r="RT77" s="671"/>
      <c r="RU77" s="671"/>
      <c r="RV77" s="671"/>
      <c r="RW77" s="671"/>
      <c r="RX77" s="671"/>
      <c r="RY77" s="681">
        <f t="shared" si="14"/>
        <v>11.834784958369362</v>
      </c>
      <c r="RZ77" s="681"/>
      <c r="SA77" s="681"/>
      <c r="SB77" s="681"/>
      <c r="SC77" s="681">
        <f>'Вывод расчетов'!$AQ$6/RY77</f>
        <v>32.108737196046</v>
      </c>
      <c r="SD77" s="681"/>
      <c r="SE77" s="681"/>
      <c r="SF77" s="681"/>
      <c r="SG77" s="867">
        <f t="shared" si="31"/>
        <v>0.99126531521534489</v>
      </c>
      <c r="SH77" s="867"/>
      <c r="SI77" s="867"/>
      <c r="SJ77" s="867"/>
      <c r="SK77" s="865">
        <f t="shared" si="16"/>
        <v>0.13188280726092805</v>
      </c>
      <c r="SL77" s="865"/>
      <c r="SM77" s="865"/>
      <c r="SN77" s="865"/>
      <c r="SO77" s="692">
        <f t="shared" si="26"/>
        <v>32.178599938936458</v>
      </c>
      <c r="SP77" s="693"/>
      <c r="SQ77" s="693"/>
      <c r="SR77" s="693"/>
      <c r="SS77" s="694"/>
      <c r="ST77" s="668">
        <f t="shared" si="24"/>
        <v>15.21666716101392</v>
      </c>
      <c r="SU77" s="678"/>
      <c r="SV77" s="678"/>
      <c r="SW77" s="678"/>
      <c r="SX77" s="678"/>
      <c r="SY77" s="669"/>
      <c r="SZ77" s="682">
        <f t="shared" si="19"/>
        <v>35.59507344449792</v>
      </c>
      <c r="TA77" s="683"/>
      <c r="TB77" s="683"/>
      <c r="TC77" s="683"/>
      <c r="TD77" s="683"/>
      <c r="TE77" s="684"/>
      <c r="TF77" s="682">
        <f>'Вывод расчетов'!$XC$174*SC77</f>
        <v>32.620088686435004</v>
      </c>
      <c r="TG77" s="683"/>
      <c r="TH77" s="684"/>
      <c r="TI77" s="681">
        <f t="shared" si="58"/>
        <v>36.683603930387555</v>
      </c>
      <c r="TJ77" s="681"/>
      <c r="TK77" s="681"/>
      <c r="TL77" s="681"/>
      <c r="TM77" s="685">
        <f t="shared" si="21"/>
        <v>0.70526637780781565</v>
      </c>
      <c r="TN77" s="686"/>
      <c r="TO77" s="686"/>
      <c r="TP77" s="687"/>
      <c r="TQ77" s="688">
        <f t="shared" si="22"/>
        <v>2.1063718988853024</v>
      </c>
      <c r="TR77" s="688"/>
      <c r="TS77" s="688"/>
      <c r="TT77" s="688"/>
      <c r="TU77" s="689">
        <f t="shared" si="27"/>
        <v>0.20006253494363682</v>
      </c>
      <c r="TV77" s="690"/>
      <c r="TW77" s="690"/>
      <c r="TX77" s="690"/>
      <c r="TY77" s="690"/>
      <c r="TZ77" s="691"/>
      <c r="UA77" s="679">
        <v>5.8999999999999997E-2</v>
      </c>
      <c r="UB77" s="680"/>
      <c r="UC77" s="650">
        <v>0.59</v>
      </c>
      <c r="UD77" s="866">
        <f t="shared" si="39"/>
        <v>3.8919876274641689</v>
      </c>
      <c r="UE77" s="866"/>
      <c r="UF77" s="866"/>
      <c r="UG77" s="866"/>
      <c r="UH77" s="866"/>
      <c r="UI77" s="866"/>
      <c r="UJ77" s="866"/>
      <c r="UK77" s="681">
        <f t="shared" si="40"/>
        <v>32.791616302923387</v>
      </c>
      <c r="UL77" s="681"/>
      <c r="UM77" s="681"/>
      <c r="UN77" s="681"/>
      <c r="UO77" s="816">
        <f t="shared" si="41"/>
        <v>0.89390389137202064</v>
      </c>
      <c r="UP77" s="816"/>
      <c r="UQ77" s="816"/>
      <c r="UR77" s="816"/>
      <c r="US77" s="866">
        <f t="shared" si="42"/>
        <v>0.90401836054956752</v>
      </c>
      <c r="UT77" s="866"/>
      <c r="UU77" s="866"/>
      <c r="UV77" s="866"/>
      <c r="UW77" s="866"/>
      <c r="VX77" s="248">
        <v>7</v>
      </c>
      <c r="VY77" s="229"/>
      <c r="WD77" s="827"/>
      <c r="WE77" s="557" t="s">
        <v>1301</v>
      </c>
      <c r="WF77" s="672">
        <f>$JF$159</f>
        <v>10.982076761995994</v>
      </c>
      <c r="WG77" s="672"/>
      <c r="WH77" s="706"/>
      <c r="WI77" s="707"/>
      <c r="WJ77" s="707"/>
      <c r="WK77" s="707"/>
      <c r="WL77" s="707"/>
      <c r="WM77" s="707"/>
      <c r="WN77" s="707"/>
      <c r="WO77" s="707"/>
      <c r="WP77" s="707"/>
      <c r="WQ77" s="708"/>
      <c r="WR77" s="765"/>
      <c r="WS77" s="766"/>
      <c r="WT77" s="897"/>
      <c r="WU77" s="898"/>
      <c r="WV77" s="713"/>
      <c r="WW77" s="954"/>
      <c r="WX77" s="955"/>
      <c r="WY77" s="747"/>
      <c r="WZ77" s="768"/>
      <c r="XA77" s="768"/>
      <c r="XB77" s="768"/>
      <c r="XC77" s="768"/>
      <c r="XD77" s="768"/>
      <c r="XO77" s="825"/>
      <c r="XP77" s="665" t="s">
        <v>442</v>
      </c>
      <c r="XQ77" s="666"/>
      <c r="XR77" s="156"/>
      <c r="XS77" s="473" t="s">
        <v>1601</v>
      </c>
      <c r="XT77" s="948">
        <f>$YC$72</f>
        <v>14.472988276304768</v>
      </c>
      <c r="XU77" s="965"/>
      <c r="XV77" s="87"/>
      <c r="XW77" s="87"/>
      <c r="XX77" s="87"/>
      <c r="XY77" s="156"/>
      <c r="XZ77" s="85" t="s">
        <v>467</v>
      </c>
      <c r="YA77" s="757" t="s">
        <v>461</v>
      </c>
      <c r="YB77" s="758"/>
      <c r="YC77" s="819" t="s">
        <v>126</v>
      </c>
      <c r="YD77" s="820"/>
      <c r="YE77" s="675" t="s">
        <v>731</v>
      </c>
      <c r="YF77" s="676"/>
      <c r="YG77" s="821" t="s">
        <v>473</v>
      </c>
      <c r="YH77" s="822"/>
      <c r="YI77" s="822"/>
      <c r="YJ77" s="823"/>
      <c r="YK77" s="821" t="s">
        <v>462</v>
      </c>
      <c r="YL77" s="822"/>
      <c r="YM77" s="823"/>
      <c r="AAD77" s="947"/>
      <c r="AAE77" s="947"/>
      <c r="AAF77" s="947"/>
      <c r="AAG77" s="947"/>
      <c r="AAH77" s="535">
        <v>4</v>
      </c>
      <c r="AAI77" s="956"/>
      <c r="AAJ77" s="957"/>
      <c r="AAK77" s="958">
        <f t="shared" si="59"/>
        <v>5.3333333333333337E-2</v>
      </c>
      <c r="AAL77" s="959"/>
      <c r="AAN77" s="947"/>
      <c r="AAO77" s="947"/>
      <c r="AAP77" s="947"/>
      <c r="AAQ77" s="947"/>
      <c r="AAR77" s="535">
        <v>64</v>
      </c>
      <c r="AAS77" s="956"/>
      <c r="AAT77" s="957"/>
      <c r="AAU77" s="958">
        <f t="shared" si="60"/>
        <v>0.85333333333333339</v>
      </c>
      <c r="AAV77" s="959"/>
      <c r="AAX77" s="947"/>
      <c r="AAY77" s="947"/>
      <c r="AAZ77" s="947"/>
      <c r="ABA77" s="947"/>
      <c r="ABB77" s="535">
        <v>124</v>
      </c>
      <c r="ABC77" s="956"/>
      <c r="ABD77" s="957"/>
      <c r="ABE77" s="958">
        <f t="shared" si="61"/>
        <v>1.6533333333333335</v>
      </c>
      <c r="ABF77" s="959"/>
      <c r="ABH77" s="947"/>
      <c r="ABI77" s="947"/>
      <c r="ABJ77" s="947"/>
      <c r="ABK77" s="947"/>
      <c r="ABL77" s="537">
        <v>184</v>
      </c>
      <c r="ABM77" s="956"/>
      <c r="ABN77" s="957"/>
      <c r="ABO77" s="958">
        <f t="shared" si="62"/>
        <v>2.4533333333333336</v>
      </c>
      <c r="ABP77" s="959"/>
      <c r="ABR77" s="947"/>
      <c r="ABS77" s="947"/>
      <c r="ABT77" s="947"/>
      <c r="ABU77" s="947"/>
      <c r="ABV77" s="537">
        <v>244</v>
      </c>
      <c r="ABW77" s="956"/>
      <c r="ABX77" s="957"/>
      <c r="ABY77" s="958">
        <f t="shared" si="63"/>
        <v>3.2533333333333334</v>
      </c>
      <c r="ABZ77" s="959"/>
      <c r="ACA77" s="144"/>
      <c r="ACB77" s="144"/>
      <c r="ACC77" s="144"/>
      <c r="ADB77" s="1033">
        <v>18</v>
      </c>
      <c r="ADC77" s="1033"/>
      <c r="ADD77" s="863" t="s">
        <v>757</v>
      </c>
      <c r="ADE77" s="863"/>
      <c r="ADF77" s="863"/>
      <c r="ADG77" s="863"/>
      <c r="ADH77" s="677">
        <f>$GW$12</f>
        <v>2</v>
      </c>
      <c r="ADI77" s="677"/>
      <c r="ADJ77" s="1035" t="s">
        <v>18</v>
      </c>
      <c r="ADK77" s="1036"/>
      <c r="ADL77" s="1033"/>
      <c r="ADM77" s="1033"/>
      <c r="ADN77" s="1033"/>
      <c r="ADO77" s="1033"/>
      <c r="ADP77" s="1033"/>
      <c r="ADQ77" s="1033"/>
      <c r="ADR77" s="1033"/>
      <c r="ADS77" s="1033"/>
      <c r="ADT77" s="1033"/>
      <c r="ADU77" s="1033"/>
      <c r="ADV77" s="1033"/>
      <c r="ADW77" s="1033"/>
      <c r="ADX77" s="1072"/>
      <c r="ADY77" s="1072"/>
      <c r="ADZ77" s="1072"/>
      <c r="AEA77" s="1072"/>
      <c r="AEB77" s="1072"/>
      <c r="AEC77" s="1072"/>
      <c r="AED77" s="1072"/>
      <c r="AEE77" s="1072"/>
      <c r="AEF77" s="1072"/>
      <c r="AEG77" s="172"/>
      <c r="AEH77" s="172"/>
      <c r="AEI77" s="172"/>
      <c r="AEJ77" s="172"/>
      <c r="AEK77" s="177"/>
      <c r="AEP77" s="947"/>
      <c r="AEQ77" s="947"/>
      <c r="AER77" s="947"/>
      <c r="AES77" s="947"/>
      <c r="AET77" s="657">
        <v>33</v>
      </c>
      <c r="AEU77" s="956"/>
      <c r="AEV77" s="957"/>
      <c r="AEW77" s="958">
        <f t="shared" si="35"/>
        <v>1.0450000000000002</v>
      </c>
      <c r="AEX77" s="959"/>
      <c r="AEZ77" s="947"/>
      <c r="AFA77" s="947"/>
      <c r="AFB77" s="947"/>
      <c r="AFC77" s="947"/>
      <c r="AFD77" s="656">
        <v>93</v>
      </c>
      <c r="AFE77" s="956"/>
      <c r="AFF77" s="957"/>
      <c r="AFG77" s="958">
        <f t="shared" si="36"/>
        <v>2.9450000000000003</v>
      </c>
      <c r="AFH77" s="959"/>
      <c r="AFJ77" s="947"/>
      <c r="AFK77" s="947"/>
      <c r="AFL77" s="947"/>
      <c r="AFM77" s="947"/>
      <c r="AFN77" s="656">
        <v>153</v>
      </c>
      <c r="AFO77" s="956"/>
      <c r="AFP77" s="957"/>
      <c r="AFQ77" s="958">
        <f t="shared" si="37"/>
        <v>4.8450000000000006</v>
      </c>
      <c r="AFR77" s="959"/>
      <c r="AFT77" s="947"/>
      <c r="AFU77" s="947"/>
      <c r="AFV77" s="947"/>
      <c r="AFW77" s="947"/>
      <c r="AFX77" s="656">
        <v>213</v>
      </c>
      <c r="AFY77" s="956"/>
      <c r="AFZ77" s="957"/>
      <c r="AGA77" s="958"/>
      <c r="AGB77" s="959"/>
      <c r="AGD77" s="947"/>
      <c r="AGE77" s="947"/>
      <c r="AGF77" s="947"/>
      <c r="AGG77" s="947"/>
      <c r="AGH77" s="656">
        <v>273</v>
      </c>
      <c r="AGI77" s="956"/>
      <c r="AGJ77" s="957"/>
      <c r="AGK77" s="958"/>
      <c r="AGL77" s="959"/>
      <c r="AIM77" s="795"/>
      <c r="AIN77" s="796"/>
      <c r="AIO77" s="797"/>
      <c r="AIP77" s="826"/>
      <c r="AIQ77" s="816" t="s">
        <v>408</v>
      </c>
      <c r="AIR77" s="816"/>
      <c r="AIS77" s="816"/>
      <c r="AIT77" s="816"/>
      <c r="AIU77" s="816"/>
      <c r="AIV77" s="816"/>
      <c r="AIW77" s="816"/>
      <c r="AIX77" s="816"/>
      <c r="AIY77" s="816"/>
      <c r="AIZ77" s="816"/>
      <c r="AJA77" s="816"/>
      <c r="AJB77" s="816"/>
      <c r="AJC77" s="816"/>
      <c r="AJD77" s="763">
        <f>AJA225/AJA221</f>
        <v>1.0677966101694916</v>
      </c>
      <c r="AJE77" s="764"/>
      <c r="AJF77" s="1005"/>
      <c r="AJG77" s="1006"/>
      <c r="AJH77" s="712"/>
      <c r="AJI77" s="952" t="s">
        <v>982</v>
      </c>
      <c r="AJJ77" s="953"/>
      <c r="AJK77" s="746"/>
    </row>
    <row r="78" spans="12:982" ht="48" customHeight="1" thickBot="1">
      <c r="N78" s="3"/>
      <c r="O78" s="3"/>
      <c r="P78" s="3"/>
      <c r="Q78" s="3"/>
      <c r="AI78" s="826"/>
      <c r="AJ78" s="731" t="s">
        <v>781</v>
      </c>
      <c r="AK78" s="732"/>
      <c r="AL78" s="732"/>
      <c r="AM78" s="732"/>
      <c r="AN78" s="732"/>
      <c r="AO78" s="732"/>
      <c r="AP78" s="732"/>
      <c r="AQ78" s="732"/>
      <c r="AR78" s="732"/>
      <c r="AS78" s="732"/>
      <c r="AT78" s="732"/>
      <c r="AU78" s="732"/>
      <c r="AV78" s="732"/>
      <c r="AW78" s="1397">
        <f>(2*3.14*AQ5)/60</f>
        <v>314</v>
      </c>
      <c r="AX78" s="1398"/>
      <c r="AY78" s="1183" t="s">
        <v>748</v>
      </c>
      <c r="AZ78" s="1408"/>
      <c r="BA78" s="1184"/>
      <c r="BB78" s="712"/>
      <c r="BC78" s="1297" t="s">
        <v>1690</v>
      </c>
      <c r="BD78" s="1298"/>
      <c r="BE78" s="746"/>
      <c r="BF78" s="74"/>
      <c r="BG78" s="70"/>
      <c r="BH78" s="71"/>
      <c r="BR78" s="144"/>
      <c r="BS78" s="144"/>
      <c r="BT78" s="144"/>
      <c r="DC78" s="710">
        <v>0.25900000000000001</v>
      </c>
      <c r="DD78" s="711"/>
      <c r="DE78" s="144"/>
      <c r="DF78" s="144"/>
      <c r="DG78" s="144"/>
      <c r="DH78" s="144"/>
      <c r="DJ78" s="144"/>
      <c r="DK78" s="144"/>
      <c r="DL78" s="144"/>
      <c r="DM78" s="144"/>
      <c r="DN78" s="144"/>
      <c r="DO78" s="144"/>
      <c r="DP78" s="144"/>
      <c r="DQ78" s="144"/>
      <c r="DR78" s="144"/>
      <c r="DS78" s="144"/>
      <c r="DT78" s="144"/>
      <c r="DU78" s="144"/>
      <c r="DV78" s="144"/>
      <c r="DW78" s="144"/>
      <c r="DX78" s="144"/>
      <c r="FX78" s="157"/>
      <c r="FY78" s="157"/>
      <c r="FZ78" s="157"/>
      <c r="GA78" s="157"/>
      <c r="GB78" s="157"/>
      <c r="GC78" s="157"/>
      <c r="GE78" s="3"/>
      <c r="GF78" s="798"/>
      <c r="GG78" s="799"/>
      <c r="GH78" s="800"/>
      <c r="GI78" s="827"/>
      <c r="GJ78" s="706"/>
      <c r="GK78" s="707"/>
      <c r="GL78" s="707"/>
      <c r="GM78" s="707"/>
      <c r="GN78" s="707"/>
      <c r="GO78" s="707"/>
      <c r="GP78" s="707"/>
      <c r="GQ78" s="707"/>
      <c r="GR78" s="707"/>
      <c r="GS78" s="707"/>
      <c r="GT78" s="707"/>
      <c r="GU78" s="707"/>
      <c r="GV78" s="707"/>
      <c r="GW78" s="810"/>
      <c r="GX78" s="811"/>
      <c r="GY78" s="761"/>
      <c r="GZ78" s="762"/>
      <c r="HA78" s="979"/>
      <c r="HB78" s="1093"/>
      <c r="HC78" s="1093"/>
      <c r="HD78" s="1093"/>
      <c r="HE78" s="1093"/>
      <c r="HF78" s="1086"/>
      <c r="IR78" s="768"/>
      <c r="IS78" s="247" t="s">
        <v>1226</v>
      </c>
      <c r="IT78" s="828">
        <f>$JF$83</f>
        <v>68.102343750000003</v>
      </c>
      <c r="IU78" s="828"/>
      <c r="IV78" s="930"/>
      <c r="IW78" s="931"/>
      <c r="IX78" s="931"/>
      <c r="IY78" s="943"/>
      <c r="IZ78" s="944"/>
      <c r="JA78" s="944"/>
      <c r="JB78" s="944"/>
      <c r="JC78" s="944"/>
      <c r="JD78" s="944"/>
      <c r="JE78" s="1004"/>
      <c r="JF78" s="765"/>
      <c r="JG78" s="766"/>
      <c r="JH78" s="761"/>
      <c r="JI78" s="762"/>
      <c r="JJ78" s="713"/>
      <c r="JK78" s="718"/>
      <c r="JL78" s="719"/>
      <c r="JM78" s="747"/>
      <c r="JN78" s="892"/>
      <c r="JO78" s="893"/>
      <c r="JP78" s="893"/>
      <c r="JQ78" s="894"/>
      <c r="LZ78" s="825"/>
      <c r="MA78" s="147" t="s">
        <v>442</v>
      </c>
      <c r="MB78" s="148"/>
      <c r="MC78" s="370"/>
      <c r="MD78" s="374" t="s">
        <v>1346</v>
      </c>
      <c r="ME78" s="1269">
        <f>MQ65</f>
        <v>4.6511627906976744E-8</v>
      </c>
      <c r="MF78" s="1270"/>
      <c r="MG78" s="1270"/>
      <c r="MH78" s="1247" t="s">
        <v>415</v>
      </c>
      <c r="MI78" s="1248"/>
      <c r="MJ78" s="370"/>
      <c r="MK78" s="85" t="s">
        <v>467</v>
      </c>
      <c r="ML78" s="757" t="s">
        <v>461</v>
      </c>
      <c r="MM78" s="758"/>
      <c r="MN78" s="774" t="s">
        <v>126</v>
      </c>
      <c r="MO78" s="775"/>
      <c r="MP78" s="776"/>
      <c r="MQ78" s="675" t="s">
        <v>731</v>
      </c>
      <c r="MR78" s="676"/>
      <c r="MS78" s="821" t="s">
        <v>473</v>
      </c>
      <c r="MT78" s="822"/>
      <c r="MU78" s="822"/>
      <c r="MV78" s="823"/>
      <c r="MW78" s="821" t="s">
        <v>462</v>
      </c>
      <c r="MX78" s="822"/>
      <c r="MY78" s="822"/>
      <c r="MZ78" s="822"/>
      <c r="NA78" s="823"/>
      <c r="NB78" s="144"/>
      <c r="NI78" s="1620"/>
      <c r="NJ78" s="1621"/>
      <c r="NK78" s="1621"/>
      <c r="NL78" s="1621"/>
      <c r="NM78" s="1621"/>
      <c r="NN78" s="1621"/>
      <c r="NO78" s="1621"/>
      <c r="NP78" s="1621"/>
      <c r="NQ78" s="1621"/>
      <c r="NR78" s="1621"/>
      <c r="NS78" s="1621"/>
      <c r="NT78" s="1621"/>
      <c r="NU78" s="1621"/>
      <c r="NV78" s="1621"/>
      <c r="NW78" s="1621"/>
      <c r="NX78" s="1621"/>
      <c r="NY78" s="1621"/>
      <c r="NZ78" s="1621"/>
      <c r="OA78" s="1621"/>
      <c r="OB78" s="1621"/>
      <c r="OC78" s="1621"/>
      <c r="OD78" s="1622"/>
      <c r="QO78" s="144"/>
      <c r="QP78" s="144"/>
      <c r="QQ78" s="144"/>
      <c r="QR78" s="144"/>
      <c r="QS78" s="144"/>
      <c r="QT78" s="144"/>
      <c r="RC78" s="369">
        <v>60</v>
      </c>
      <c r="RD78" s="668">
        <v>0.06</v>
      </c>
      <c r="RE78" s="669"/>
      <c r="RF78" s="670">
        <f t="shared" si="30"/>
        <v>11.350528827513259</v>
      </c>
      <c r="RG78" s="670"/>
      <c r="RH78" s="670"/>
      <c r="RI78" s="670"/>
      <c r="RJ78" s="698">
        <f t="shared" si="12"/>
        <v>30</v>
      </c>
      <c r="RK78" s="699"/>
      <c r="RL78" s="726"/>
      <c r="RM78" s="670">
        <f t="shared" si="13"/>
        <v>11.539029997729704</v>
      </c>
      <c r="RN78" s="670"/>
      <c r="RO78" s="670"/>
      <c r="RP78" s="670"/>
      <c r="RQ78" s="670"/>
      <c r="RR78" s="670"/>
      <c r="RS78" s="671">
        <f t="shared" si="38"/>
        <v>1.560804663639157</v>
      </c>
      <c r="RT78" s="671"/>
      <c r="RU78" s="671"/>
      <c r="RV78" s="671"/>
      <c r="RW78" s="671"/>
      <c r="RX78" s="671"/>
      <c r="RY78" s="681">
        <f t="shared" si="14"/>
        <v>11.644111150557768</v>
      </c>
      <c r="RZ78" s="681"/>
      <c r="SA78" s="681"/>
      <c r="SB78" s="681"/>
      <c r="SC78" s="681">
        <f>'Вывод расчетов'!$AQ$6/RY78</f>
        <v>32.634521870035357</v>
      </c>
      <c r="SD78" s="681"/>
      <c r="SE78" s="681"/>
      <c r="SF78" s="681"/>
      <c r="SG78" s="867">
        <f t="shared" si="31"/>
        <v>0.99097559689448433</v>
      </c>
      <c r="SH78" s="867"/>
      <c r="SI78" s="867"/>
      <c r="SJ78" s="867"/>
      <c r="SK78" s="865">
        <f t="shared" si="16"/>
        <v>0.13404240507996118</v>
      </c>
      <c r="SL78" s="865"/>
      <c r="SM78" s="865"/>
      <c r="SN78" s="865"/>
      <c r="SO78" s="692">
        <f t="shared" si="26"/>
        <v>32.690337230655636</v>
      </c>
      <c r="SP78" s="693"/>
      <c r="SQ78" s="693"/>
      <c r="SR78" s="693"/>
      <c r="SS78" s="694"/>
      <c r="ST78" s="668">
        <f t="shared" si="24"/>
        <v>15.356486562090126</v>
      </c>
      <c r="SU78" s="678"/>
      <c r="SV78" s="678"/>
      <c r="SW78" s="678"/>
      <c r="SX78" s="678"/>
      <c r="SY78" s="669"/>
      <c r="SZ78" s="682">
        <f t="shared" si="19"/>
        <v>36.117583360264355</v>
      </c>
      <c r="TA78" s="683"/>
      <c r="TB78" s="683"/>
      <c r="TC78" s="683"/>
      <c r="TD78" s="683"/>
      <c r="TE78" s="684"/>
      <c r="TF78" s="682">
        <f>'Вывод расчетов'!$XC$174*SC78</f>
        <v>33.1542468064128</v>
      </c>
      <c r="TG78" s="683"/>
      <c r="TH78" s="684"/>
      <c r="TI78" s="681">
        <f t="shared" si="58"/>
        <v>37.266984442947425</v>
      </c>
      <c r="TJ78" s="681"/>
      <c r="TK78" s="681"/>
      <c r="TL78" s="681"/>
      <c r="TM78" s="685">
        <f t="shared" si="21"/>
        <v>0.72612394937950808</v>
      </c>
      <c r="TN78" s="686"/>
      <c r="TO78" s="686"/>
      <c r="TP78" s="687"/>
      <c r="TQ78" s="688">
        <f t="shared" si="22"/>
        <v>2.1759209295103643</v>
      </c>
      <c r="TR78" s="688"/>
      <c r="TS78" s="688"/>
      <c r="TT78" s="688"/>
      <c r="TU78" s="689">
        <f t="shared" si="27"/>
        <v>0.20597919107911225</v>
      </c>
      <c r="TV78" s="690"/>
      <c r="TW78" s="690"/>
      <c r="TX78" s="690"/>
      <c r="TY78" s="690"/>
      <c r="TZ78" s="691"/>
      <c r="UA78" s="756">
        <v>0.06</v>
      </c>
      <c r="UB78" s="756"/>
      <c r="UC78" s="650">
        <v>0.6</v>
      </c>
      <c r="UD78" s="866">
        <f t="shared" si="39"/>
        <v>3.9883108857963983</v>
      </c>
      <c r="UE78" s="866"/>
      <c r="UF78" s="866"/>
      <c r="UG78" s="866"/>
      <c r="UH78" s="866"/>
      <c r="UI78" s="866"/>
      <c r="UJ78" s="866"/>
      <c r="UK78" s="681">
        <f t="shared" si="40"/>
        <v>33.278673557151023</v>
      </c>
      <c r="UL78" s="681"/>
      <c r="UM78" s="681"/>
      <c r="UN78" s="681"/>
      <c r="UO78" s="816">
        <f t="shared" si="41"/>
        <v>0.89298004801268094</v>
      </c>
      <c r="UP78" s="816"/>
      <c r="UQ78" s="816"/>
      <c r="UR78" s="816"/>
      <c r="US78" s="866">
        <f t="shared" si="42"/>
        <v>0.90510865316146016</v>
      </c>
      <c r="UT78" s="866"/>
      <c r="UU78" s="866"/>
      <c r="UV78" s="866"/>
      <c r="UW78" s="866"/>
      <c r="VX78" s="248">
        <v>8</v>
      </c>
      <c r="VY78" s="229"/>
      <c r="XO78" s="826"/>
      <c r="XP78" s="863" t="s">
        <v>1477</v>
      </c>
      <c r="XQ78" s="863"/>
      <c r="XR78" s="739">
        <f>$GT$106</f>
        <v>37.311671496815286</v>
      </c>
      <c r="XS78" s="739"/>
      <c r="XT78" s="940" t="s">
        <v>145</v>
      </c>
      <c r="XU78" s="940"/>
      <c r="XV78" s="940"/>
      <c r="XW78" s="940"/>
      <c r="XX78" s="940"/>
      <c r="XY78" s="940"/>
      <c r="XZ78" s="940"/>
      <c r="YA78" s="940"/>
      <c r="YB78" s="1003"/>
      <c r="YC78" s="763">
        <f>XR79/XT77</f>
        <v>2.5935155078985197</v>
      </c>
      <c r="YD78" s="764"/>
      <c r="YE78" s="1115" t="s">
        <v>762</v>
      </c>
      <c r="YF78" s="1116"/>
      <c r="YG78" s="712"/>
      <c r="YH78" s="716" t="s">
        <v>1505</v>
      </c>
      <c r="YI78" s="717"/>
      <c r="YJ78" s="746"/>
      <c r="YK78" s="919"/>
      <c r="YL78" s="840"/>
      <c r="YM78" s="920"/>
      <c r="AAD78" s="947"/>
      <c r="AAE78" s="947"/>
      <c r="AAF78" s="947"/>
      <c r="AAG78" s="947"/>
      <c r="AAH78" s="535">
        <v>5</v>
      </c>
      <c r="AAI78" s="956"/>
      <c r="AAJ78" s="957"/>
      <c r="AAK78" s="958">
        <f t="shared" si="59"/>
        <v>6.6666666666666666E-2</v>
      </c>
      <c r="AAL78" s="959"/>
      <c r="AAN78" s="947"/>
      <c r="AAO78" s="947"/>
      <c r="AAP78" s="947"/>
      <c r="AAQ78" s="947"/>
      <c r="AAR78" s="535">
        <v>65</v>
      </c>
      <c r="AAS78" s="956"/>
      <c r="AAT78" s="957"/>
      <c r="AAU78" s="958">
        <f t="shared" si="60"/>
        <v>0.8666666666666667</v>
      </c>
      <c r="AAV78" s="959"/>
      <c r="AAX78" s="947"/>
      <c r="AAY78" s="947"/>
      <c r="AAZ78" s="947"/>
      <c r="ABA78" s="947"/>
      <c r="ABB78" s="535">
        <v>125</v>
      </c>
      <c r="ABC78" s="956"/>
      <c r="ABD78" s="957"/>
      <c r="ABE78" s="958">
        <f t="shared" si="61"/>
        <v>1.6666666666666667</v>
      </c>
      <c r="ABF78" s="959"/>
      <c r="ABH78" s="947"/>
      <c r="ABI78" s="947"/>
      <c r="ABJ78" s="947"/>
      <c r="ABK78" s="947"/>
      <c r="ABL78" s="537">
        <v>185</v>
      </c>
      <c r="ABM78" s="956"/>
      <c r="ABN78" s="957"/>
      <c r="ABO78" s="958">
        <f t="shared" si="62"/>
        <v>2.4666666666666668</v>
      </c>
      <c r="ABP78" s="959"/>
      <c r="ABR78" s="947"/>
      <c r="ABS78" s="947"/>
      <c r="ABT78" s="947"/>
      <c r="ABU78" s="947"/>
      <c r="ABV78" s="537">
        <v>245</v>
      </c>
      <c r="ABW78" s="956"/>
      <c r="ABX78" s="957"/>
      <c r="ABY78" s="958">
        <f t="shared" si="63"/>
        <v>3.2666666666666671</v>
      </c>
      <c r="ABZ78" s="959"/>
      <c r="ACA78" s="144"/>
      <c r="ACB78" s="144"/>
      <c r="ACC78" s="144"/>
      <c r="ADB78" s="1033"/>
      <c r="ADC78" s="1033"/>
      <c r="ADD78" s="187"/>
      <c r="ADE78" s="187"/>
      <c r="ADF78" s="187"/>
      <c r="ADG78" s="187"/>
      <c r="ADH78" s="187"/>
      <c r="ADI78" s="188"/>
      <c r="ADJ78" s="1037"/>
      <c r="ADK78" s="1038"/>
      <c r="ADL78" s="1033"/>
      <c r="ADM78" s="1033"/>
      <c r="ADN78" s="1033"/>
      <c r="ADO78" s="1033"/>
      <c r="ADP78" s="1033"/>
      <c r="ADQ78" s="1033"/>
      <c r="ADR78" s="1033"/>
      <c r="ADS78" s="1033"/>
      <c r="ADT78" s="1033"/>
      <c r="ADU78" s="1033"/>
      <c r="ADV78" s="1033"/>
      <c r="ADW78" s="1033"/>
      <c r="ADX78" s="1049"/>
      <c r="ADY78" s="1049"/>
      <c r="ADZ78" s="1049"/>
      <c r="AEA78" s="1049"/>
      <c r="AEB78" s="1049"/>
      <c r="AEC78" s="1049"/>
      <c r="AED78" s="1049"/>
      <c r="AEE78" s="1049"/>
      <c r="AEF78" s="1049"/>
      <c r="AEG78" s="172"/>
      <c r="AEH78" s="172"/>
      <c r="AEI78" s="172"/>
      <c r="AEJ78" s="172"/>
      <c r="AEK78" s="177"/>
      <c r="AEP78" s="947"/>
      <c r="AEQ78" s="947"/>
      <c r="AER78" s="947"/>
      <c r="AES78" s="947"/>
      <c r="AET78" s="657">
        <v>34</v>
      </c>
      <c r="AEU78" s="956"/>
      <c r="AEV78" s="957"/>
      <c r="AEW78" s="958">
        <f t="shared" si="35"/>
        <v>1.0766666666666667</v>
      </c>
      <c r="AEX78" s="959"/>
      <c r="AEZ78" s="947"/>
      <c r="AFA78" s="947"/>
      <c r="AFB78" s="947"/>
      <c r="AFC78" s="947"/>
      <c r="AFD78" s="656">
        <v>94</v>
      </c>
      <c r="AFE78" s="956"/>
      <c r="AFF78" s="957"/>
      <c r="AFG78" s="958">
        <f t="shared" si="36"/>
        <v>2.976666666666667</v>
      </c>
      <c r="AFH78" s="959"/>
      <c r="AFJ78" s="947"/>
      <c r="AFK78" s="947"/>
      <c r="AFL78" s="947"/>
      <c r="AFM78" s="947"/>
      <c r="AFN78" s="656">
        <v>154</v>
      </c>
      <c r="AFO78" s="956"/>
      <c r="AFP78" s="957"/>
      <c r="AFQ78" s="958">
        <f t="shared" si="37"/>
        <v>4.8766666666666669</v>
      </c>
      <c r="AFR78" s="959"/>
      <c r="AFT78" s="947"/>
      <c r="AFU78" s="947"/>
      <c r="AFV78" s="947"/>
      <c r="AFW78" s="947"/>
      <c r="AFX78" s="656">
        <v>214</v>
      </c>
      <c r="AFY78" s="956"/>
      <c r="AFZ78" s="957"/>
      <c r="AGA78" s="958"/>
      <c r="AGB78" s="959"/>
      <c r="AGD78" s="947"/>
      <c r="AGE78" s="947"/>
      <c r="AGF78" s="947"/>
      <c r="AGG78" s="947"/>
      <c r="AGH78" s="656">
        <v>274</v>
      </c>
      <c r="AGI78" s="956"/>
      <c r="AGJ78" s="957"/>
      <c r="AGK78" s="958"/>
      <c r="AGL78" s="959"/>
      <c r="AIM78" s="798"/>
      <c r="AIN78" s="799"/>
      <c r="AIO78" s="800"/>
      <c r="AIP78" s="827"/>
      <c r="AIQ78" s="818"/>
      <c r="AIR78" s="818"/>
      <c r="AIS78" s="818"/>
      <c r="AIT78" s="818"/>
      <c r="AIU78" s="818"/>
      <c r="AIV78" s="818"/>
      <c r="AIW78" s="818"/>
      <c r="AIX78" s="818"/>
      <c r="AIY78" s="818"/>
      <c r="AIZ78" s="818"/>
      <c r="AJA78" s="818"/>
      <c r="AJB78" s="818"/>
      <c r="AJC78" s="818"/>
      <c r="AJD78" s="765"/>
      <c r="AJE78" s="766"/>
      <c r="AJF78" s="706"/>
      <c r="AJG78" s="708"/>
      <c r="AJH78" s="713"/>
      <c r="AJI78" s="954"/>
      <c r="AJJ78" s="955"/>
      <c r="AJK78" s="747"/>
    </row>
    <row r="79" spans="12:982" ht="48" customHeight="1" thickBot="1">
      <c r="N79" s="3"/>
      <c r="O79" s="3"/>
      <c r="P79" s="3"/>
      <c r="Q79" s="3"/>
      <c r="AI79" s="827"/>
      <c r="AJ79" s="734"/>
      <c r="AK79" s="735"/>
      <c r="AL79" s="735"/>
      <c r="AM79" s="735"/>
      <c r="AN79" s="735"/>
      <c r="AO79" s="735"/>
      <c r="AP79" s="735"/>
      <c r="AQ79" s="735"/>
      <c r="AR79" s="735"/>
      <c r="AS79" s="735"/>
      <c r="AT79" s="735"/>
      <c r="AU79" s="735"/>
      <c r="AV79" s="735"/>
      <c r="AW79" s="1399"/>
      <c r="AX79" s="736"/>
      <c r="AY79" s="1185"/>
      <c r="AZ79" s="1409"/>
      <c r="BA79" s="1186"/>
      <c r="BB79" s="713"/>
      <c r="BC79" s="1299"/>
      <c r="BD79" s="1300"/>
      <c r="BE79" s="747"/>
      <c r="BF79" s="90"/>
      <c r="BG79" s="88"/>
      <c r="BH79" s="89"/>
      <c r="BP79" s="144"/>
      <c r="BQ79" s="144"/>
      <c r="BR79" s="144"/>
      <c r="BS79" s="144"/>
      <c r="BT79" s="144"/>
      <c r="BX79" s="792" t="s">
        <v>1078</v>
      </c>
      <c r="BY79" s="793"/>
      <c r="BZ79" s="794"/>
      <c r="CA79" s="825"/>
      <c r="CB79" s="665" t="s">
        <v>25</v>
      </c>
      <c r="CC79" s="666"/>
      <c r="CD79" s="135"/>
      <c r="CE79" s="87"/>
      <c r="CF79" s="87"/>
      <c r="CG79" s="87"/>
      <c r="CH79" s="87"/>
      <c r="CI79" s="216"/>
      <c r="CJ79" s="84" t="s">
        <v>477</v>
      </c>
      <c r="CK79" s="135"/>
      <c r="CL79" s="85" t="s">
        <v>467</v>
      </c>
      <c r="CM79" s="757" t="s">
        <v>461</v>
      </c>
      <c r="CN79" s="758"/>
      <c r="CO79" s="819" t="s">
        <v>126</v>
      </c>
      <c r="CP79" s="820"/>
      <c r="CQ79" s="675" t="s">
        <v>731</v>
      </c>
      <c r="CR79" s="676"/>
      <c r="CS79" s="821" t="s">
        <v>473</v>
      </c>
      <c r="CT79" s="822"/>
      <c r="CU79" s="822"/>
      <c r="CV79" s="823"/>
      <c r="DC79" s="710">
        <v>-0.25900000000000001</v>
      </c>
      <c r="DD79" s="711"/>
      <c r="DJ79" s="144"/>
      <c r="DK79" s="144"/>
      <c r="DL79" s="144"/>
      <c r="DM79" s="144"/>
      <c r="DN79" s="144"/>
      <c r="DO79" s="144"/>
      <c r="DT79" s="144"/>
      <c r="DU79" s="144"/>
      <c r="DV79" s="144"/>
      <c r="DW79" s="144"/>
      <c r="DX79" s="144"/>
      <c r="FF79" s="139"/>
      <c r="FG79" s="139"/>
      <c r="FH79" s="139"/>
      <c r="FI79" s="139"/>
      <c r="FJ79" s="139"/>
      <c r="FK79" s="139"/>
      <c r="FL79" s="139"/>
      <c r="FM79" s="139"/>
      <c r="FN79" s="139"/>
      <c r="FO79" s="139"/>
      <c r="FP79" s="139"/>
      <c r="FQ79" s="139"/>
      <c r="FR79" s="139"/>
      <c r="FS79" s="139"/>
      <c r="FT79" s="139"/>
      <c r="FU79" s="139"/>
      <c r="FV79" s="139"/>
      <c r="FW79" s="139"/>
      <c r="FX79" s="139"/>
      <c r="GC79" s="6"/>
      <c r="GD79" s="3"/>
      <c r="GE79" s="3"/>
      <c r="LZ79" s="826"/>
      <c r="MA79" s="863" t="s">
        <v>1345</v>
      </c>
      <c r="MB79" s="863"/>
      <c r="MC79" s="739">
        <f>$GT$139</f>
        <v>153.27250000000001</v>
      </c>
      <c r="MD79" s="739"/>
      <c r="ME79" s="1598" t="s">
        <v>50</v>
      </c>
      <c r="MF79" s="1598"/>
      <c r="MG79" s="1606" t="s">
        <v>1366</v>
      </c>
      <c r="MH79" s="1607"/>
      <c r="MI79" s="1607"/>
      <c r="MJ79" s="1607"/>
      <c r="MK79" s="1607"/>
      <c r="ML79" s="1607"/>
      <c r="MM79" s="1608"/>
      <c r="MN79" s="1342">
        <f>(ME78*3.14*MC79/1000)/(MC81*MC80*10^(-6))</f>
        <v>9.5152705032970217E-7</v>
      </c>
      <c r="MO79" s="1343"/>
      <c r="MP79" s="1344"/>
      <c r="MQ79" s="895" t="s">
        <v>415</v>
      </c>
      <c r="MR79" s="896"/>
      <c r="MS79" s="714"/>
      <c r="MT79" s="740" t="s">
        <v>904</v>
      </c>
      <c r="MU79" s="742"/>
      <c r="MV79" s="746"/>
      <c r="MW79" s="919"/>
      <c r="MX79" s="840"/>
      <c r="MY79" s="840"/>
      <c r="MZ79" s="840"/>
      <c r="NA79" s="920"/>
      <c r="NB79" s="144"/>
      <c r="NI79" s="1620"/>
      <c r="NJ79" s="1621"/>
      <c r="NK79" s="1621"/>
      <c r="NL79" s="1621"/>
      <c r="NM79" s="1621"/>
      <c r="NN79" s="1621"/>
      <c r="NO79" s="1621"/>
      <c r="NP79" s="1621"/>
      <c r="NQ79" s="1621"/>
      <c r="NR79" s="1621"/>
      <c r="NS79" s="1621"/>
      <c r="NT79" s="1621"/>
      <c r="NU79" s="1621"/>
      <c r="NV79" s="1621"/>
      <c r="NW79" s="1621"/>
      <c r="NX79" s="1621"/>
      <c r="NY79" s="1621"/>
      <c r="NZ79" s="1621"/>
      <c r="OA79" s="1621"/>
      <c r="OB79" s="1621"/>
      <c r="OC79" s="1621"/>
      <c r="OD79" s="1622"/>
      <c r="PJ79" s="825"/>
      <c r="PK79" s="695" t="s">
        <v>442</v>
      </c>
      <c r="PL79" s="695"/>
      <c r="PM79" s="522"/>
      <c r="PN79" s="523" t="s">
        <v>1720</v>
      </c>
      <c r="PO79" s="724">
        <f>$AQ$5</f>
        <v>3000</v>
      </c>
      <c r="PP79" s="724"/>
      <c r="PQ79" s="527" t="s">
        <v>1224</v>
      </c>
      <c r="PR79" s="1074">
        <f>$CO$28</f>
        <v>33</v>
      </c>
      <c r="PS79" s="1074"/>
      <c r="PT79" s="522"/>
      <c r="PU79" s="85" t="s">
        <v>467</v>
      </c>
      <c r="PV79" s="757" t="s">
        <v>461</v>
      </c>
      <c r="PW79" s="758"/>
      <c r="PX79" s="819" t="s">
        <v>126</v>
      </c>
      <c r="PY79" s="820"/>
      <c r="PZ79" s="675" t="s">
        <v>731</v>
      </c>
      <c r="QA79" s="1094"/>
      <c r="QB79" s="769" t="s">
        <v>473</v>
      </c>
      <c r="QC79" s="769"/>
      <c r="QD79" s="769"/>
      <c r="QE79" s="769"/>
      <c r="QF79" s="769"/>
      <c r="QG79" s="769"/>
      <c r="QH79" s="769" t="s">
        <v>462</v>
      </c>
      <c r="QI79" s="769"/>
      <c r="QJ79" s="769"/>
      <c r="QK79" s="769"/>
      <c r="QL79" s="769"/>
      <c r="QM79" s="769"/>
      <c r="QN79" s="769"/>
      <c r="QO79" s="769"/>
      <c r="QP79" s="769"/>
      <c r="QQ79" s="769"/>
      <c r="QR79" s="769"/>
      <c r="QS79" s="769"/>
      <c r="QT79" s="769"/>
      <c r="QU79" s="769"/>
      <c r="RC79" s="369">
        <v>61</v>
      </c>
      <c r="RD79" s="668">
        <v>6.0999999999999999E-2</v>
      </c>
      <c r="RE79" s="669"/>
      <c r="RF79" s="670">
        <f t="shared" si="30"/>
        <v>11.164454584439271</v>
      </c>
      <c r="RG79" s="670"/>
      <c r="RH79" s="670"/>
      <c r="RI79" s="670"/>
      <c r="RJ79" s="698">
        <f t="shared" si="12"/>
        <v>30</v>
      </c>
      <c r="RK79" s="699"/>
      <c r="RL79" s="726"/>
      <c r="RM79" s="670">
        <f t="shared" si="13"/>
        <v>11.352955754655717</v>
      </c>
      <c r="RN79" s="670"/>
      <c r="RO79" s="670"/>
      <c r="RP79" s="670"/>
      <c r="RQ79" s="670"/>
      <c r="RR79" s="670"/>
      <c r="RS79" s="671">
        <f t="shared" si="38"/>
        <v>1.560804663639157</v>
      </c>
      <c r="RT79" s="671"/>
      <c r="RU79" s="671"/>
      <c r="RV79" s="671"/>
      <c r="RW79" s="671"/>
      <c r="RX79" s="671"/>
      <c r="RY79" s="681">
        <f t="shared" si="14"/>
        <v>11.459743259131423</v>
      </c>
      <c r="RZ79" s="681"/>
      <c r="SA79" s="681"/>
      <c r="SB79" s="681"/>
      <c r="SC79" s="681">
        <f>'Вывод расчетов'!$AQ$6/RY79</f>
        <v>33.159556144262311</v>
      </c>
      <c r="SD79" s="681"/>
      <c r="SE79" s="681"/>
      <c r="SF79" s="681"/>
      <c r="SG79" s="867">
        <f t="shared" si="31"/>
        <v>0.99068150986797932</v>
      </c>
      <c r="SH79" s="867"/>
      <c r="SI79" s="867"/>
      <c r="SJ79" s="867"/>
      <c r="SK79" s="865">
        <f t="shared" si="16"/>
        <v>0.13619892072149758</v>
      </c>
      <c r="SL79" s="865"/>
      <c r="SM79" s="865"/>
      <c r="SN79" s="865"/>
      <c r="SO79" s="692">
        <f t="shared" si="26"/>
        <v>33.200881588681064</v>
      </c>
      <c r="SP79" s="693"/>
      <c r="SQ79" s="693"/>
      <c r="SR79" s="693"/>
      <c r="SS79" s="694"/>
      <c r="ST79" s="668">
        <f t="shared" si="24"/>
        <v>15.498372520448426</v>
      </c>
      <c r="SU79" s="678"/>
      <c r="SV79" s="678"/>
      <c r="SW79" s="678"/>
      <c r="SX79" s="678"/>
      <c r="SY79" s="669"/>
      <c r="SZ79" s="682">
        <f t="shared" si="19"/>
        <v>36.640115843815401</v>
      </c>
      <c r="TA79" s="683"/>
      <c r="TB79" s="683"/>
      <c r="TC79" s="683"/>
      <c r="TD79" s="683"/>
      <c r="TE79" s="684"/>
      <c r="TF79" s="682">
        <f>'Вывод расчетов'!$XC$174*SC79</f>
        <v>33.687642576048063</v>
      </c>
      <c r="TG79" s="683"/>
      <c r="TH79" s="684"/>
      <c r="TI79" s="681">
        <f t="shared" si="58"/>
        <v>37.849005011096416</v>
      </c>
      <c r="TJ79" s="681"/>
      <c r="TK79" s="681"/>
      <c r="TL79" s="681"/>
      <c r="TM79" s="685">
        <f t="shared" si="21"/>
        <v>0.74728638472615405</v>
      </c>
      <c r="TN79" s="686"/>
      <c r="TO79" s="686"/>
      <c r="TP79" s="687"/>
      <c r="TQ79" s="688">
        <f t="shared" si="22"/>
        <v>2.2464979080067122</v>
      </c>
      <c r="TR79" s="688"/>
      <c r="TS79" s="688"/>
      <c r="TT79" s="688"/>
      <c r="TU79" s="689">
        <f t="shared" si="27"/>
        <v>0.21198232775803752</v>
      </c>
      <c r="TV79" s="690"/>
      <c r="TW79" s="690"/>
      <c r="TX79" s="690"/>
      <c r="TY79" s="690"/>
      <c r="TZ79" s="691"/>
      <c r="UA79" s="679">
        <v>6.0999999999999999E-2</v>
      </c>
      <c r="UB79" s="680"/>
      <c r="UC79" s="650">
        <v>0.61</v>
      </c>
      <c r="UD79" s="866">
        <f t="shared" si="39"/>
        <v>4.0860534363183172</v>
      </c>
      <c r="UE79" s="866"/>
      <c r="UF79" s="866"/>
      <c r="UG79" s="866"/>
      <c r="UH79" s="866"/>
      <c r="UI79" s="866"/>
      <c r="UJ79" s="866"/>
      <c r="UK79" s="681">
        <f t="shared" si="40"/>
        <v>33.7629515747781</v>
      </c>
      <c r="UL79" s="681"/>
      <c r="UM79" s="681"/>
      <c r="UN79" s="681"/>
      <c r="UO79" s="816">
        <f t="shared" si="41"/>
        <v>0.89204330641927354</v>
      </c>
      <c r="UP79" s="816"/>
      <c r="UQ79" s="816"/>
      <c r="UR79" s="816"/>
      <c r="US79" s="866">
        <f t="shared" si="42"/>
        <v>0.90613473303974679</v>
      </c>
      <c r="UT79" s="866"/>
      <c r="UU79" s="866"/>
      <c r="UV79" s="866"/>
      <c r="UW79" s="866"/>
      <c r="VX79" s="248">
        <v>9</v>
      </c>
      <c r="VY79" s="229"/>
      <c r="WD79" s="825"/>
      <c r="WE79" s="665" t="s">
        <v>442</v>
      </c>
      <c r="WF79" s="666"/>
      <c r="WG79" s="522"/>
      <c r="WH79" s="87"/>
      <c r="WI79" s="87"/>
      <c r="WJ79" s="87"/>
      <c r="WK79" s="87"/>
      <c r="WL79" s="87"/>
      <c r="WM79" s="87"/>
      <c r="WN79" s="522"/>
      <c r="WO79" s="85" t="s">
        <v>467</v>
      </c>
      <c r="WP79" s="757" t="s">
        <v>461</v>
      </c>
      <c r="WQ79" s="758"/>
      <c r="WR79" s="819" t="s">
        <v>126</v>
      </c>
      <c r="WS79" s="820"/>
      <c r="WT79" s="675" t="s">
        <v>731</v>
      </c>
      <c r="WU79" s="676"/>
      <c r="WV79" s="821" t="s">
        <v>473</v>
      </c>
      <c r="WW79" s="822"/>
      <c r="WX79" s="822"/>
      <c r="WY79" s="823"/>
      <c r="WZ79" s="769" t="s">
        <v>462</v>
      </c>
      <c r="XA79" s="769"/>
      <c r="XB79" s="769"/>
      <c r="XC79" s="769"/>
      <c r="XO79" s="827"/>
      <c r="XP79" s="709" t="s">
        <v>1476</v>
      </c>
      <c r="XQ79" s="709"/>
      <c r="XR79" s="828">
        <f>$GT$60</f>
        <v>37.535919540229884</v>
      </c>
      <c r="XS79" s="828"/>
      <c r="XT79" s="944"/>
      <c r="XU79" s="944"/>
      <c r="XV79" s="944"/>
      <c r="XW79" s="944"/>
      <c r="XX79" s="944"/>
      <c r="XY79" s="944"/>
      <c r="XZ79" s="944"/>
      <c r="YA79" s="944"/>
      <c r="YB79" s="1004"/>
      <c r="YC79" s="765"/>
      <c r="YD79" s="766"/>
      <c r="YE79" s="1117"/>
      <c r="YF79" s="1118"/>
      <c r="YG79" s="713"/>
      <c r="YH79" s="718"/>
      <c r="YI79" s="719"/>
      <c r="YJ79" s="747"/>
      <c r="YK79" s="892"/>
      <c r="YL79" s="893"/>
      <c r="YM79" s="894"/>
      <c r="AAD79" s="947"/>
      <c r="AAE79" s="947"/>
      <c r="AAF79" s="947"/>
      <c r="AAG79" s="947"/>
      <c r="AAH79" s="535">
        <v>6</v>
      </c>
      <c r="AAI79" s="956"/>
      <c r="AAJ79" s="957"/>
      <c r="AAK79" s="958">
        <f t="shared" si="59"/>
        <v>0.08</v>
      </c>
      <c r="AAL79" s="959"/>
      <c r="AAN79" s="947"/>
      <c r="AAO79" s="947"/>
      <c r="AAP79" s="947"/>
      <c r="AAQ79" s="947"/>
      <c r="AAR79" s="535">
        <v>66</v>
      </c>
      <c r="AAS79" s="956"/>
      <c r="AAT79" s="957"/>
      <c r="AAU79" s="958">
        <f t="shared" si="60"/>
        <v>0.88</v>
      </c>
      <c r="AAV79" s="959"/>
      <c r="AAX79" s="947"/>
      <c r="AAY79" s="947"/>
      <c r="AAZ79" s="947"/>
      <c r="ABA79" s="947"/>
      <c r="ABB79" s="535">
        <v>126</v>
      </c>
      <c r="ABC79" s="956"/>
      <c r="ABD79" s="957"/>
      <c r="ABE79" s="958">
        <f t="shared" si="61"/>
        <v>1.6800000000000002</v>
      </c>
      <c r="ABF79" s="959"/>
      <c r="ABH79" s="947"/>
      <c r="ABI79" s="947"/>
      <c r="ABJ79" s="947"/>
      <c r="ABK79" s="947"/>
      <c r="ABL79" s="537">
        <v>186</v>
      </c>
      <c r="ABM79" s="956"/>
      <c r="ABN79" s="957"/>
      <c r="ABO79" s="958">
        <f t="shared" si="62"/>
        <v>2.48</v>
      </c>
      <c r="ABP79" s="959"/>
      <c r="ABR79" s="947"/>
      <c r="ABS79" s="947"/>
      <c r="ABT79" s="947"/>
      <c r="ABU79" s="947"/>
      <c r="ABV79" s="537">
        <v>246</v>
      </c>
      <c r="ABW79" s="956"/>
      <c r="ABX79" s="957"/>
      <c r="ABY79" s="958">
        <f t="shared" si="63"/>
        <v>3.2800000000000002</v>
      </c>
      <c r="ABZ79" s="959"/>
      <c r="ADB79" s="1033"/>
      <c r="ADC79" s="1033"/>
      <c r="ADD79" s="184"/>
      <c r="ADE79" s="184"/>
      <c r="ADF79" s="184"/>
      <c r="ADG79" s="184"/>
      <c r="ADH79" s="184"/>
      <c r="ADI79" s="186"/>
      <c r="ADJ79" s="1039"/>
      <c r="ADK79" s="1040"/>
      <c r="ADL79" s="1033"/>
      <c r="ADM79" s="1033"/>
      <c r="ADN79" s="1033"/>
      <c r="ADO79" s="1033"/>
      <c r="ADP79" s="1033"/>
      <c r="ADQ79" s="1033"/>
      <c r="ADR79" s="1033"/>
      <c r="ADS79" s="1033"/>
      <c r="ADT79" s="1033"/>
      <c r="ADU79" s="1033"/>
      <c r="ADV79" s="1033"/>
      <c r="ADW79" s="1033"/>
      <c r="ADX79" s="1073"/>
      <c r="ADY79" s="1073"/>
      <c r="ADZ79" s="1073"/>
      <c r="AEA79" s="1073"/>
      <c r="AEB79" s="1073"/>
      <c r="AEC79" s="1073"/>
      <c r="AED79" s="1073"/>
      <c r="AEE79" s="1073"/>
      <c r="AEF79" s="1073"/>
      <c r="AEG79" s="172"/>
      <c r="AEH79" s="172"/>
      <c r="AEI79" s="172"/>
      <c r="AEJ79" s="172"/>
      <c r="AEK79" s="177"/>
      <c r="AEP79" s="947"/>
      <c r="AEQ79" s="947"/>
      <c r="AER79" s="947"/>
      <c r="AES79" s="947"/>
      <c r="AET79" s="657">
        <v>35</v>
      </c>
      <c r="AEU79" s="956"/>
      <c r="AEV79" s="957"/>
      <c r="AEW79" s="958">
        <f t="shared" si="35"/>
        <v>1.1083333333333334</v>
      </c>
      <c r="AEX79" s="959"/>
      <c r="AEZ79" s="947"/>
      <c r="AFA79" s="947"/>
      <c r="AFB79" s="947"/>
      <c r="AFC79" s="947"/>
      <c r="AFD79" s="657">
        <v>95</v>
      </c>
      <c r="AFE79" s="956"/>
      <c r="AFF79" s="957"/>
      <c r="AFG79" s="958">
        <f t="shared" si="36"/>
        <v>3.0083333333333337</v>
      </c>
      <c r="AFH79" s="959"/>
      <c r="AFJ79" s="947"/>
      <c r="AFK79" s="947"/>
      <c r="AFL79" s="947"/>
      <c r="AFM79" s="947"/>
      <c r="AFN79" s="656">
        <v>155</v>
      </c>
      <c r="AFO79" s="956"/>
      <c r="AFP79" s="957"/>
      <c r="AFQ79" s="958">
        <f t="shared" si="37"/>
        <v>4.9083333333333341</v>
      </c>
      <c r="AFR79" s="959"/>
      <c r="AFT79" s="947"/>
      <c r="AFU79" s="947"/>
      <c r="AFV79" s="947"/>
      <c r="AFW79" s="947"/>
      <c r="AFX79" s="656">
        <v>215</v>
      </c>
      <c r="AFY79" s="956"/>
      <c r="AFZ79" s="957"/>
      <c r="AGA79" s="958"/>
      <c r="AGB79" s="959"/>
      <c r="AGD79" s="947"/>
      <c r="AGE79" s="947"/>
      <c r="AGF79" s="947"/>
      <c r="AGG79" s="947"/>
      <c r="AGH79" s="656">
        <v>275</v>
      </c>
      <c r="AGI79" s="956"/>
      <c r="AGJ79" s="957"/>
      <c r="AGK79" s="958"/>
      <c r="AGL79" s="959"/>
    </row>
    <row r="80" spans="12:982" ht="48" customHeight="1" thickBot="1">
      <c r="N80" s="3"/>
      <c r="O80" s="3"/>
      <c r="P80" s="3"/>
      <c r="Q80" s="3"/>
      <c r="BP80" s="144"/>
      <c r="BQ80" s="144"/>
      <c r="BR80" s="144"/>
      <c r="BS80" s="144"/>
      <c r="BT80" s="144"/>
      <c r="BX80" s="795"/>
      <c r="BY80" s="796"/>
      <c r="BZ80" s="797"/>
      <c r="CA80" s="826"/>
      <c r="CB80" s="731" t="s">
        <v>808</v>
      </c>
      <c r="CC80" s="732"/>
      <c r="CD80" s="732"/>
      <c r="CE80" s="732"/>
      <c r="CF80" s="732"/>
      <c r="CG80" s="732"/>
      <c r="CH80" s="732"/>
      <c r="CI80" s="732"/>
      <c r="CJ80" s="732"/>
      <c r="CK80" s="732"/>
      <c r="CL80" s="732"/>
      <c r="CM80" s="732"/>
      <c r="CN80" s="732"/>
      <c r="CO80" s="808">
        <v>0.95799999999999996</v>
      </c>
      <c r="CP80" s="809"/>
      <c r="CQ80" s="849" t="s">
        <v>762</v>
      </c>
      <c r="CR80" s="850"/>
      <c r="CS80" s="712"/>
      <c r="CT80" s="1483" t="s">
        <v>817</v>
      </c>
      <c r="CU80" s="1484"/>
      <c r="CV80" s="746"/>
      <c r="DC80" s="710">
        <v>-0.70699999999999996</v>
      </c>
      <c r="DD80" s="711"/>
      <c r="DJ80" s="144"/>
      <c r="DK80" s="144"/>
      <c r="DL80" s="144"/>
      <c r="DM80" s="144"/>
      <c r="DN80" s="144"/>
      <c r="DO80" s="144"/>
      <c r="DP80" s="144"/>
      <c r="DQ80" s="144"/>
      <c r="DR80" s="144"/>
      <c r="DS80" s="144"/>
      <c r="DT80" s="144"/>
      <c r="DU80" s="144"/>
      <c r="DV80" s="144"/>
      <c r="DW80" s="144"/>
      <c r="DX80" s="144"/>
      <c r="FF80" s="139"/>
      <c r="FG80" s="139"/>
      <c r="FH80" s="139"/>
      <c r="FI80" s="139"/>
      <c r="FU80" s="139"/>
      <c r="FV80" s="139"/>
      <c r="FW80" s="139"/>
      <c r="FX80" s="139"/>
      <c r="GC80" s="6"/>
      <c r="GD80" s="3"/>
      <c r="GE80" s="3"/>
      <c r="GF80" s="85" t="s">
        <v>839</v>
      </c>
      <c r="GG80" s="665" t="s">
        <v>442</v>
      </c>
      <c r="GH80" s="667"/>
      <c r="GI80" s="254"/>
      <c r="GJ80" s="261" t="s">
        <v>1128</v>
      </c>
      <c r="GK80" s="677">
        <f>$AZ$86</f>
        <v>0.13</v>
      </c>
      <c r="GL80" s="677"/>
      <c r="GM80" s="150"/>
      <c r="GN80" s="87"/>
      <c r="GO80" s="87"/>
      <c r="GP80" s="150"/>
      <c r="GQ80" s="85" t="s">
        <v>467</v>
      </c>
      <c r="GR80" s="757" t="s">
        <v>461</v>
      </c>
      <c r="GS80" s="758"/>
      <c r="GT80" s="1130" t="s">
        <v>126</v>
      </c>
      <c r="GU80" s="1131"/>
      <c r="GV80" s="675" t="s">
        <v>731</v>
      </c>
      <c r="GW80" s="676"/>
      <c r="GX80" s="821" t="s">
        <v>473</v>
      </c>
      <c r="GY80" s="822"/>
      <c r="GZ80" s="822"/>
      <c r="HA80" s="823"/>
      <c r="HB80" s="769" t="s">
        <v>462</v>
      </c>
      <c r="HC80" s="769"/>
      <c r="HD80" s="769"/>
      <c r="HE80" s="769"/>
      <c r="HF80" s="769"/>
      <c r="HG80" s="769"/>
      <c r="IT80" s="202"/>
      <c r="IU80" s="665"/>
      <c r="IV80" s="667"/>
      <c r="IW80" s="202"/>
      <c r="IX80" s="685" t="s">
        <v>77</v>
      </c>
      <c r="IY80" s="686"/>
      <c r="IZ80" s="686"/>
      <c r="JA80" s="686"/>
      <c r="JB80" s="686"/>
      <c r="JC80" s="686"/>
      <c r="JD80" s="686"/>
      <c r="JE80" s="686"/>
      <c r="JF80" s="686"/>
      <c r="JG80" s="686"/>
      <c r="JH80" s="687"/>
      <c r="JI80" s="202"/>
      <c r="LZ80" s="826"/>
      <c r="MA80" s="863" t="s">
        <v>1344</v>
      </c>
      <c r="MB80" s="863"/>
      <c r="MC80" s="739">
        <f>GT115</f>
        <v>405.60779871449159</v>
      </c>
      <c r="MD80" s="739"/>
      <c r="ME80" s="1598" t="s">
        <v>1338</v>
      </c>
      <c r="MF80" s="1598"/>
      <c r="MG80" s="1609"/>
      <c r="MH80" s="1610"/>
      <c r="MI80" s="1610"/>
      <c r="MJ80" s="1610"/>
      <c r="MK80" s="1610"/>
      <c r="ML80" s="1610"/>
      <c r="MM80" s="1611"/>
      <c r="MN80" s="1345"/>
      <c r="MO80" s="1346"/>
      <c r="MP80" s="1347"/>
      <c r="MQ80" s="897"/>
      <c r="MR80" s="898"/>
      <c r="MS80" s="715"/>
      <c r="MT80" s="743"/>
      <c r="MU80" s="745"/>
      <c r="MV80" s="747"/>
      <c r="MW80" s="890"/>
      <c r="MX80" s="841"/>
      <c r="MY80" s="841"/>
      <c r="MZ80" s="841"/>
      <c r="NA80" s="891"/>
      <c r="NB80" s="144"/>
      <c r="NI80" s="1620"/>
      <c r="NJ80" s="1621"/>
      <c r="NK80" s="1621"/>
      <c r="NL80" s="1621"/>
      <c r="NM80" s="1621"/>
      <c r="NN80" s="1621"/>
      <c r="NO80" s="1621"/>
      <c r="NP80" s="1621"/>
      <c r="NQ80" s="1621"/>
      <c r="NR80" s="1621"/>
      <c r="NS80" s="1621"/>
      <c r="NT80" s="1621"/>
      <c r="NU80" s="1621"/>
      <c r="NV80" s="1621"/>
      <c r="NW80" s="1621"/>
      <c r="NX80" s="1621"/>
      <c r="NY80" s="1621"/>
      <c r="NZ80" s="1621"/>
      <c r="OA80" s="1621"/>
      <c r="OB80" s="1621"/>
      <c r="OC80" s="1621"/>
      <c r="OD80" s="1622"/>
      <c r="PJ80" s="826"/>
      <c r="PK80" s="696" t="s">
        <v>1719</v>
      </c>
      <c r="PL80" s="697"/>
      <c r="PM80" s="677">
        <f>$QA$89</f>
        <v>2.5</v>
      </c>
      <c r="PN80" s="677"/>
      <c r="PO80" s="701" t="s">
        <v>182</v>
      </c>
      <c r="PP80" s="701"/>
      <c r="PQ80" s="704"/>
      <c r="PR80" s="704"/>
      <c r="PS80" s="704"/>
      <c r="PT80" s="701"/>
      <c r="PU80" s="701"/>
      <c r="PV80" s="701"/>
      <c r="PW80" s="702"/>
      <c r="PX80" s="763">
        <f>0.5*PM80*((PR79*PO79)/10000)^1.5*(PM81*PM82*1000)^2</f>
        <v>617.57470435316327</v>
      </c>
      <c r="PY80" s="764"/>
      <c r="PZ80" s="759" t="s">
        <v>3</v>
      </c>
      <c r="QA80" s="760"/>
      <c r="QB80" s="978"/>
      <c r="QC80" s="993" t="s">
        <v>1722</v>
      </c>
      <c r="QD80" s="993"/>
      <c r="QE80" s="993"/>
      <c r="QF80" s="993"/>
      <c r="QG80" s="1085"/>
      <c r="QH80" s="767"/>
      <c r="QI80" s="767"/>
      <c r="QJ80" s="767"/>
      <c r="QK80" s="767"/>
      <c r="QL80" s="767"/>
      <c r="QM80" s="767"/>
      <c r="QN80" s="767"/>
      <c r="QO80" s="767"/>
      <c r="QP80" s="767"/>
      <c r="QQ80" s="767"/>
      <c r="QR80" s="767"/>
      <c r="QS80" s="767"/>
      <c r="QT80" s="767"/>
      <c r="QU80" s="767"/>
      <c r="RC80" s="369">
        <v>62</v>
      </c>
      <c r="RD80" s="668">
        <v>6.2E-2</v>
      </c>
      <c r="RE80" s="669"/>
      <c r="RF80" s="670">
        <f t="shared" si="30"/>
        <v>10.984382736303154</v>
      </c>
      <c r="RG80" s="670"/>
      <c r="RH80" s="670"/>
      <c r="RI80" s="670"/>
      <c r="RJ80" s="698">
        <f t="shared" si="12"/>
        <v>30</v>
      </c>
      <c r="RK80" s="699"/>
      <c r="RL80" s="726"/>
      <c r="RM80" s="670">
        <f t="shared" si="13"/>
        <v>11.1728839065196</v>
      </c>
      <c r="RN80" s="670"/>
      <c r="RO80" s="670"/>
      <c r="RP80" s="670"/>
      <c r="RQ80" s="670"/>
      <c r="RR80" s="670"/>
      <c r="RS80" s="671">
        <f t="shared" si="38"/>
        <v>1.560804663639157</v>
      </c>
      <c r="RT80" s="671"/>
      <c r="RU80" s="671"/>
      <c r="RV80" s="671"/>
      <c r="RW80" s="671"/>
      <c r="RX80" s="671"/>
      <c r="RY80" s="681">
        <f t="shared" si="14"/>
        <v>11.281376067953873</v>
      </c>
      <c r="RZ80" s="681"/>
      <c r="SA80" s="681"/>
      <c r="SB80" s="681"/>
      <c r="SC80" s="681">
        <f>'Вывод расчетов'!$AQ$6/RY80</f>
        <v>33.683834109514031</v>
      </c>
      <c r="SD80" s="681"/>
      <c r="SE80" s="681"/>
      <c r="SF80" s="681"/>
      <c r="SG80" s="867">
        <f t="shared" si="31"/>
        <v>0.99038307376859291</v>
      </c>
      <c r="SH80" s="867"/>
      <c r="SI80" s="867"/>
      <c r="SJ80" s="867"/>
      <c r="SK80" s="865">
        <f t="shared" si="16"/>
        <v>0.13835232991415058</v>
      </c>
      <c r="SL80" s="865"/>
      <c r="SM80" s="865"/>
      <c r="SN80" s="865"/>
      <c r="SO80" s="692">
        <f t="shared" si="26"/>
        <v>33.710221602823125</v>
      </c>
      <c r="SP80" s="693"/>
      <c r="SQ80" s="693"/>
      <c r="SR80" s="693"/>
      <c r="SS80" s="694"/>
      <c r="ST80" s="668">
        <f t="shared" si="24"/>
        <v>15.642313691488997</v>
      </c>
      <c r="SU80" s="678"/>
      <c r="SV80" s="678"/>
      <c r="SW80" s="678"/>
      <c r="SX80" s="678"/>
      <c r="SY80" s="669"/>
      <c r="SZ80" s="682">
        <f t="shared" si="19"/>
        <v>37.16262932213472</v>
      </c>
      <c r="TA80" s="683"/>
      <c r="TB80" s="683"/>
      <c r="TC80" s="683"/>
      <c r="TD80" s="683"/>
      <c r="TE80" s="684"/>
      <c r="TF80" s="682">
        <f>'Вывод расчетов'!$XC$174*SC80</f>
        <v>34.220269992020086</v>
      </c>
      <c r="TG80" s="683"/>
      <c r="TH80" s="684"/>
      <c r="TI80" s="681">
        <f t="shared" si="58"/>
        <v>38.42965262721836</v>
      </c>
      <c r="TJ80" s="681"/>
      <c r="TK80" s="681"/>
      <c r="TL80" s="681"/>
      <c r="TM80" s="685">
        <f t="shared" si="21"/>
        <v>0.76875200325950288</v>
      </c>
      <c r="TN80" s="686"/>
      <c r="TO80" s="686"/>
      <c r="TP80" s="687"/>
      <c r="TQ80" s="688">
        <f t="shared" si="22"/>
        <v>2.3180971913383002</v>
      </c>
      <c r="TR80" s="688"/>
      <c r="TS80" s="688"/>
      <c r="TT80" s="688"/>
      <c r="TU80" s="689">
        <f t="shared" si="27"/>
        <v>0.21807146824884521</v>
      </c>
      <c r="TV80" s="690"/>
      <c r="TW80" s="690"/>
      <c r="TX80" s="690"/>
      <c r="TY80" s="690"/>
      <c r="TZ80" s="691"/>
      <c r="UA80" s="679">
        <v>6.2E-2</v>
      </c>
      <c r="UB80" s="680"/>
      <c r="UC80" s="650">
        <v>0.62</v>
      </c>
      <c r="UD80" s="866">
        <f t="shared" si="39"/>
        <v>4.1852074786740614</v>
      </c>
      <c r="UE80" s="866"/>
      <c r="UF80" s="866"/>
      <c r="UG80" s="866"/>
      <c r="UH80" s="866"/>
      <c r="UI80" s="866"/>
      <c r="UJ80" s="866"/>
      <c r="UK80" s="681">
        <f t="shared" si="40"/>
        <v>34.244445148544301</v>
      </c>
      <c r="UL80" s="681"/>
      <c r="UM80" s="681"/>
      <c r="UN80" s="681"/>
      <c r="UO80" s="816">
        <f t="shared" si="41"/>
        <v>0.89109431929369487</v>
      </c>
      <c r="UP80" s="816"/>
      <c r="UQ80" s="816"/>
      <c r="UR80" s="816"/>
      <c r="US80" s="866">
        <f t="shared" si="42"/>
        <v>0.90710001465759371</v>
      </c>
      <c r="UT80" s="866"/>
      <c r="UU80" s="866"/>
      <c r="UV80" s="866"/>
      <c r="UW80" s="866"/>
      <c r="VX80" s="229"/>
      <c r="VY80" s="229"/>
      <c r="WD80" s="826"/>
      <c r="WE80" s="523"/>
      <c r="WF80" s="739"/>
      <c r="WG80" s="739"/>
      <c r="WH80" s="939" t="s">
        <v>1768</v>
      </c>
      <c r="WI80" s="940"/>
      <c r="WJ80" s="940"/>
      <c r="WK80" s="940"/>
      <c r="WL80" s="940"/>
      <c r="WM80" s="940"/>
      <c r="WN80" s="940"/>
      <c r="WO80" s="940"/>
      <c r="WP80" s="940"/>
      <c r="WQ80" s="1003"/>
      <c r="WR80" s="763">
        <f>WR72^2</f>
        <v>1.0321048617733104</v>
      </c>
      <c r="WS80" s="764"/>
      <c r="WT80" s="917" t="s">
        <v>415</v>
      </c>
      <c r="WU80" s="896"/>
      <c r="WV80" s="712"/>
      <c r="WW80" s="952" t="s">
        <v>1766</v>
      </c>
      <c r="WX80" s="953"/>
      <c r="WY80" s="746"/>
      <c r="WZ80" s="890"/>
      <c r="XA80" s="841"/>
      <c r="XB80" s="841"/>
      <c r="XC80" s="891"/>
      <c r="AAD80" s="947"/>
      <c r="AAE80" s="947"/>
      <c r="AAF80" s="947"/>
      <c r="AAG80" s="947"/>
      <c r="AAH80" s="535">
        <v>7</v>
      </c>
      <c r="AAI80" s="956"/>
      <c r="AAJ80" s="957"/>
      <c r="AAK80" s="958">
        <f t="shared" si="59"/>
        <v>9.3333333333333338E-2</v>
      </c>
      <c r="AAL80" s="959"/>
      <c r="AAN80" s="947"/>
      <c r="AAO80" s="947"/>
      <c r="AAP80" s="947"/>
      <c r="AAQ80" s="947"/>
      <c r="AAR80" s="535">
        <v>67</v>
      </c>
      <c r="AAS80" s="956"/>
      <c r="AAT80" s="957"/>
      <c r="AAU80" s="958">
        <f t="shared" si="60"/>
        <v>0.89333333333333342</v>
      </c>
      <c r="AAV80" s="959"/>
      <c r="AAX80" s="947"/>
      <c r="AAY80" s="947"/>
      <c r="AAZ80" s="947"/>
      <c r="ABA80" s="947"/>
      <c r="ABB80" s="535">
        <v>127</v>
      </c>
      <c r="ABC80" s="956"/>
      <c r="ABD80" s="957"/>
      <c r="ABE80" s="958">
        <f t="shared" si="61"/>
        <v>1.6933333333333334</v>
      </c>
      <c r="ABF80" s="959"/>
      <c r="ABH80" s="947"/>
      <c r="ABI80" s="947"/>
      <c r="ABJ80" s="947"/>
      <c r="ABK80" s="947"/>
      <c r="ABL80" s="537">
        <v>187</v>
      </c>
      <c r="ABM80" s="956"/>
      <c r="ABN80" s="957"/>
      <c r="ABO80" s="958">
        <f t="shared" si="62"/>
        <v>2.4933333333333336</v>
      </c>
      <c r="ABP80" s="959"/>
      <c r="ABR80" s="947"/>
      <c r="ABS80" s="947"/>
      <c r="ABT80" s="947"/>
      <c r="ABU80" s="947"/>
      <c r="ABV80" s="537">
        <v>247</v>
      </c>
      <c r="ABW80" s="956"/>
      <c r="ABX80" s="957"/>
      <c r="ABY80" s="958">
        <f t="shared" si="63"/>
        <v>3.2933333333333334</v>
      </c>
      <c r="ABZ80" s="959"/>
      <c r="ADB80" s="1033">
        <v>19</v>
      </c>
      <c r="ADC80" s="1033"/>
      <c r="ADD80" s="182"/>
      <c r="ADE80" s="182"/>
      <c r="ADF80" s="182"/>
      <c r="ADG80" s="182"/>
      <c r="ADH80" s="182"/>
      <c r="ADI80" s="185"/>
      <c r="ADJ80" s="1071"/>
      <c r="ADK80" s="1071"/>
      <c r="ADL80" s="1052"/>
      <c r="ADM80" s="1052"/>
      <c r="ADN80" s="1052"/>
      <c r="ADO80" s="1052"/>
      <c r="ADP80" s="1052"/>
      <c r="ADQ80" s="1052"/>
      <c r="ADR80" s="1052"/>
      <c r="ADS80" s="1052"/>
      <c r="ADT80" s="1052"/>
      <c r="ADU80" s="1052"/>
      <c r="ADV80" s="1052"/>
      <c r="ADW80" s="1052"/>
      <c r="ADX80" s="181"/>
      <c r="ADY80" s="182"/>
      <c r="ADZ80" s="182"/>
      <c r="AEA80" s="182"/>
      <c r="AEB80" s="182"/>
      <c r="AEC80" s="182"/>
      <c r="AED80" s="182"/>
      <c r="AEE80" s="182"/>
      <c r="AEF80" s="182"/>
      <c r="AEG80" s="182"/>
      <c r="AEH80" s="182"/>
      <c r="AEI80" s="182"/>
      <c r="AEJ80" s="182"/>
      <c r="AEK80" s="185"/>
      <c r="AEN80" s="144"/>
      <c r="AEO80" s="144"/>
      <c r="AEP80" s="947"/>
      <c r="AEQ80" s="947"/>
      <c r="AER80" s="947"/>
      <c r="AES80" s="947"/>
      <c r="AET80" s="657">
        <v>36</v>
      </c>
      <c r="AEU80" s="956"/>
      <c r="AEV80" s="957"/>
      <c r="AEW80" s="958">
        <f t="shared" si="35"/>
        <v>1.1400000000000001</v>
      </c>
      <c r="AEX80" s="959"/>
      <c r="AEZ80" s="947"/>
      <c r="AFA80" s="947"/>
      <c r="AFB80" s="947"/>
      <c r="AFC80" s="947"/>
      <c r="AFD80" s="657">
        <v>96</v>
      </c>
      <c r="AFE80" s="956"/>
      <c r="AFF80" s="957"/>
      <c r="AFG80" s="958">
        <f t="shared" si="36"/>
        <v>3.04</v>
      </c>
      <c r="AFH80" s="959"/>
      <c r="AFJ80" s="947"/>
      <c r="AFK80" s="947"/>
      <c r="AFL80" s="947"/>
      <c r="AFM80" s="947"/>
      <c r="AFN80" s="656">
        <v>156</v>
      </c>
      <c r="AFO80" s="956"/>
      <c r="AFP80" s="957"/>
      <c r="AFQ80" s="958">
        <f t="shared" si="37"/>
        <v>4.9400000000000004</v>
      </c>
      <c r="AFR80" s="959"/>
      <c r="AFT80" s="947"/>
      <c r="AFU80" s="947"/>
      <c r="AFV80" s="947"/>
      <c r="AFW80" s="947"/>
      <c r="AFX80" s="656">
        <v>216</v>
      </c>
      <c r="AFY80" s="956"/>
      <c r="AFZ80" s="957"/>
      <c r="AGA80" s="958"/>
      <c r="AGB80" s="959"/>
      <c r="AGD80" s="947"/>
      <c r="AGE80" s="947"/>
      <c r="AGF80" s="947"/>
      <c r="AGG80" s="947"/>
      <c r="AGH80" s="656">
        <v>276</v>
      </c>
      <c r="AGI80" s="956"/>
      <c r="AGJ80" s="957"/>
      <c r="AGK80" s="958"/>
      <c r="AGL80" s="959"/>
      <c r="AIO80" s="216"/>
      <c r="AIP80" s="665" t="s">
        <v>950</v>
      </c>
      <c r="AIQ80" s="667"/>
      <c r="AIR80" s="216"/>
      <c r="AIS80" s="728" t="s">
        <v>162</v>
      </c>
      <c r="AIT80" s="1053"/>
      <c r="AIU80" s="1053"/>
      <c r="AIV80" s="1053"/>
      <c r="AIW80" s="1053"/>
      <c r="AIX80" s="1053"/>
      <c r="AIY80" s="1053"/>
      <c r="AIZ80" s="1053"/>
      <c r="AJA80" s="1053"/>
      <c r="AJB80" s="1053"/>
      <c r="AJC80" s="1054"/>
      <c r="AJD80" s="216"/>
    </row>
    <row r="81" spans="14:964" ht="48" customHeight="1" thickBot="1">
      <c r="N81" s="3"/>
      <c r="O81" s="3"/>
      <c r="P81" s="3"/>
      <c r="Q81" s="3"/>
      <c r="AI81" s="85" t="s">
        <v>839</v>
      </c>
      <c r="AJ81" s="695" t="s">
        <v>442</v>
      </c>
      <c r="AK81" s="695"/>
      <c r="AL81" s="135"/>
      <c r="AM81" s="87"/>
      <c r="AN81" s="87"/>
      <c r="AO81" s="87"/>
      <c r="AP81" s="87"/>
      <c r="AQ81" s="87"/>
      <c r="AR81" s="87"/>
      <c r="AS81" s="135"/>
      <c r="AT81" s="85" t="s">
        <v>467</v>
      </c>
      <c r="AU81" s="757" t="s">
        <v>461</v>
      </c>
      <c r="AV81" s="758"/>
      <c r="AW81" s="819" t="s">
        <v>126</v>
      </c>
      <c r="AX81" s="820"/>
      <c r="AY81" s="675" t="s">
        <v>731</v>
      </c>
      <c r="AZ81" s="676"/>
      <c r="BA81" s="821" t="s">
        <v>473</v>
      </c>
      <c r="BB81" s="822"/>
      <c r="BC81" s="822"/>
      <c r="BD81" s="823"/>
      <c r="BE81" s="821" t="s">
        <v>1363</v>
      </c>
      <c r="BF81" s="822"/>
      <c r="BG81" s="822"/>
      <c r="BH81" s="823"/>
      <c r="BI81" s="769" t="s">
        <v>472</v>
      </c>
      <c r="BJ81" s="769"/>
      <c r="BK81" s="769"/>
      <c r="BL81" s="769"/>
      <c r="BM81" s="769"/>
      <c r="BN81" s="769"/>
      <c r="BP81" s="144"/>
      <c r="BQ81" s="144"/>
      <c r="BR81" s="144"/>
      <c r="BS81" s="144"/>
      <c r="BT81" s="144"/>
      <c r="BX81" s="798"/>
      <c r="BY81" s="799"/>
      <c r="BZ81" s="800"/>
      <c r="CA81" s="827"/>
      <c r="CB81" s="734"/>
      <c r="CC81" s="735"/>
      <c r="CD81" s="735"/>
      <c r="CE81" s="735"/>
      <c r="CF81" s="735"/>
      <c r="CG81" s="735"/>
      <c r="CH81" s="735"/>
      <c r="CI81" s="735"/>
      <c r="CJ81" s="735"/>
      <c r="CK81" s="735"/>
      <c r="CL81" s="735"/>
      <c r="CM81" s="735"/>
      <c r="CN81" s="735"/>
      <c r="CO81" s="810"/>
      <c r="CP81" s="811"/>
      <c r="CQ81" s="851"/>
      <c r="CR81" s="852"/>
      <c r="CS81" s="713"/>
      <c r="CT81" s="1485"/>
      <c r="CU81" s="1486"/>
      <c r="CV81" s="747"/>
      <c r="DC81" s="710">
        <v>-0.96599999999999997</v>
      </c>
      <c r="DD81" s="711"/>
      <c r="DJ81" s="144"/>
      <c r="DK81" s="144"/>
      <c r="DL81" s="144"/>
      <c r="DM81" s="144"/>
      <c r="DN81" s="144"/>
      <c r="DO81" s="144"/>
      <c r="DP81" s="144"/>
      <c r="DQ81" s="144"/>
      <c r="DR81" s="144"/>
      <c r="DS81" s="144"/>
      <c r="DT81" s="144"/>
      <c r="DU81" s="144"/>
      <c r="DV81" s="144"/>
      <c r="DW81" s="144"/>
      <c r="DX81" s="144"/>
      <c r="DZ81" s="85" t="s">
        <v>839</v>
      </c>
      <c r="EA81" s="665" t="s">
        <v>442</v>
      </c>
      <c r="EB81" s="666"/>
      <c r="EC81" s="233"/>
      <c r="ED81" s="696" t="s">
        <v>1171</v>
      </c>
      <c r="EE81" s="697"/>
      <c r="EF81" s="677">
        <f>$ER$45</f>
        <v>4</v>
      </c>
      <c r="EG81" s="677"/>
      <c r="EH81" s="87"/>
      <c r="EI81" s="595"/>
      <c r="EJ81" s="233"/>
      <c r="EK81" s="85" t="s">
        <v>467</v>
      </c>
      <c r="EL81" s="757" t="s">
        <v>461</v>
      </c>
      <c r="EM81" s="758"/>
      <c r="EN81" s="819" t="s">
        <v>126</v>
      </c>
      <c r="EO81" s="820"/>
      <c r="EP81" s="675" t="s">
        <v>731</v>
      </c>
      <c r="EQ81" s="676"/>
      <c r="ER81" s="769" t="s">
        <v>473</v>
      </c>
      <c r="ES81" s="769"/>
      <c r="ET81" s="769"/>
      <c r="EU81" s="769"/>
      <c r="EV81" s="769"/>
      <c r="EW81" s="769" t="s">
        <v>462</v>
      </c>
      <c r="EX81" s="769"/>
      <c r="EY81" s="769"/>
      <c r="EZ81" s="769"/>
      <c r="FA81" s="769"/>
      <c r="FB81" s="769"/>
      <c r="FC81" s="769"/>
      <c r="FD81" s="769"/>
      <c r="FE81" s="769"/>
      <c r="FF81" s="769"/>
      <c r="FG81" s="769"/>
      <c r="FH81" s="769"/>
      <c r="FI81" s="769"/>
      <c r="FU81" s="139"/>
      <c r="FV81" s="139"/>
      <c r="FW81" s="139"/>
      <c r="FX81" s="139"/>
      <c r="GC81" s="6"/>
      <c r="GD81" s="3"/>
      <c r="GE81" s="3"/>
      <c r="GF81" s="825"/>
      <c r="GG81" s="259" t="s">
        <v>1169</v>
      </c>
      <c r="GH81" s="677">
        <f>$CL$92</f>
        <v>0.75945292831578104</v>
      </c>
      <c r="GI81" s="677"/>
      <c r="GJ81" s="269" t="s">
        <v>1190</v>
      </c>
      <c r="GK81" s="1129">
        <f>$EQ$16</f>
        <v>1.85</v>
      </c>
      <c r="GL81" s="1129"/>
      <c r="GM81" s="700" t="s">
        <v>1215</v>
      </c>
      <c r="GN81" s="701"/>
      <c r="GO81" s="701"/>
      <c r="GP81" s="701"/>
      <c r="GQ81" s="701"/>
      <c r="GR81" s="701"/>
      <c r="GS81" s="701"/>
      <c r="GT81" s="1087">
        <f>(CL92*GT32*1000*AW82)/(EQ16*AW82*EQ37)</f>
        <v>3.8167608251202525</v>
      </c>
      <c r="GU81" s="1006"/>
      <c r="GV81" s="1203" t="s">
        <v>50</v>
      </c>
      <c r="GW81" s="1063"/>
      <c r="GX81" s="714"/>
      <c r="GY81" s="1365" t="s">
        <v>1214</v>
      </c>
      <c r="GZ81" s="1366"/>
      <c r="HA81" s="746"/>
      <c r="HB81" s="767"/>
      <c r="HC81" s="767"/>
      <c r="HD81" s="767"/>
      <c r="HE81" s="767"/>
      <c r="HF81" s="767"/>
      <c r="HG81" s="767"/>
      <c r="LZ81" s="827"/>
      <c r="MA81" s="949" t="s">
        <v>1180</v>
      </c>
      <c r="MB81" s="962"/>
      <c r="MC81" s="883">
        <f>$GW$24</f>
        <v>58</v>
      </c>
      <c r="MD81" s="883"/>
      <c r="ME81" s="1615" t="s">
        <v>758</v>
      </c>
      <c r="MF81" s="1616"/>
      <c r="MG81" s="1612"/>
      <c r="MH81" s="1613"/>
      <c r="MI81" s="1613"/>
      <c r="MJ81" s="1613"/>
      <c r="MK81" s="1613"/>
      <c r="ML81" s="1613"/>
      <c r="MM81" s="1614"/>
      <c r="MN81" s="1022"/>
      <c r="MO81" s="1023"/>
      <c r="MP81" s="1023"/>
      <c r="MQ81" s="1023"/>
      <c r="MR81" s="1023"/>
      <c r="MS81" s="1023"/>
      <c r="MT81" s="1023"/>
      <c r="MU81" s="1023"/>
      <c r="MV81" s="1024"/>
      <c r="MW81" s="892"/>
      <c r="MX81" s="893"/>
      <c r="MY81" s="893"/>
      <c r="MZ81" s="893"/>
      <c r="NA81" s="894"/>
      <c r="NB81" s="144"/>
      <c r="NI81" s="1623"/>
      <c r="NJ81" s="1624"/>
      <c r="NK81" s="1624"/>
      <c r="NL81" s="1624"/>
      <c r="NM81" s="1624"/>
      <c r="NN81" s="1624"/>
      <c r="NO81" s="1624"/>
      <c r="NP81" s="1624"/>
      <c r="NQ81" s="1624"/>
      <c r="NR81" s="1624"/>
      <c r="NS81" s="1624"/>
      <c r="NT81" s="1624"/>
      <c r="NU81" s="1624"/>
      <c r="NV81" s="1624"/>
      <c r="NW81" s="1624"/>
      <c r="NX81" s="1624"/>
      <c r="NY81" s="1624"/>
      <c r="NZ81" s="1624"/>
      <c r="OA81" s="1624"/>
      <c r="OB81" s="1624"/>
      <c r="OC81" s="1624"/>
      <c r="OD81" s="1625"/>
      <c r="PJ81" s="826"/>
      <c r="PK81" s="863" t="s">
        <v>1743</v>
      </c>
      <c r="PL81" s="863"/>
      <c r="PM81" s="739">
        <f>$PX$85</f>
        <v>0.24536171530202153</v>
      </c>
      <c r="PN81" s="739"/>
      <c r="PO81" s="704"/>
      <c r="PP81" s="704"/>
      <c r="PQ81" s="704"/>
      <c r="PR81" s="704"/>
      <c r="PS81" s="704"/>
      <c r="PT81" s="704"/>
      <c r="PU81" s="704"/>
      <c r="PV81" s="704"/>
      <c r="PW81" s="705"/>
      <c r="PX81" s="765"/>
      <c r="PY81" s="766"/>
      <c r="PZ81" s="761"/>
      <c r="QA81" s="762"/>
      <c r="QB81" s="979"/>
      <c r="QC81" s="994"/>
      <c r="QD81" s="994"/>
      <c r="QE81" s="994"/>
      <c r="QF81" s="994"/>
      <c r="QG81" s="1086"/>
      <c r="QH81" s="767"/>
      <c r="QI81" s="767"/>
      <c r="QJ81" s="767"/>
      <c r="QK81" s="767"/>
      <c r="QL81" s="767"/>
      <c r="QM81" s="767"/>
      <c r="QN81" s="767"/>
      <c r="QO81" s="767"/>
      <c r="QP81" s="767"/>
      <c r="QQ81" s="767"/>
      <c r="QR81" s="767"/>
      <c r="QS81" s="767"/>
      <c r="QT81" s="767"/>
      <c r="QU81" s="767"/>
      <c r="RC81" s="369">
        <v>63</v>
      </c>
      <c r="RD81" s="668">
        <v>6.3E-2</v>
      </c>
      <c r="RE81" s="669"/>
      <c r="RF81" s="670">
        <f t="shared" si="30"/>
        <v>10.810027454774533</v>
      </c>
      <c r="RG81" s="670"/>
      <c r="RH81" s="670"/>
      <c r="RI81" s="670"/>
      <c r="RJ81" s="698">
        <f t="shared" si="12"/>
        <v>30</v>
      </c>
      <c r="RK81" s="699"/>
      <c r="RL81" s="726"/>
      <c r="RM81" s="670">
        <f t="shared" si="13"/>
        <v>10.998528624990978</v>
      </c>
      <c r="RN81" s="670"/>
      <c r="RO81" s="670"/>
      <c r="RP81" s="670"/>
      <c r="RQ81" s="670"/>
      <c r="RR81" s="670"/>
      <c r="RS81" s="671">
        <f t="shared" si="38"/>
        <v>1.560804663639157</v>
      </c>
      <c r="RT81" s="671"/>
      <c r="RU81" s="671"/>
      <c r="RV81" s="671"/>
      <c r="RW81" s="671"/>
      <c r="RX81" s="671"/>
      <c r="RY81" s="681">
        <f t="shared" si="14"/>
        <v>11.108723739151301</v>
      </c>
      <c r="RZ81" s="681"/>
      <c r="SA81" s="681"/>
      <c r="SB81" s="681"/>
      <c r="SC81" s="681">
        <f>'Вывод расчетов'!$AQ$6/RY81</f>
        <v>34.207349910119532</v>
      </c>
      <c r="SD81" s="681"/>
      <c r="SE81" s="681"/>
      <c r="SF81" s="681"/>
      <c r="SG81" s="867">
        <f t="shared" si="31"/>
        <v>0.99008030834613758</v>
      </c>
      <c r="SH81" s="867"/>
      <c r="SI81" s="867"/>
      <c r="SJ81" s="867"/>
      <c r="SK81" s="865">
        <f t="shared" si="16"/>
        <v>0.14050260860645017</v>
      </c>
      <c r="SL81" s="865"/>
      <c r="SM81" s="865"/>
      <c r="SN81" s="865"/>
      <c r="SO81" s="692">
        <f t="shared" si="26"/>
        <v>34.218345987846618</v>
      </c>
      <c r="SP81" s="693"/>
      <c r="SQ81" s="693"/>
      <c r="SR81" s="693"/>
      <c r="SS81" s="694"/>
      <c r="ST81" s="668">
        <f t="shared" si="24"/>
        <v>15.788298657881407</v>
      </c>
      <c r="SU81" s="678"/>
      <c r="SV81" s="678"/>
      <c r="SW81" s="678"/>
      <c r="SX81" s="678"/>
      <c r="SY81" s="669"/>
      <c r="SZ81" s="682">
        <f t="shared" si="19"/>
        <v>37.685084272884922</v>
      </c>
      <c r="TA81" s="683"/>
      <c r="TB81" s="683"/>
      <c r="TC81" s="683"/>
      <c r="TD81" s="683"/>
      <c r="TE81" s="684"/>
      <c r="TF81" s="682">
        <f>'Вывод расчетов'!$XC$174*SC81</f>
        <v>34.75212310540271</v>
      </c>
      <c r="TG81" s="683"/>
      <c r="TH81" s="684"/>
      <c r="TI81" s="681">
        <f t="shared" si="58"/>
        <v>39.008914426145147</v>
      </c>
      <c r="TJ81" s="681"/>
      <c r="TK81" s="681"/>
      <c r="TL81" s="681"/>
      <c r="TM81" s="685">
        <f t="shared" si="21"/>
        <v>0.79051911369425898</v>
      </c>
      <c r="TN81" s="686"/>
      <c r="TO81" s="686"/>
      <c r="TP81" s="687"/>
      <c r="TQ81" s="688">
        <f t="shared" si="22"/>
        <v>2.390713100291384</v>
      </c>
      <c r="TR81" s="688"/>
      <c r="TS81" s="688"/>
      <c r="TT81" s="688"/>
      <c r="TU81" s="689">
        <f t="shared" si="27"/>
        <v>0.2242461327855432</v>
      </c>
      <c r="TV81" s="690"/>
      <c r="TW81" s="690"/>
      <c r="TX81" s="690"/>
      <c r="TY81" s="690"/>
      <c r="TZ81" s="691"/>
      <c r="UA81" s="756">
        <v>6.3E-2</v>
      </c>
      <c r="UB81" s="756"/>
      <c r="UC81" s="650">
        <v>0.63</v>
      </c>
      <c r="UD81" s="866">
        <f t="shared" si="39"/>
        <v>4.2857651625986</v>
      </c>
      <c r="UE81" s="866"/>
      <c r="UF81" s="866"/>
      <c r="UG81" s="866"/>
      <c r="UH81" s="866"/>
      <c r="UI81" s="866"/>
      <c r="UJ81" s="866"/>
      <c r="UK81" s="681">
        <f t="shared" si="40"/>
        <v>34.723149263546546</v>
      </c>
      <c r="UL81" s="681"/>
      <c r="UM81" s="681"/>
      <c r="UN81" s="681"/>
      <c r="UO81" s="816">
        <f t="shared" si="41"/>
        <v>0.8901336982675393</v>
      </c>
      <c r="UP81" s="816"/>
      <c r="UQ81" s="816"/>
      <c r="UR81" s="816"/>
      <c r="US81" s="866">
        <f t="shared" si="42"/>
        <v>0.90800768123709141</v>
      </c>
      <c r="UT81" s="866"/>
      <c r="UU81" s="866"/>
      <c r="UV81" s="866"/>
      <c r="UW81" s="866"/>
      <c r="VX81" s="229"/>
      <c r="VY81" s="229"/>
      <c r="WD81" s="827"/>
      <c r="WE81" s="524"/>
      <c r="WF81" s="828"/>
      <c r="WG81" s="828"/>
      <c r="WH81" s="943"/>
      <c r="WI81" s="944"/>
      <c r="WJ81" s="944"/>
      <c r="WK81" s="944"/>
      <c r="WL81" s="944"/>
      <c r="WM81" s="944"/>
      <c r="WN81" s="944"/>
      <c r="WO81" s="944"/>
      <c r="WP81" s="944"/>
      <c r="WQ81" s="1004"/>
      <c r="WR81" s="765"/>
      <c r="WS81" s="766"/>
      <c r="WT81" s="918"/>
      <c r="WU81" s="898"/>
      <c r="WV81" s="713"/>
      <c r="WW81" s="954"/>
      <c r="WX81" s="955"/>
      <c r="WY81" s="747"/>
      <c r="WZ81" s="892"/>
      <c r="XA81" s="893"/>
      <c r="XB81" s="893"/>
      <c r="XC81" s="894"/>
      <c r="XQ81" s="216"/>
      <c r="XR81" s="665" t="s">
        <v>929</v>
      </c>
      <c r="XS81" s="667"/>
      <c r="XT81" s="216"/>
      <c r="XU81" s="728" t="s">
        <v>1116</v>
      </c>
      <c r="XV81" s="1053"/>
      <c r="XW81" s="1053"/>
      <c r="XX81" s="1053"/>
      <c r="XY81" s="1053"/>
      <c r="XZ81" s="1053"/>
      <c r="YA81" s="1053"/>
      <c r="YB81" s="1053"/>
      <c r="YC81" s="1053"/>
      <c r="YD81" s="1053"/>
      <c r="YE81" s="1054"/>
      <c r="YF81" s="216"/>
      <c r="YY81" s="144"/>
      <c r="YZ81" s="144"/>
      <c r="ZA81" s="144"/>
      <c r="AAD81" s="947"/>
      <c r="AAE81" s="947"/>
      <c r="AAF81" s="947"/>
      <c r="AAG81" s="947"/>
      <c r="AAH81" s="535">
        <v>8</v>
      </c>
      <c r="AAI81" s="956"/>
      <c r="AAJ81" s="957"/>
      <c r="AAK81" s="958">
        <f t="shared" si="59"/>
        <v>0.10666666666666667</v>
      </c>
      <c r="AAL81" s="959"/>
      <c r="AAN81" s="947"/>
      <c r="AAO81" s="947"/>
      <c r="AAP81" s="947"/>
      <c r="AAQ81" s="947"/>
      <c r="AAR81" s="535">
        <v>68</v>
      </c>
      <c r="AAS81" s="956"/>
      <c r="AAT81" s="957"/>
      <c r="AAU81" s="958">
        <f t="shared" si="60"/>
        <v>0.90666666666666673</v>
      </c>
      <c r="AAV81" s="959"/>
      <c r="AAX81" s="947"/>
      <c r="AAY81" s="947"/>
      <c r="AAZ81" s="947"/>
      <c r="ABA81" s="947"/>
      <c r="ABB81" s="535">
        <v>128</v>
      </c>
      <c r="ABC81" s="956"/>
      <c r="ABD81" s="957"/>
      <c r="ABE81" s="958">
        <f t="shared" si="61"/>
        <v>1.7066666666666668</v>
      </c>
      <c r="ABF81" s="959"/>
      <c r="ABH81" s="947"/>
      <c r="ABI81" s="947"/>
      <c r="ABJ81" s="947"/>
      <c r="ABK81" s="947"/>
      <c r="ABL81" s="537">
        <v>188</v>
      </c>
      <c r="ABM81" s="956"/>
      <c r="ABN81" s="957"/>
      <c r="ABO81" s="958">
        <f t="shared" si="62"/>
        <v>2.5066666666666668</v>
      </c>
      <c r="ABP81" s="959"/>
      <c r="ABR81" s="947"/>
      <c r="ABS81" s="947"/>
      <c r="ABT81" s="947"/>
      <c r="ABU81" s="947"/>
      <c r="ABV81" s="537">
        <v>248</v>
      </c>
      <c r="ABW81" s="956"/>
      <c r="ABX81" s="957"/>
      <c r="ABY81" s="958">
        <f t="shared" si="63"/>
        <v>3.3066666666666671</v>
      </c>
      <c r="ABZ81" s="959"/>
      <c r="ADB81" s="1033"/>
      <c r="ADC81" s="1033"/>
      <c r="ADD81" s="187"/>
      <c r="ADE81" s="187"/>
      <c r="ADF81" s="187"/>
      <c r="ADG81" s="187"/>
      <c r="ADH81" s="187"/>
      <c r="ADI81" s="188"/>
      <c r="ADJ81" s="1071"/>
      <c r="ADK81" s="1071"/>
      <c r="ADL81" s="1052"/>
      <c r="ADM81" s="1052"/>
      <c r="ADN81" s="1052"/>
      <c r="ADO81" s="1052"/>
      <c r="ADP81" s="1052"/>
      <c r="ADQ81" s="1052"/>
      <c r="ADR81" s="1052"/>
      <c r="ADS81" s="1052"/>
      <c r="ADT81" s="1052"/>
      <c r="ADU81" s="1052"/>
      <c r="ADV81" s="1052"/>
      <c r="ADW81" s="1052"/>
      <c r="ADX81" s="192"/>
      <c r="ADY81" s="187"/>
      <c r="ADZ81" s="187"/>
      <c r="AEA81" s="187"/>
      <c r="AEB81" s="187"/>
      <c r="AEC81" s="187"/>
      <c r="AED81" s="187"/>
      <c r="AEE81" s="187"/>
      <c r="AEF81" s="187"/>
      <c r="AEG81" s="187"/>
      <c r="AEH81" s="187"/>
      <c r="AEI81" s="187"/>
      <c r="AEJ81" s="187"/>
      <c r="AEK81" s="188"/>
      <c r="AEN81" s="144"/>
      <c r="AEO81" s="144"/>
      <c r="AEP81" s="947"/>
      <c r="AEQ81" s="947"/>
      <c r="AER81" s="947"/>
      <c r="AES81" s="947"/>
      <c r="AET81" s="657">
        <v>37</v>
      </c>
      <c r="AEU81" s="956"/>
      <c r="AEV81" s="957"/>
      <c r="AEW81" s="958">
        <f t="shared" si="35"/>
        <v>1.1716666666666669</v>
      </c>
      <c r="AEX81" s="959"/>
      <c r="AEZ81" s="947"/>
      <c r="AFA81" s="947"/>
      <c r="AFB81" s="947"/>
      <c r="AFC81" s="947"/>
      <c r="AFD81" s="657">
        <v>97</v>
      </c>
      <c r="AFE81" s="956"/>
      <c r="AFF81" s="957"/>
      <c r="AFG81" s="958">
        <f t="shared" si="36"/>
        <v>3.0716666666666668</v>
      </c>
      <c r="AFH81" s="959"/>
      <c r="AFJ81" s="947"/>
      <c r="AFK81" s="947"/>
      <c r="AFL81" s="947"/>
      <c r="AFM81" s="947"/>
      <c r="AFN81" s="656">
        <v>157</v>
      </c>
      <c r="AFO81" s="956"/>
      <c r="AFP81" s="957"/>
      <c r="AFQ81" s="958">
        <f t="shared" si="37"/>
        <v>4.9716666666666667</v>
      </c>
      <c r="AFR81" s="959"/>
      <c r="AFT81" s="947"/>
      <c r="AFU81" s="947"/>
      <c r="AFV81" s="947"/>
      <c r="AFW81" s="947"/>
      <c r="AFX81" s="656">
        <v>217</v>
      </c>
      <c r="AFY81" s="956"/>
      <c r="AFZ81" s="957"/>
      <c r="AGA81" s="958"/>
      <c r="AGB81" s="959"/>
      <c r="AGD81" s="947"/>
      <c r="AGE81" s="947"/>
      <c r="AGF81" s="947"/>
      <c r="AGG81" s="947"/>
      <c r="AGH81" s="656">
        <v>277</v>
      </c>
      <c r="AGI81" s="956"/>
      <c r="AGJ81" s="957"/>
      <c r="AGK81" s="958"/>
      <c r="AGL81" s="959"/>
    </row>
    <row r="82" spans="14:964" ht="48" customHeight="1" thickBot="1">
      <c r="N82" s="3"/>
      <c r="O82" s="3"/>
      <c r="P82" s="3"/>
      <c r="Q82" s="3"/>
      <c r="AI82" s="825"/>
      <c r="AJ82" s="731" t="s">
        <v>19</v>
      </c>
      <c r="AK82" s="732"/>
      <c r="AL82" s="732"/>
      <c r="AM82" s="732"/>
      <c r="AN82" s="732"/>
      <c r="AO82" s="732"/>
      <c r="AP82" s="732"/>
      <c r="AQ82" s="732"/>
      <c r="AR82" s="732"/>
      <c r="AS82" s="732"/>
      <c r="AT82" s="732"/>
      <c r="AU82" s="732"/>
      <c r="AV82" s="732"/>
      <c r="AW82" s="1087">
        <f>AW42/(AX74*AW34^2*AW78*AZ69*AZ62*AZ58)</f>
        <v>0.12568147373069677</v>
      </c>
      <c r="AX82" s="1006"/>
      <c r="AY82" s="1211" t="s">
        <v>737</v>
      </c>
      <c r="AZ82" s="1212"/>
      <c r="BA82" s="712"/>
      <c r="BB82" s="740" t="s">
        <v>763</v>
      </c>
      <c r="BC82" s="742"/>
      <c r="BD82" s="746"/>
      <c r="BE82" s="746"/>
      <c r="BF82" s="740" t="s">
        <v>1782</v>
      </c>
      <c r="BG82" s="742"/>
      <c r="BH82" s="746"/>
      <c r="BI82" s="767"/>
      <c r="BJ82" s="767"/>
      <c r="BK82" s="767"/>
      <c r="BL82" s="767"/>
      <c r="BM82" s="767"/>
      <c r="BN82" s="767"/>
      <c r="BP82" s="144"/>
      <c r="BQ82" s="144"/>
      <c r="BR82" s="144"/>
      <c r="BS82" s="144"/>
      <c r="BT82" s="144"/>
      <c r="DZ82" s="825"/>
      <c r="EA82" s="696" t="s">
        <v>1649</v>
      </c>
      <c r="EB82" s="697"/>
      <c r="EC82" s="677">
        <f>$ER$41</f>
        <v>1</v>
      </c>
      <c r="ED82" s="698"/>
      <c r="EE82" s="700" t="s">
        <v>1205</v>
      </c>
      <c r="EF82" s="701"/>
      <c r="EG82" s="701"/>
      <c r="EH82" s="701"/>
      <c r="EI82" s="701"/>
      <c r="EJ82" s="701"/>
      <c r="EK82" s="701"/>
      <c r="EL82" s="701"/>
      <c r="EM82" s="702"/>
      <c r="EN82" s="1087">
        <f>EC84-(EC82+(EC83-EF81)/2)</f>
        <v>22.538160557818728</v>
      </c>
      <c r="EO82" s="1006"/>
      <c r="EP82" s="759" t="s">
        <v>50</v>
      </c>
      <c r="EQ82" s="760"/>
      <c r="ER82" s="1309"/>
      <c r="ES82" s="1092" t="s">
        <v>1821</v>
      </c>
      <c r="ET82" s="1092"/>
      <c r="EU82" s="1092"/>
      <c r="EV82" s="1085"/>
      <c r="EW82" s="767"/>
      <c r="EX82" s="767"/>
      <c r="EY82" s="767"/>
      <c r="EZ82" s="767"/>
      <c r="FA82" s="767"/>
      <c r="FB82" s="767"/>
      <c r="FC82" s="767"/>
      <c r="FD82" s="767"/>
      <c r="FE82" s="767"/>
      <c r="FF82" s="767"/>
      <c r="FG82" s="767"/>
      <c r="FH82" s="767"/>
      <c r="FI82" s="767"/>
      <c r="FU82" s="139"/>
      <c r="FV82" s="139"/>
      <c r="FW82" s="139"/>
      <c r="FX82" s="139"/>
      <c r="GC82" s="6"/>
      <c r="GD82" s="3"/>
      <c r="GE82" s="3"/>
      <c r="GF82" s="827"/>
      <c r="GG82" s="263" t="s">
        <v>1129</v>
      </c>
      <c r="GH82" s="828">
        <f>$GT$32</f>
        <v>9.0185672413793123E-3</v>
      </c>
      <c r="GI82" s="828"/>
      <c r="GJ82" s="263" t="s">
        <v>1124</v>
      </c>
      <c r="GK82" s="672">
        <f>$EQ$37</f>
        <v>0.97</v>
      </c>
      <c r="GL82" s="672"/>
      <c r="GM82" s="706"/>
      <c r="GN82" s="707"/>
      <c r="GO82" s="707"/>
      <c r="GP82" s="707"/>
      <c r="GQ82" s="707"/>
      <c r="GR82" s="707"/>
      <c r="GS82" s="707"/>
      <c r="GT82" s="1089"/>
      <c r="GU82" s="708"/>
      <c r="GV82" s="1204"/>
      <c r="GW82" s="1065"/>
      <c r="GX82" s="715"/>
      <c r="GY82" s="1320"/>
      <c r="GZ82" s="1367"/>
      <c r="HA82" s="747"/>
      <c r="HB82" s="768"/>
      <c r="HC82" s="768"/>
      <c r="HD82" s="768"/>
      <c r="HE82" s="768"/>
      <c r="HF82" s="768"/>
      <c r="HG82" s="768"/>
      <c r="IR82" s="85" t="s">
        <v>839</v>
      </c>
      <c r="IS82" s="665" t="s">
        <v>442</v>
      </c>
      <c r="IT82" s="667"/>
      <c r="IU82" s="245"/>
      <c r="IV82" s="696" t="s">
        <v>1584</v>
      </c>
      <c r="IW82" s="720"/>
      <c r="IX82" s="677">
        <f>$GT$101</f>
        <v>10.65</v>
      </c>
      <c r="IY82" s="677"/>
      <c r="IZ82" s="150"/>
      <c r="JA82" s="87"/>
      <c r="JB82" s="150"/>
      <c r="JC82" s="85" t="s">
        <v>467</v>
      </c>
      <c r="JD82" s="757" t="s">
        <v>461</v>
      </c>
      <c r="JE82" s="899"/>
      <c r="JF82" s="819" t="s">
        <v>126</v>
      </c>
      <c r="JG82" s="820"/>
      <c r="JH82" s="675" t="s">
        <v>731</v>
      </c>
      <c r="JI82" s="676"/>
      <c r="JJ82" s="821" t="s">
        <v>473</v>
      </c>
      <c r="JK82" s="822"/>
      <c r="JL82" s="822"/>
      <c r="JM82" s="823"/>
      <c r="JN82" s="769" t="s">
        <v>462</v>
      </c>
      <c r="JO82" s="769"/>
      <c r="JP82" s="769"/>
      <c r="JQ82" s="769"/>
      <c r="JR82" s="769"/>
      <c r="JS82" s="769"/>
      <c r="PJ82" s="827"/>
      <c r="PK82" s="949" t="s">
        <v>1125</v>
      </c>
      <c r="PL82" s="962"/>
      <c r="PM82" s="828">
        <f>$CL$40</f>
        <v>1.6231421212121216E-2</v>
      </c>
      <c r="PN82" s="828"/>
      <c r="PO82" s="707"/>
      <c r="PP82" s="707"/>
      <c r="PQ82" s="707"/>
      <c r="PR82" s="707"/>
      <c r="PS82" s="707"/>
      <c r="PT82" s="707"/>
      <c r="PU82" s="707"/>
      <c r="PV82" s="707"/>
      <c r="PW82" s="708"/>
      <c r="PX82" s="1012"/>
      <c r="PY82" s="1013"/>
      <c r="PZ82" s="1013"/>
      <c r="QA82" s="1013"/>
      <c r="QB82" s="1013"/>
      <c r="QC82" s="1013"/>
      <c r="QD82" s="1013"/>
      <c r="QE82" s="1013"/>
      <c r="QF82" s="1013"/>
      <c r="QG82" s="1014"/>
      <c r="QH82" s="1150"/>
      <c r="QI82" s="768"/>
      <c r="QJ82" s="768"/>
      <c r="QK82" s="768"/>
      <c r="QL82" s="768"/>
      <c r="QM82" s="768"/>
      <c r="QN82" s="768"/>
      <c r="QO82" s="768"/>
      <c r="QP82" s="768"/>
      <c r="QQ82" s="768"/>
      <c r="QR82" s="768"/>
      <c r="QS82" s="768"/>
      <c r="QT82" s="768"/>
      <c r="QU82" s="768"/>
      <c r="RC82" s="369">
        <v>64</v>
      </c>
      <c r="RD82" s="668">
        <v>6.4000000000000001E-2</v>
      </c>
      <c r="RE82" s="669"/>
      <c r="RF82" s="670">
        <f t="shared" si="30"/>
        <v>10.641120775793679</v>
      </c>
      <c r="RG82" s="670"/>
      <c r="RH82" s="670"/>
      <c r="RI82" s="670"/>
      <c r="RJ82" s="698">
        <f t="shared" si="12"/>
        <v>30</v>
      </c>
      <c r="RK82" s="699"/>
      <c r="RL82" s="726"/>
      <c r="RM82" s="670">
        <f t="shared" si="13"/>
        <v>10.829621946010125</v>
      </c>
      <c r="RN82" s="670"/>
      <c r="RO82" s="670"/>
      <c r="RP82" s="670"/>
      <c r="RQ82" s="670"/>
      <c r="RR82" s="670"/>
      <c r="RS82" s="671">
        <f t="shared" si="38"/>
        <v>1.560804663639157</v>
      </c>
      <c r="RT82" s="671"/>
      <c r="RU82" s="671"/>
      <c r="RV82" s="671"/>
      <c r="RW82" s="671"/>
      <c r="RX82" s="671"/>
      <c r="RY82" s="681">
        <f t="shared" si="14"/>
        <v>10.941518299191474</v>
      </c>
      <c r="RZ82" s="681"/>
      <c r="SA82" s="681"/>
      <c r="SB82" s="681"/>
      <c r="SC82" s="681">
        <f>'Вывод расчетов'!$AQ$6/RY82</f>
        <v>34.730097744120229</v>
      </c>
      <c r="SD82" s="681"/>
      <c r="SE82" s="681"/>
      <c r="SF82" s="681"/>
      <c r="SG82" s="867">
        <f t="shared" si="31"/>
        <v>0.98977323346526624</v>
      </c>
      <c r="SH82" s="867"/>
      <c r="SI82" s="867"/>
      <c r="SJ82" s="867"/>
      <c r="SK82" s="865">
        <f t="shared" si="16"/>
        <v>0.14264973296754374</v>
      </c>
      <c r="SL82" s="865"/>
      <c r="SM82" s="865"/>
      <c r="SN82" s="865"/>
      <c r="SO82" s="692">
        <f t="shared" si="26"/>
        <v>34.725243583893878</v>
      </c>
      <c r="SP82" s="693"/>
      <c r="SQ82" s="693"/>
      <c r="SR82" s="693"/>
      <c r="SS82" s="694"/>
      <c r="ST82" s="668">
        <f t="shared" si="24"/>
        <v>15.936315931131439</v>
      </c>
      <c r="SU82" s="678"/>
      <c r="SV82" s="678"/>
      <c r="SW82" s="678"/>
      <c r="SX82" s="678"/>
      <c r="SY82" s="669"/>
      <c r="SZ82" s="682">
        <f t="shared" si="19"/>
        <v>38.207443089241089</v>
      </c>
      <c r="TA82" s="683"/>
      <c r="TB82" s="683"/>
      <c r="TC82" s="683"/>
      <c r="TD82" s="683"/>
      <c r="TE82" s="684"/>
      <c r="TF82" s="682">
        <f>'Вывод расчетов'!$XC$174*SC82</f>
        <v>35.283196021837568</v>
      </c>
      <c r="TG82" s="683"/>
      <c r="TH82" s="684"/>
      <c r="TI82" s="681">
        <f t="shared" si="58"/>
        <v>39.586777685639021</v>
      </c>
      <c r="TJ82" s="681"/>
      <c r="TK82" s="681"/>
      <c r="TL82" s="681"/>
      <c r="TM82" s="685">
        <f t="shared" si="21"/>
        <v>0.81258601427974109</v>
      </c>
      <c r="TN82" s="686"/>
      <c r="TO82" s="686"/>
      <c r="TP82" s="687"/>
      <c r="TQ82" s="688">
        <f t="shared" si="22"/>
        <v>2.4643399202539</v>
      </c>
      <c r="TR82" s="688"/>
      <c r="TS82" s="688"/>
      <c r="TT82" s="688"/>
      <c r="TU82" s="689">
        <f t="shared" si="27"/>
        <v>0.23050583863342894</v>
      </c>
      <c r="TV82" s="690"/>
      <c r="TW82" s="690"/>
      <c r="TX82" s="690"/>
      <c r="TY82" s="690"/>
      <c r="TZ82" s="691"/>
      <c r="UA82" s="679">
        <v>6.4000000000000001E-2</v>
      </c>
      <c r="UB82" s="680"/>
      <c r="UC82" s="650">
        <v>0.64</v>
      </c>
      <c r="UD82" s="866">
        <f t="shared" si="39"/>
        <v>4.3877185889944839</v>
      </c>
      <c r="UE82" s="866"/>
      <c r="UF82" s="866"/>
      <c r="UG82" s="866"/>
      <c r="UH82" s="866"/>
      <c r="UI82" s="866"/>
      <c r="UJ82" s="866"/>
      <c r="UK82" s="681">
        <f t="shared" si="40"/>
        <v>35.19905909664454</v>
      </c>
      <c r="UL82" s="681"/>
      <c r="UM82" s="681"/>
      <c r="UN82" s="681"/>
      <c r="UO82" s="816">
        <f t="shared" si="41"/>
        <v>0.88916201707960119</v>
      </c>
      <c r="UP82" s="816"/>
      <c r="UQ82" s="816"/>
      <c r="UR82" s="816"/>
      <c r="US82" s="866">
        <f t="shared" si="42"/>
        <v>0.90886070294696664</v>
      </c>
      <c r="UT82" s="866"/>
      <c r="UU82" s="866"/>
      <c r="UV82" s="866"/>
      <c r="UW82" s="866"/>
      <c r="XC82" s="144"/>
      <c r="XD82" s="144"/>
      <c r="YX82" s="144"/>
      <c r="YY82" s="144"/>
      <c r="YZ82" s="144"/>
      <c r="ZA82" s="144"/>
      <c r="AAD82" s="947"/>
      <c r="AAE82" s="947"/>
      <c r="AAF82" s="947"/>
      <c r="AAG82" s="947"/>
      <c r="AAH82" s="535">
        <v>9</v>
      </c>
      <c r="AAI82" s="956"/>
      <c r="AAJ82" s="957"/>
      <c r="AAK82" s="958">
        <f t="shared" si="59"/>
        <v>0.12000000000000001</v>
      </c>
      <c r="AAL82" s="959"/>
      <c r="AAN82" s="947"/>
      <c r="AAO82" s="947"/>
      <c r="AAP82" s="947"/>
      <c r="AAQ82" s="947"/>
      <c r="AAR82" s="535">
        <v>69</v>
      </c>
      <c r="AAS82" s="956"/>
      <c r="AAT82" s="957"/>
      <c r="AAU82" s="958">
        <f t="shared" si="60"/>
        <v>0.92</v>
      </c>
      <c r="AAV82" s="959"/>
      <c r="AAX82" s="947"/>
      <c r="AAY82" s="947"/>
      <c r="AAZ82" s="947"/>
      <c r="ABA82" s="947"/>
      <c r="ABB82" s="535">
        <v>129</v>
      </c>
      <c r="ABC82" s="956"/>
      <c r="ABD82" s="957"/>
      <c r="ABE82" s="958">
        <f t="shared" si="61"/>
        <v>1.7200000000000002</v>
      </c>
      <c r="ABF82" s="959"/>
      <c r="ABH82" s="947"/>
      <c r="ABI82" s="947"/>
      <c r="ABJ82" s="947"/>
      <c r="ABK82" s="947"/>
      <c r="ABL82" s="537">
        <v>189</v>
      </c>
      <c r="ABM82" s="956"/>
      <c r="ABN82" s="957"/>
      <c r="ABO82" s="958">
        <f t="shared" si="62"/>
        <v>2.52</v>
      </c>
      <c r="ABP82" s="959"/>
      <c r="ABR82" s="947"/>
      <c r="ABS82" s="947"/>
      <c r="ABT82" s="947"/>
      <c r="ABU82" s="947"/>
      <c r="ABV82" s="537">
        <v>249</v>
      </c>
      <c r="ABW82" s="956"/>
      <c r="ABX82" s="957"/>
      <c r="ABY82" s="958">
        <f t="shared" si="63"/>
        <v>3.3200000000000003</v>
      </c>
      <c r="ABZ82" s="959"/>
      <c r="ADB82" s="1033"/>
      <c r="ADC82" s="1033"/>
      <c r="ADD82" s="187"/>
      <c r="ADE82" s="187"/>
      <c r="ADF82" s="187"/>
      <c r="ADG82" s="187"/>
      <c r="ADH82" s="187"/>
      <c r="ADI82" s="188"/>
      <c r="ADJ82" s="1071"/>
      <c r="ADK82" s="1071"/>
      <c r="ADL82" s="1052"/>
      <c r="ADM82" s="1052"/>
      <c r="ADN82" s="1052"/>
      <c r="ADO82" s="1052"/>
      <c r="ADP82" s="1052"/>
      <c r="ADQ82" s="1052"/>
      <c r="ADR82" s="1052"/>
      <c r="ADS82" s="1052"/>
      <c r="ADT82" s="1052"/>
      <c r="ADU82" s="1052"/>
      <c r="ADV82" s="1052"/>
      <c r="ADW82" s="1052"/>
      <c r="ADX82" s="192"/>
      <c r="ADY82" s="187"/>
      <c r="ADZ82" s="187"/>
      <c r="AEA82" s="187"/>
      <c r="AEB82" s="187"/>
      <c r="AEC82" s="187"/>
      <c r="AED82" s="187"/>
      <c r="AEE82" s="187"/>
      <c r="AEF82" s="187"/>
      <c r="AEG82" s="187"/>
      <c r="AEH82" s="187"/>
      <c r="AEI82" s="187"/>
      <c r="AEJ82" s="187"/>
      <c r="AEK82" s="188"/>
      <c r="AEL82" s="144"/>
      <c r="AEM82" s="144"/>
      <c r="AEN82" s="144"/>
      <c r="AEO82" s="144"/>
      <c r="AEP82" s="947"/>
      <c r="AEQ82" s="947"/>
      <c r="AER82" s="947"/>
      <c r="AES82" s="947"/>
      <c r="AET82" s="657">
        <v>38</v>
      </c>
      <c r="AEU82" s="956"/>
      <c r="AEV82" s="957"/>
      <c r="AEW82" s="958">
        <f t="shared" si="35"/>
        <v>1.2033333333333334</v>
      </c>
      <c r="AEX82" s="959"/>
      <c r="AEZ82" s="947"/>
      <c r="AFA82" s="947"/>
      <c r="AFB82" s="947"/>
      <c r="AFC82" s="947"/>
      <c r="AFD82" s="657">
        <v>98</v>
      </c>
      <c r="AFE82" s="956"/>
      <c r="AFF82" s="957"/>
      <c r="AFG82" s="958">
        <f t="shared" si="36"/>
        <v>3.1033333333333335</v>
      </c>
      <c r="AFH82" s="959"/>
      <c r="AFJ82" s="947"/>
      <c r="AFK82" s="947"/>
      <c r="AFL82" s="947"/>
      <c r="AFM82" s="947"/>
      <c r="AFN82" s="656">
        <v>158</v>
      </c>
      <c r="AFO82" s="956"/>
      <c r="AFP82" s="957"/>
      <c r="AFQ82" s="958">
        <f t="shared" si="37"/>
        <v>5.0033333333333339</v>
      </c>
      <c r="AFR82" s="959"/>
      <c r="AFT82" s="947"/>
      <c r="AFU82" s="947"/>
      <c r="AFV82" s="947"/>
      <c r="AFW82" s="947"/>
      <c r="AFX82" s="656">
        <v>218</v>
      </c>
      <c r="AFY82" s="956"/>
      <c r="AFZ82" s="957"/>
      <c r="AGA82" s="958"/>
      <c r="AGB82" s="959"/>
      <c r="AGD82" s="947"/>
      <c r="AGE82" s="947"/>
      <c r="AGF82" s="947"/>
      <c r="AGG82" s="947"/>
      <c r="AGH82" s="656">
        <v>278</v>
      </c>
      <c r="AGI82" s="956"/>
      <c r="AGJ82" s="957"/>
      <c r="AGK82" s="958"/>
      <c r="AGL82" s="959"/>
      <c r="AIM82" s="825"/>
      <c r="AIN82" s="665" t="s">
        <v>442</v>
      </c>
      <c r="AIO82" s="666"/>
      <c r="AIP82" s="450"/>
      <c r="AIQ82" s="87"/>
      <c r="AIR82" s="87"/>
      <c r="AIS82" s="87"/>
      <c r="AIT82" s="87"/>
      <c r="AIU82" s="87"/>
      <c r="AIV82" s="87"/>
      <c r="AIW82" s="450"/>
      <c r="AIX82" s="85" t="s">
        <v>467</v>
      </c>
      <c r="AIY82" s="757" t="s">
        <v>461</v>
      </c>
      <c r="AIZ82" s="758"/>
      <c r="AJA82" s="819" t="s">
        <v>126</v>
      </c>
      <c r="AJB82" s="820"/>
      <c r="AJC82" s="675" t="s">
        <v>731</v>
      </c>
      <c r="AJD82" s="676"/>
      <c r="AJE82" s="821" t="s">
        <v>473</v>
      </c>
      <c r="AJF82" s="822"/>
      <c r="AJG82" s="822"/>
      <c r="AJH82" s="822"/>
      <c r="AJI82" s="769" t="s">
        <v>462</v>
      </c>
      <c r="AJJ82" s="769"/>
      <c r="AJK82" s="769"/>
      <c r="AJL82" s="769"/>
      <c r="AJM82" s="769"/>
      <c r="AJN82" s="769"/>
      <c r="AJO82" s="769"/>
      <c r="AJP82" s="769"/>
      <c r="AJQ82" s="769"/>
      <c r="AJR82" s="769"/>
      <c r="AJS82" s="769"/>
      <c r="AJT82" s="769"/>
    </row>
    <row r="83" spans="14:964" ht="48" customHeight="1" thickBot="1">
      <c r="N83" s="3"/>
      <c r="O83" s="3"/>
      <c r="P83" s="3"/>
      <c r="Q83" s="3"/>
      <c r="AI83" s="827"/>
      <c r="AJ83" s="734"/>
      <c r="AK83" s="735"/>
      <c r="AL83" s="735"/>
      <c r="AM83" s="735"/>
      <c r="AN83" s="735"/>
      <c r="AO83" s="735"/>
      <c r="AP83" s="735"/>
      <c r="AQ83" s="735"/>
      <c r="AR83" s="735"/>
      <c r="AS83" s="735"/>
      <c r="AT83" s="735"/>
      <c r="AU83" s="735"/>
      <c r="AV83" s="735"/>
      <c r="AW83" s="1089"/>
      <c r="AX83" s="708"/>
      <c r="AY83" s="1215"/>
      <c r="AZ83" s="1216"/>
      <c r="BA83" s="713"/>
      <c r="BB83" s="743"/>
      <c r="BC83" s="745"/>
      <c r="BD83" s="747"/>
      <c r="BE83" s="747"/>
      <c r="BF83" s="743"/>
      <c r="BG83" s="745"/>
      <c r="BH83" s="747"/>
      <c r="BI83" s="768"/>
      <c r="BJ83" s="768"/>
      <c r="BK83" s="768"/>
      <c r="BL83" s="768"/>
      <c r="BM83" s="768"/>
      <c r="BN83" s="768"/>
      <c r="BP83" s="144"/>
      <c r="BQ83" s="144"/>
      <c r="BR83" s="144"/>
      <c r="BS83" s="144"/>
      <c r="BT83" s="144"/>
      <c r="BX83" s="825"/>
      <c r="BY83" s="665" t="s">
        <v>26</v>
      </c>
      <c r="BZ83" s="666"/>
      <c r="CA83" s="146"/>
      <c r="CB83" s="87"/>
      <c r="CC83" s="87"/>
      <c r="CD83" s="87"/>
      <c r="CE83" s="87"/>
      <c r="CF83" s="87"/>
      <c r="CG83" s="87"/>
      <c r="CH83" s="146"/>
      <c r="CI83" s="85" t="s">
        <v>467</v>
      </c>
      <c r="CJ83" s="757" t="s">
        <v>461</v>
      </c>
      <c r="CK83" s="758"/>
      <c r="CL83" s="774" t="s">
        <v>126</v>
      </c>
      <c r="CM83" s="776"/>
      <c r="CN83" s="675" t="s">
        <v>731</v>
      </c>
      <c r="CO83" s="676"/>
      <c r="CP83" s="821" t="s">
        <v>473</v>
      </c>
      <c r="CQ83" s="822"/>
      <c r="CR83" s="822"/>
      <c r="CS83" s="823"/>
      <c r="DZ83" s="826"/>
      <c r="EA83" s="696" t="s">
        <v>1164</v>
      </c>
      <c r="EB83" s="697"/>
      <c r="EC83" s="698">
        <f>$EQ$67</f>
        <v>10.3</v>
      </c>
      <c r="ED83" s="699"/>
      <c r="EE83" s="703"/>
      <c r="EF83" s="704"/>
      <c r="EG83" s="704"/>
      <c r="EH83" s="704"/>
      <c r="EI83" s="704"/>
      <c r="EJ83" s="704"/>
      <c r="EK83" s="704"/>
      <c r="EL83" s="704"/>
      <c r="EM83" s="705"/>
      <c r="EN83" s="1089"/>
      <c r="EO83" s="708"/>
      <c r="EP83" s="761"/>
      <c r="EQ83" s="762"/>
      <c r="ER83" s="1309"/>
      <c r="ES83" s="1092"/>
      <c r="ET83" s="1092"/>
      <c r="EU83" s="1092"/>
      <c r="EV83" s="1085"/>
      <c r="EW83" s="767"/>
      <c r="EX83" s="767"/>
      <c r="EY83" s="767"/>
      <c r="EZ83" s="767"/>
      <c r="FA83" s="767"/>
      <c r="FB83" s="767"/>
      <c r="FC83" s="767"/>
      <c r="FD83" s="767"/>
      <c r="FE83" s="767"/>
      <c r="FF83" s="767"/>
      <c r="FG83" s="767"/>
      <c r="FH83" s="767"/>
      <c r="FI83" s="767"/>
      <c r="FJ83" s="139"/>
      <c r="FT83" s="139"/>
      <c r="FU83" s="139"/>
      <c r="FV83" s="139"/>
      <c r="FW83" s="139"/>
      <c r="FX83" s="139"/>
      <c r="GC83" s="6"/>
      <c r="GD83" s="3"/>
      <c r="GE83" s="3"/>
      <c r="IR83" s="825"/>
      <c r="IS83" s="246" t="s">
        <v>474</v>
      </c>
      <c r="IT83" s="724">
        <f>$AW$12</f>
        <v>1</v>
      </c>
      <c r="IU83" s="724"/>
      <c r="IV83" s="939" t="s">
        <v>1172</v>
      </c>
      <c r="IW83" s="940"/>
      <c r="IX83" s="940"/>
      <c r="IY83" s="940"/>
      <c r="IZ83" s="940"/>
      <c r="JA83" s="940"/>
      <c r="JB83" s="940"/>
      <c r="JC83" s="940"/>
      <c r="JD83" s="940"/>
      <c r="JE83" s="1003"/>
      <c r="JF83" s="763">
        <f>((2+AW12)/(3.2*AW12))*((GT28*1000/2)-GT101)</f>
        <v>68.102343750000003</v>
      </c>
      <c r="JG83" s="764"/>
      <c r="JH83" s="759" t="s">
        <v>50</v>
      </c>
      <c r="JI83" s="760"/>
      <c r="JJ83" s="712"/>
      <c r="JK83" s="716" t="s">
        <v>1156</v>
      </c>
      <c r="JL83" s="717"/>
      <c r="JM83" s="746"/>
      <c r="JN83" s="767"/>
      <c r="JO83" s="767"/>
      <c r="JP83" s="767"/>
      <c r="JQ83" s="767"/>
      <c r="JR83" s="767"/>
      <c r="JS83" s="767"/>
      <c r="MB83" s="213"/>
      <c r="MC83" s="665" t="s">
        <v>909</v>
      </c>
      <c r="MD83" s="666"/>
      <c r="ME83" s="213"/>
      <c r="MF83" s="685" t="s">
        <v>90</v>
      </c>
      <c r="MG83" s="686"/>
      <c r="MH83" s="686"/>
      <c r="MI83" s="686"/>
      <c r="MJ83" s="686"/>
      <c r="MK83" s="686"/>
      <c r="ML83" s="686"/>
      <c r="MM83" s="686"/>
      <c r="MN83" s="686"/>
      <c r="MO83" s="686"/>
      <c r="MP83" s="687"/>
      <c r="MQ83" s="213"/>
      <c r="QS83" s="144"/>
      <c r="QT83" s="144"/>
      <c r="QU83" s="144"/>
      <c r="RC83" s="369">
        <v>65</v>
      </c>
      <c r="RD83" s="668">
        <v>6.5000000000000002E-2</v>
      </c>
      <c r="RE83" s="669"/>
      <c r="RF83" s="670">
        <f t="shared" si="30"/>
        <v>10.477411225396853</v>
      </c>
      <c r="RG83" s="670"/>
      <c r="RH83" s="670"/>
      <c r="RI83" s="670"/>
      <c r="RJ83" s="698">
        <f t="shared" si="12"/>
        <v>30</v>
      </c>
      <c r="RK83" s="699"/>
      <c r="RL83" s="726"/>
      <c r="RM83" s="670">
        <f t="shared" si="13"/>
        <v>10.665912395613299</v>
      </c>
      <c r="RN83" s="670"/>
      <c r="RO83" s="670"/>
      <c r="RP83" s="670"/>
      <c r="RQ83" s="670"/>
      <c r="RR83" s="670"/>
      <c r="RS83" s="671">
        <f t="shared" ref="RS83:RS118" si="64">$XC$194+$WR$88*$XC$170/RD83</f>
        <v>1.560804663639157</v>
      </c>
      <c r="RT83" s="671"/>
      <c r="RU83" s="671"/>
      <c r="RV83" s="671"/>
      <c r="RW83" s="671"/>
      <c r="RX83" s="671"/>
      <c r="RY83" s="681">
        <f t="shared" si="14"/>
        <v>10.779508264709255</v>
      </c>
      <c r="RZ83" s="681"/>
      <c r="SA83" s="681"/>
      <c r="SB83" s="681"/>
      <c r="SC83" s="681">
        <f>'Вывод расчетов'!$AQ$6/RY83</f>
        <v>35.252071863432946</v>
      </c>
      <c r="SD83" s="681"/>
      <c r="SE83" s="681"/>
      <c r="SF83" s="681"/>
      <c r="SG83" s="867">
        <f t="shared" si="31"/>
        <v>0.98946186910326372</v>
      </c>
      <c r="SH83" s="867"/>
      <c r="SI83" s="867"/>
      <c r="SJ83" s="867"/>
      <c r="SK83" s="865">
        <f t="shared" si="16"/>
        <v>0.14479367938786539</v>
      </c>
      <c r="SL83" s="865"/>
      <c r="SM83" s="865"/>
      <c r="SN83" s="865"/>
      <c r="SO83" s="692">
        <f t="shared" si="26"/>
        <v>35.230903356886181</v>
      </c>
      <c r="SP83" s="693"/>
      <c r="SQ83" s="693"/>
      <c r="SR83" s="693"/>
      <c r="SS83" s="694"/>
      <c r="ST83" s="668">
        <f t="shared" si="24"/>
        <v>16.086353953147896</v>
      </c>
      <c r="SU83" s="678"/>
      <c r="SV83" s="678"/>
      <c r="SW83" s="678"/>
      <c r="SX83" s="678"/>
      <c r="SY83" s="669"/>
      <c r="SZ83" s="682">
        <f t="shared" si="19"/>
        <v>38.729669955322507</v>
      </c>
      <c r="TA83" s="683"/>
      <c r="TB83" s="683"/>
      <c r="TC83" s="683"/>
      <c r="TD83" s="683"/>
      <c r="TE83" s="684"/>
      <c r="TF83" s="682">
        <f>'Вывод расчетов'!$XC$174*SC83</f>
        <v>35.813482901699707</v>
      </c>
      <c r="TG83" s="683"/>
      <c r="TH83" s="684"/>
      <c r="TI83" s="681">
        <f t="shared" si="58"/>
        <v>40.163229826850248</v>
      </c>
      <c r="TJ83" s="681"/>
      <c r="TK83" s="681"/>
      <c r="TL83" s="681"/>
      <c r="TM83" s="685">
        <f t="shared" si="21"/>
        <v>0.83495099303153175</v>
      </c>
      <c r="TN83" s="686"/>
      <c r="TO83" s="686"/>
      <c r="TP83" s="687"/>
      <c r="TQ83" s="688">
        <f t="shared" si="22"/>
        <v>2.5389719019948247</v>
      </c>
      <c r="TR83" s="688"/>
      <c r="TS83" s="688"/>
      <c r="TT83" s="688"/>
      <c r="TU83" s="689">
        <f t="shared" si="27"/>
        <v>0.23685010015480135</v>
      </c>
      <c r="TV83" s="690"/>
      <c r="TW83" s="690"/>
      <c r="TX83" s="690"/>
      <c r="TY83" s="690"/>
      <c r="TZ83" s="691"/>
      <c r="UA83" s="679">
        <v>6.5000000000000002E-2</v>
      </c>
      <c r="UB83" s="680"/>
      <c r="UC83" s="650">
        <v>0.65</v>
      </c>
      <c r="UD83" s="866">
        <f t="shared" ref="UD83:UD118" si="65">$UI$14/1000+TM83+TQ83+TU83+$UI$15</f>
        <v>4.4910598110085713</v>
      </c>
      <c r="UE83" s="866"/>
      <c r="UF83" s="866"/>
      <c r="UG83" s="866"/>
      <c r="UH83" s="866"/>
      <c r="UI83" s="866"/>
      <c r="UJ83" s="866"/>
      <c r="UK83" s="681">
        <f t="shared" ref="UK83:UK118" si="66">TI83-UD83</f>
        <v>35.672170015841679</v>
      </c>
      <c r="UL83" s="681"/>
      <c r="UM83" s="681"/>
      <c r="UN83" s="681"/>
      <c r="UO83" s="816">
        <f t="shared" ref="UO83:UO118" si="67">1-(UD83/TI83)</f>
        <v>0.88817981446287542</v>
      </c>
      <c r="UP83" s="816"/>
      <c r="UQ83" s="816"/>
      <c r="UR83" s="816"/>
      <c r="US83" s="866">
        <f t="shared" ref="US83:US118" si="68">(SO83-$UV$14)/SZ83</f>
        <v>0.90966185349701123</v>
      </c>
      <c r="UT83" s="866"/>
      <c r="UU83" s="866"/>
      <c r="UV83" s="866"/>
      <c r="UW83" s="866"/>
      <c r="WC83"/>
      <c r="WD83" s="825"/>
      <c r="WE83" s="665" t="s">
        <v>442</v>
      </c>
      <c r="WF83" s="666"/>
      <c r="WG83" s="558"/>
      <c r="WH83" s="553" t="s">
        <v>1593</v>
      </c>
      <c r="WI83" s="884">
        <f>$MN$23</f>
        <v>0.18554623176557763</v>
      </c>
      <c r="WJ83" s="884"/>
      <c r="WK83" s="87"/>
      <c r="WL83" s="87"/>
      <c r="WM83" s="87"/>
      <c r="WN83" s="522"/>
      <c r="WO83" s="85" t="s">
        <v>467</v>
      </c>
      <c r="WP83" s="757" t="s">
        <v>461</v>
      </c>
      <c r="WQ83" s="758"/>
      <c r="WR83" s="819" t="s">
        <v>126</v>
      </c>
      <c r="WS83" s="820"/>
      <c r="WT83" s="675" t="s">
        <v>731</v>
      </c>
      <c r="WU83" s="676"/>
      <c r="WV83" s="821" t="s">
        <v>473</v>
      </c>
      <c r="WW83" s="822"/>
      <c r="WX83" s="822"/>
      <c r="WY83" s="823"/>
      <c r="WZ83" s="821" t="s">
        <v>462</v>
      </c>
      <c r="XA83" s="822"/>
      <c r="XB83" s="823"/>
      <c r="XC83" s="144"/>
      <c r="XD83" s="144"/>
      <c r="XO83" s="767"/>
      <c r="XP83" s="665" t="s">
        <v>442</v>
      </c>
      <c r="XQ83" s="666"/>
      <c r="XR83" s="156"/>
      <c r="XS83" s="87"/>
      <c r="XT83" s="87"/>
      <c r="XU83" s="87"/>
      <c r="XV83" s="87"/>
      <c r="XW83" s="87"/>
      <c r="XX83" s="87"/>
      <c r="XY83" s="156"/>
      <c r="XZ83" s="85" t="s">
        <v>467</v>
      </c>
      <c r="YA83" s="757" t="s">
        <v>461</v>
      </c>
      <c r="YB83" s="758"/>
      <c r="YC83" s="819" t="s">
        <v>126</v>
      </c>
      <c r="YD83" s="820"/>
      <c r="YE83" s="675" t="s">
        <v>731</v>
      </c>
      <c r="YF83" s="676"/>
      <c r="YG83" s="821" t="s">
        <v>473</v>
      </c>
      <c r="YH83" s="822"/>
      <c r="YI83" s="822"/>
      <c r="YJ83" s="822"/>
      <c r="YK83" s="821" t="s">
        <v>462</v>
      </c>
      <c r="YL83" s="822"/>
      <c r="YM83" s="822"/>
      <c r="YN83" s="822"/>
      <c r="YO83" s="822"/>
      <c r="YP83" s="822"/>
      <c r="YQ83" s="822"/>
      <c r="YR83" s="823"/>
      <c r="YX83" s="144"/>
      <c r="YY83" s="144"/>
      <c r="YZ83" s="144"/>
      <c r="ZA83" s="144"/>
      <c r="AAD83" s="947"/>
      <c r="AAE83" s="947"/>
      <c r="AAF83" s="947"/>
      <c r="AAG83" s="947"/>
      <c r="AAH83" s="535">
        <v>10</v>
      </c>
      <c r="AAI83" s="956"/>
      <c r="AAJ83" s="957"/>
      <c r="AAK83" s="958">
        <f t="shared" si="59"/>
        <v>0.13333333333333333</v>
      </c>
      <c r="AAL83" s="959"/>
      <c r="AAN83" s="947"/>
      <c r="AAO83" s="947"/>
      <c r="AAP83" s="947"/>
      <c r="AAQ83" s="947"/>
      <c r="AAR83" s="535">
        <v>70</v>
      </c>
      <c r="AAS83" s="956"/>
      <c r="AAT83" s="957"/>
      <c r="AAU83" s="958">
        <f t="shared" si="60"/>
        <v>0.93333333333333335</v>
      </c>
      <c r="AAV83" s="959"/>
      <c r="AAX83" s="947"/>
      <c r="AAY83" s="947"/>
      <c r="AAZ83" s="947"/>
      <c r="ABA83" s="947"/>
      <c r="ABB83" s="535">
        <v>130</v>
      </c>
      <c r="ABC83" s="956"/>
      <c r="ABD83" s="957"/>
      <c r="ABE83" s="958">
        <f t="shared" si="61"/>
        <v>1.7333333333333334</v>
      </c>
      <c r="ABF83" s="959"/>
      <c r="ABH83" s="947"/>
      <c r="ABI83" s="947"/>
      <c r="ABJ83" s="947"/>
      <c r="ABK83" s="947"/>
      <c r="ABL83" s="537">
        <v>190</v>
      </c>
      <c r="ABM83" s="956"/>
      <c r="ABN83" s="957"/>
      <c r="ABO83" s="958">
        <f t="shared" si="62"/>
        <v>2.5333333333333337</v>
      </c>
      <c r="ABP83" s="959"/>
      <c r="ABR83" s="947"/>
      <c r="ABS83" s="947"/>
      <c r="ABT83" s="947"/>
      <c r="ABU83" s="947"/>
      <c r="ABV83" s="537">
        <v>250</v>
      </c>
      <c r="ABW83" s="956"/>
      <c r="ABX83" s="957"/>
      <c r="ABY83" s="958">
        <f t="shared" si="63"/>
        <v>3.3333333333333335</v>
      </c>
      <c r="ABZ83" s="959"/>
      <c r="ADB83" s="1033"/>
      <c r="ADC83" s="1033"/>
      <c r="ADD83" s="187"/>
      <c r="ADE83" s="187"/>
      <c r="ADF83" s="187"/>
      <c r="ADG83" s="187"/>
      <c r="ADH83" s="187"/>
      <c r="ADI83" s="188"/>
      <c r="ADJ83" s="1071"/>
      <c r="ADK83" s="1071"/>
      <c r="ADL83" s="1052"/>
      <c r="ADM83" s="1052"/>
      <c r="ADN83" s="1052"/>
      <c r="ADO83" s="1052"/>
      <c r="ADP83" s="1052"/>
      <c r="ADQ83" s="1052"/>
      <c r="ADR83" s="1052"/>
      <c r="ADS83" s="1052"/>
      <c r="ADT83" s="1052"/>
      <c r="ADU83" s="1052"/>
      <c r="ADV83" s="1052"/>
      <c r="ADW83" s="1052"/>
      <c r="ADX83" s="192"/>
      <c r="ADY83" s="187"/>
      <c r="ADZ83" s="187"/>
      <c r="AEA83" s="187"/>
      <c r="AEB83" s="187"/>
      <c r="AEC83" s="187"/>
      <c r="AED83" s="187"/>
      <c r="AEE83" s="187"/>
      <c r="AEF83" s="187"/>
      <c r="AEG83" s="187"/>
      <c r="AEH83" s="187"/>
      <c r="AEI83" s="187"/>
      <c r="AEJ83" s="187"/>
      <c r="AEK83" s="188"/>
      <c r="AEL83" s="144"/>
      <c r="AEM83" s="144"/>
      <c r="AEN83" s="144"/>
      <c r="AEO83" s="144"/>
      <c r="AEP83" s="947"/>
      <c r="AEQ83" s="947"/>
      <c r="AER83" s="947"/>
      <c r="AES83" s="947"/>
      <c r="AET83" s="657">
        <v>39</v>
      </c>
      <c r="AEU83" s="956"/>
      <c r="AEV83" s="957"/>
      <c r="AEW83" s="958">
        <f t="shared" si="35"/>
        <v>1.2350000000000001</v>
      </c>
      <c r="AEX83" s="959"/>
      <c r="AEZ83" s="947"/>
      <c r="AFA83" s="947"/>
      <c r="AFB83" s="947"/>
      <c r="AFC83" s="947"/>
      <c r="AFD83" s="657">
        <v>99</v>
      </c>
      <c r="AFE83" s="956"/>
      <c r="AFF83" s="957"/>
      <c r="AFG83" s="958">
        <f t="shared" si="36"/>
        <v>3.1350000000000002</v>
      </c>
      <c r="AFH83" s="959"/>
      <c r="AFJ83" s="947"/>
      <c r="AFK83" s="947"/>
      <c r="AFL83" s="947"/>
      <c r="AFM83" s="947"/>
      <c r="AFN83" s="656">
        <v>159</v>
      </c>
      <c r="AFO83" s="956"/>
      <c r="AFP83" s="957"/>
      <c r="AFQ83" s="958">
        <f t="shared" si="37"/>
        <v>5.0350000000000001</v>
      </c>
      <c r="AFR83" s="959"/>
      <c r="AFT83" s="947"/>
      <c r="AFU83" s="947"/>
      <c r="AFV83" s="947"/>
      <c r="AFW83" s="947"/>
      <c r="AFX83" s="656">
        <v>219</v>
      </c>
      <c r="AFY83" s="956"/>
      <c r="AFZ83" s="957"/>
      <c r="AGA83" s="958"/>
      <c r="AGB83" s="959"/>
      <c r="AGD83" s="947"/>
      <c r="AGE83" s="947"/>
      <c r="AGF83" s="947"/>
      <c r="AGG83" s="947"/>
      <c r="AGH83" s="656">
        <v>279</v>
      </c>
      <c r="AGI83" s="956"/>
      <c r="AGJ83" s="957"/>
      <c r="AGK83" s="958"/>
      <c r="AGL83" s="959"/>
      <c r="AIM83" s="826"/>
      <c r="AIN83" s="701" t="s">
        <v>162</v>
      </c>
      <c r="AIO83" s="701"/>
      <c r="AIP83" s="701"/>
      <c r="AIQ83" s="701"/>
      <c r="AIR83" s="701"/>
      <c r="AIS83" s="701"/>
      <c r="AIT83" s="701"/>
      <c r="AIU83" s="701"/>
      <c r="AIV83" s="701"/>
      <c r="AIW83" s="701"/>
      <c r="AIX83" s="701"/>
      <c r="AIY83" s="701"/>
      <c r="AIZ83" s="701"/>
      <c r="AJA83" s="1170">
        <f>AJA45/(2*CO28*MN27*AJA61)*(FW29/AJD73+EN49/(12*AJD73))</f>
        <v>38717.265650287962</v>
      </c>
      <c r="AJB83" s="1171"/>
      <c r="AJC83" s="1319" t="s">
        <v>1007</v>
      </c>
      <c r="AJD83" s="1157"/>
      <c r="AJE83" s="714"/>
      <c r="AJF83" s="952" t="s">
        <v>981</v>
      </c>
      <c r="AJG83" s="953"/>
      <c r="AJH83" s="746"/>
      <c r="AJI83" s="767"/>
      <c r="AJJ83" s="767"/>
      <c r="AJK83" s="767"/>
      <c r="AJL83" s="767"/>
      <c r="AJM83" s="767"/>
      <c r="AJN83" s="767"/>
      <c r="AJO83" s="767"/>
      <c r="AJP83" s="767"/>
      <c r="AJQ83" s="767"/>
      <c r="AJR83" s="767"/>
      <c r="AJS83" s="767"/>
      <c r="AJT83" s="767"/>
    </row>
    <row r="84" spans="14:964" ht="48" customHeight="1" thickBot="1">
      <c r="BP84" s="144"/>
      <c r="BQ84" s="144"/>
      <c r="BR84" s="144"/>
      <c r="BS84" s="144"/>
      <c r="BT84" s="144"/>
      <c r="BX84" s="826"/>
      <c r="BY84" s="1488" t="s">
        <v>1634</v>
      </c>
      <c r="BZ84" s="732"/>
      <c r="CA84" s="732"/>
      <c r="CB84" s="732"/>
      <c r="CC84" s="732"/>
      <c r="CD84" s="732"/>
      <c r="CE84" s="732"/>
      <c r="CF84" s="732"/>
      <c r="CG84" s="732"/>
      <c r="CH84" s="732"/>
      <c r="CI84" s="732"/>
      <c r="CJ84" s="732"/>
      <c r="CK84" s="733"/>
      <c r="CL84" s="1558">
        <v>1</v>
      </c>
      <c r="CM84" s="1559"/>
      <c r="CN84" s="849" t="s">
        <v>762</v>
      </c>
      <c r="CO84" s="850"/>
      <c r="CP84" s="712"/>
      <c r="CQ84" s="952" t="s">
        <v>807</v>
      </c>
      <c r="CR84" s="953"/>
      <c r="CS84" s="746"/>
      <c r="DZ84" s="827"/>
      <c r="EA84" s="709" t="s">
        <v>1710</v>
      </c>
      <c r="EB84" s="709"/>
      <c r="EC84" s="672">
        <f>$EN$49</f>
        <v>26.688160557818726</v>
      </c>
      <c r="ED84" s="672"/>
      <c r="EE84" s="706"/>
      <c r="EF84" s="707"/>
      <c r="EG84" s="707"/>
      <c r="EH84" s="707"/>
      <c r="EI84" s="707"/>
      <c r="EJ84" s="707"/>
      <c r="EK84" s="707"/>
      <c r="EL84" s="707"/>
      <c r="EM84" s="708"/>
      <c r="EN84" s="1022"/>
      <c r="EO84" s="1023"/>
      <c r="EP84" s="1023"/>
      <c r="EQ84" s="1023"/>
      <c r="ER84" s="1023"/>
      <c r="ES84" s="1023"/>
      <c r="ET84" s="1023"/>
      <c r="EU84" s="1023"/>
      <c r="EV84" s="1024"/>
      <c r="EW84" s="768"/>
      <c r="EX84" s="768"/>
      <c r="EY84" s="768"/>
      <c r="EZ84" s="768"/>
      <c r="FA84" s="768"/>
      <c r="FB84" s="768"/>
      <c r="FC84" s="768"/>
      <c r="FD84" s="768"/>
      <c r="FE84" s="768"/>
      <c r="FF84" s="768"/>
      <c r="FG84" s="768"/>
      <c r="FH84" s="768"/>
      <c r="FI84" s="768"/>
      <c r="FJ84" s="139"/>
      <c r="FT84" s="139"/>
      <c r="FU84" s="139"/>
      <c r="FV84" s="139"/>
      <c r="FW84" s="139"/>
      <c r="FX84" s="139"/>
      <c r="GC84" s="6"/>
      <c r="GD84" s="3"/>
      <c r="GE84" s="3"/>
      <c r="GF84" s="85" t="s">
        <v>839</v>
      </c>
      <c r="GG84" s="665" t="s">
        <v>442</v>
      </c>
      <c r="GH84" s="667"/>
      <c r="GI84" s="385"/>
      <c r="GJ84" s="471" t="s">
        <v>1180</v>
      </c>
      <c r="GK84" s="756">
        <f>$GW$24</f>
        <v>58</v>
      </c>
      <c r="GL84" s="756"/>
      <c r="GM84" s="471" t="s">
        <v>1187</v>
      </c>
      <c r="GN84" s="677">
        <f>$GT$28</f>
        <v>0.16658500000000001</v>
      </c>
      <c r="GO84" s="677"/>
      <c r="GP84" s="150"/>
      <c r="GQ84" s="85" t="s">
        <v>467</v>
      </c>
      <c r="GR84" s="1359" t="s">
        <v>461</v>
      </c>
      <c r="GS84" s="1359"/>
      <c r="GT84" s="1358" t="s">
        <v>126</v>
      </c>
      <c r="GU84" s="1131"/>
      <c r="GV84" s="675" t="s">
        <v>731</v>
      </c>
      <c r="GW84" s="676"/>
      <c r="GX84" s="821" t="s">
        <v>473</v>
      </c>
      <c r="GY84" s="822"/>
      <c r="GZ84" s="822"/>
      <c r="HA84" s="822"/>
      <c r="HB84" s="823"/>
      <c r="HC84" s="769" t="s">
        <v>462</v>
      </c>
      <c r="HD84" s="769"/>
      <c r="HE84" s="769"/>
      <c r="HF84" s="769"/>
      <c r="HG84" s="769"/>
      <c r="HH84" s="769"/>
      <c r="HI84" s="769"/>
      <c r="HJ84" s="769"/>
      <c r="HK84" s="769"/>
      <c r="HL84" s="769"/>
      <c r="HM84" s="769"/>
      <c r="HN84" s="769"/>
      <c r="HO84" s="769"/>
      <c r="IR84" s="827"/>
      <c r="IS84" s="247" t="s">
        <v>1187</v>
      </c>
      <c r="IT84" s="828">
        <f>$GT$28</f>
        <v>0.16658500000000001</v>
      </c>
      <c r="IU84" s="828"/>
      <c r="IV84" s="943"/>
      <c r="IW84" s="944"/>
      <c r="IX84" s="944"/>
      <c r="IY84" s="944"/>
      <c r="IZ84" s="944"/>
      <c r="JA84" s="944"/>
      <c r="JB84" s="944"/>
      <c r="JC84" s="944"/>
      <c r="JD84" s="944"/>
      <c r="JE84" s="1004"/>
      <c r="JF84" s="765"/>
      <c r="JG84" s="766"/>
      <c r="JH84" s="761"/>
      <c r="JI84" s="762"/>
      <c r="JJ84" s="713"/>
      <c r="JK84" s="718"/>
      <c r="JL84" s="719"/>
      <c r="JM84" s="747"/>
      <c r="JN84" s="768"/>
      <c r="JO84" s="768"/>
      <c r="JP84" s="768"/>
      <c r="JQ84" s="768"/>
      <c r="JR84" s="768"/>
      <c r="JS84" s="768"/>
      <c r="PJ84" s="825"/>
      <c r="PK84" s="695" t="s">
        <v>442</v>
      </c>
      <c r="PL84" s="695"/>
      <c r="PM84" s="504"/>
      <c r="PN84" s="863" t="s">
        <v>1707</v>
      </c>
      <c r="PO84" s="863"/>
      <c r="PP84" s="948">
        <f>$QA$93</f>
        <v>0.3</v>
      </c>
      <c r="PQ84" s="965"/>
      <c r="PR84" s="87"/>
      <c r="PS84" s="87"/>
      <c r="PT84" s="504"/>
      <c r="PU84" s="85" t="s">
        <v>467</v>
      </c>
      <c r="PV84" s="757" t="s">
        <v>461</v>
      </c>
      <c r="PW84" s="899"/>
      <c r="PX84" s="774" t="s">
        <v>126</v>
      </c>
      <c r="PY84" s="776"/>
      <c r="PZ84" s="675" t="s">
        <v>731</v>
      </c>
      <c r="QA84" s="676"/>
      <c r="QB84" s="821" t="s">
        <v>473</v>
      </c>
      <c r="QC84" s="822"/>
      <c r="QD84" s="822"/>
      <c r="QE84" s="823"/>
      <c r="QF84" s="821" t="s">
        <v>462</v>
      </c>
      <c r="QG84" s="822"/>
      <c r="QH84" s="822"/>
      <c r="QI84" s="822"/>
      <c r="QJ84" s="822"/>
      <c r="QK84" s="823"/>
      <c r="QO84" s="144"/>
      <c r="QP84" s="144"/>
      <c r="QQ84" s="144"/>
      <c r="QR84" s="144"/>
      <c r="QS84" s="144"/>
      <c r="QT84" s="144"/>
      <c r="QU84" s="144"/>
      <c r="RC84" s="369">
        <v>66</v>
      </c>
      <c r="RD84" s="668">
        <v>6.6000000000000003E-2</v>
      </c>
      <c r="RE84" s="669"/>
      <c r="RF84" s="670">
        <f t="shared" si="30"/>
        <v>10.318662570466598</v>
      </c>
      <c r="RG84" s="670"/>
      <c r="RH84" s="670"/>
      <c r="RI84" s="670"/>
      <c r="RJ84" s="698">
        <f t="shared" ref="RJ84:RJ118" si="69">$AQ$4/1000</f>
        <v>30</v>
      </c>
      <c r="RK84" s="699"/>
      <c r="RL84" s="726"/>
      <c r="RM84" s="670">
        <f t="shared" ref="RM84:RM118" si="70">$RO$14+($RO$15*$RO$16)/RD84</f>
        <v>10.507163740683044</v>
      </c>
      <c r="RN84" s="670"/>
      <c r="RO84" s="670"/>
      <c r="RP84" s="670"/>
      <c r="RQ84" s="670"/>
      <c r="RR84" s="670"/>
      <c r="RS84" s="671">
        <f t="shared" si="64"/>
        <v>1.560804663639157</v>
      </c>
      <c r="RT84" s="671"/>
      <c r="RU84" s="671"/>
      <c r="RV84" s="671"/>
      <c r="RW84" s="671"/>
      <c r="RX84" s="671"/>
      <c r="RY84" s="681">
        <f t="shared" ref="RY84:RY118" si="71">(RM84^2+RS84^2)^0.5</f>
        <v>10.622457393257092</v>
      </c>
      <c r="RZ84" s="681"/>
      <c r="SA84" s="681"/>
      <c r="SB84" s="681"/>
      <c r="SC84" s="681">
        <f>'Вывод расчетов'!$AQ$6/RY84</f>
        <v>35.773266574005355</v>
      </c>
      <c r="SD84" s="681"/>
      <c r="SE84" s="681"/>
      <c r="SF84" s="681"/>
      <c r="SG84" s="867">
        <f t="shared" ref="SG84:SG118" si="72">RM84/RY84</f>
        <v>0.98914623534783641</v>
      </c>
      <c r="SH84" s="867"/>
      <c r="SI84" s="867"/>
      <c r="SJ84" s="867"/>
      <c r="SK84" s="865">
        <f t="shared" ref="SK84:SK118" si="73">RS84/RY84</f>
        <v>0.14693442447977456</v>
      </c>
      <c r="SL84" s="865"/>
      <c r="SM84" s="865"/>
      <c r="SN84" s="865"/>
      <c r="SO84" s="692">
        <f t="shared" si="26"/>
        <v>35.735314398903235</v>
      </c>
      <c r="SP84" s="693"/>
      <c r="SQ84" s="693"/>
      <c r="SR84" s="693"/>
      <c r="SS84" s="694"/>
      <c r="ST84" s="668">
        <f t="shared" si="24"/>
        <v>16.238401097809028</v>
      </c>
      <c r="SU84" s="678"/>
      <c r="SV84" s="678"/>
      <c r="SW84" s="678"/>
      <c r="SX84" s="678"/>
      <c r="SY84" s="669"/>
      <c r="SZ84" s="682">
        <f t="shared" ref="SZ84:SZ118" si="74">(SO84^2+ST84^2)^0.5</f>
        <v>39.251730731291154</v>
      </c>
      <c r="TA84" s="683"/>
      <c r="TB84" s="683"/>
      <c r="TC84" s="683"/>
      <c r="TD84" s="683"/>
      <c r="TE84" s="684"/>
      <c r="TF84" s="682">
        <f>'Вывод расчетов'!$XC$174*SC84</f>
        <v>36.342977960255496</v>
      </c>
      <c r="TG84" s="683"/>
      <c r="TH84" s="684"/>
      <c r="TI84" s="681">
        <f t="shared" si="58"/>
        <v>40.738258414749687</v>
      </c>
      <c r="TJ84" s="681"/>
      <c r="TK84" s="681"/>
      <c r="TL84" s="681"/>
      <c r="TM84" s="685">
        <f t="shared" ref="TM84:TM118" si="75">3*SZ84^2*$TO$14/1000</f>
        <v>0.85761232796305942</v>
      </c>
      <c r="TN84" s="686"/>
      <c r="TO84" s="686"/>
      <c r="TP84" s="687"/>
      <c r="TQ84" s="688">
        <f t="shared" ref="TQ84:TQ118" si="76">(3*(TF84^2)*$TS$14)/1000</f>
        <v>2.6146032624433424</v>
      </c>
      <c r="TR84" s="688"/>
      <c r="TS84" s="688"/>
      <c r="TT84" s="688"/>
      <c r="TU84" s="689">
        <f t="shared" ref="TU84:TU118" si="77">$TW$14*(SZ84/$TW$15)^2/1000</f>
        <v>0.2432784288746537</v>
      </c>
      <c r="TV84" s="690"/>
      <c r="TW84" s="690"/>
      <c r="TX84" s="690"/>
      <c r="TY84" s="690"/>
      <c r="TZ84" s="691"/>
      <c r="UA84" s="756">
        <v>6.6000000000000003E-2</v>
      </c>
      <c r="UB84" s="756"/>
      <c r="UC84" s="650">
        <v>0.66</v>
      </c>
      <c r="UD84" s="866">
        <f t="shared" si="65"/>
        <v>4.5957808351084699</v>
      </c>
      <c r="UE84" s="866"/>
      <c r="UF84" s="866"/>
      <c r="UG84" s="866"/>
      <c r="UH84" s="866"/>
      <c r="UI84" s="866"/>
      <c r="UJ84" s="866"/>
      <c r="UK84" s="681">
        <f t="shared" si="66"/>
        <v>36.142477579641216</v>
      </c>
      <c r="UL84" s="681"/>
      <c r="UM84" s="681"/>
      <c r="UN84" s="681"/>
      <c r="UO84" s="816">
        <f t="shared" si="67"/>
        <v>0.88718759677157621</v>
      </c>
      <c r="UP84" s="816"/>
      <c r="UQ84" s="816"/>
      <c r="UR84" s="816"/>
      <c r="US84" s="866">
        <f t="shared" si="68"/>
        <v>0.9104137252835921</v>
      </c>
      <c r="UT84" s="866"/>
      <c r="UU84" s="866"/>
      <c r="UV84" s="866"/>
      <c r="UW84" s="866"/>
      <c r="WD84" s="826"/>
      <c r="WE84" s="559" t="s">
        <v>1483</v>
      </c>
      <c r="WF84" s="756">
        <f>$WR$72</f>
        <v>1.0159256182286724</v>
      </c>
      <c r="WG84" s="756"/>
      <c r="WH84" s="701" t="s">
        <v>774</v>
      </c>
      <c r="WI84" s="701"/>
      <c r="WJ84" s="701"/>
      <c r="WK84" s="701"/>
      <c r="WL84" s="701"/>
      <c r="WM84" s="701"/>
      <c r="WN84" s="701"/>
      <c r="WO84" s="701"/>
      <c r="WP84" s="701"/>
      <c r="WQ84" s="702"/>
      <c r="WR84" s="763">
        <f>WR72*WI83</f>
        <v>0.188501170216445</v>
      </c>
      <c r="WS84" s="764"/>
      <c r="WT84" s="917" t="s">
        <v>415</v>
      </c>
      <c r="WU84" s="896"/>
      <c r="WV84" s="712"/>
      <c r="WW84" s="952" t="s">
        <v>774</v>
      </c>
      <c r="WX84" s="953"/>
      <c r="WY84" s="746"/>
      <c r="WZ84" s="919"/>
      <c r="XA84" s="840"/>
      <c r="XB84" s="920"/>
      <c r="XC84" s="144"/>
      <c r="XD84" s="144"/>
      <c r="XO84" s="767"/>
      <c r="XP84" s="473" t="s">
        <v>1600</v>
      </c>
      <c r="XQ84" s="948">
        <f>$YC$78</f>
        <v>2.5935155078985197</v>
      </c>
      <c r="XR84" s="965"/>
      <c r="XS84" s="700" t="s">
        <v>146</v>
      </c>
      <c r="XT84" s="701"/>
      <c r="XU84" s="701"/>
      <c r="XV84" s="701"/>
      <c r="XW84" s="701"/>
      <c r="XX84" s="701"/>
      <c r="XY84" s="701"/>
      <c r="XZ84" s="701"/>
      <c r="YA84" s="701"/>
      <c r="YB84" s="701"/>
      <c r="YC84" s="763">
        <f>1+(MN69/MN59)*(YC78-1)*MN69</f>
        <v>1.0001214510051786</v>
      </c>
      <c r="YD84" s="764"/>
      <c r="YE84" s="1115" t="s">
        <v>762</v>
      </c>
      <c r="YF84" s="1116"/>
      <c r="YG84" s="712"/>
      <c r="YH84" s="716" t="s">
        <v>1506</v>
      </c>
      <c r="YI84" s="717"/>
      <c r="YJ84" s="1119"/>
      <c r="YK84" s="919"/>
      <c r="YL84" s="840"/>
      <c r="YM84" s="840"/>
      <c r="YN84" s="840"/>
      <c r="YO84" s="840"/>
      <c r="YP84" s="840"/>
      <c r="YQ84" s="840"/>
      <c r="YR84" s="920"/>
      <c r="YX84" s="144"/>
      <c r="YY84" s="144"/>
      <c r="YZ84" s="144"/>
      <c r="ZA84" s="144"/>
      <c r="AAD84" s="947"/>
      <c r="AAE84" s="947"/>
      <c r="AAF84" s="947"/>
      <c r="AAG84" s="947"/>
      <c r="AAH84" s="535">
        <v>11</v>
      </c>
      <c r="AAI84" s="956"/>
      <c r="AAJ84" s="957"/>
      <c r="AAK84" s="958">
        <f t="shared" si="59"/>
        <v>0.14666666666666667</v>
      </c>
      <c r="AAL84" s="959"/>
      <c r="AAN84" s="947"/>
      <c r="AAO84" s="947"/>
      <c r="AAP84" s="947"/>
      <c r="AAQ84" s="947"/>
      <c r="AAR84" s="535">
        <v>71</v>
      </c>
      <c r="AAS84" s="956"/>
      <c r="AAT84" s="957"/>
      <c r="AAU84" s="958">
        <f t="shared" si="60"/>
        <v>0.94666666666666677</v>
      </c>
      <c r="AAV84" s="959"/>
      <c r="AAX84" s="947"/>
      <c r="AAY84" s="947"/>
      <c r="AAZ84" s="947"/>
      <c r="ABA84" s="947"/>
      <c r="ABB84" s="535">
        <v>131</v>
      </c>
      <c r="ABC84" s="956"/>
      <c r="ABD84" s="957"/>
      <c r="ABE84" s="958">
        <f t="shared" si="61"/>
        <v>1.7466666666666668</v>
      </c>
      <c r="ABF84" s="959"/>
      <c r="ABH84" s="947"/>
      <c r="ABI84" s="947"/>
      <c r="ABJ84" s="947"/>
      <c r="ABK84" s="947"/>
      <c r="ABL84" s="537">
        <v>191</v>
      </c>
      <c r="ABM84" s="956"/>
      <c r="ABN84" s="957"/>
      <c r="ABO84" s="958">
        <f t="shared" si="62"/>
        <v>2.5466666666666669</v>
      </c>
      <c r="ABP84" s="959"/>
      <c r="ABR84" s="947"/>
      <c r="ABS84" s="947"/>
      <c r="ABT84" s="947"/>
      <c r="ABU84" s="947"/>
      <c r="ABV84" s="537">
        <v>251</v>
      </c>
      <c r="ABW84" s="956"/>
      <c r="ABX84" s="957"/>
      <c r="ABY84" s="958">
        <f t="shared" si="63"/>
        <v>3.3466666666666667</v>
      </c>
      <c r="ABZ84" s="959"/>
      <c r="ADB84" s="1033"/>
      <c r="ADC84" s="1033"/>
      <c r="ADD84" s="184"/>
      <c r="ADE84" s="184"/>
      <c r="ADF84" s="184"/>
      <c r="ADG84" s="184"/>
      <c r="ADH84" s="184"/>
      <c r="ADI84" s="186"/>
      <c r="ADJ84" s="1071"/>
      <c r="ADK84" s="1071"/>
      <c r="ADL84" s="1052"/>
      <c r="ADM84" s="1052"/>
      <c r="ADN84" s="1052"/>
      <c r="ADO84" s="1052"/>
      <c r="ADP84" s="1052"/>
      <c r="ADQ84" s="1052"/>
      <c r="ADR84" s="1052"/>
      <c r="ADS84" s="1052"/>
      <c r="ADT84" s="1052"/>
      <c r="ADU84" s="1052"/>
      <c r="ADV84" s="1052"/>
      <c r="ADW84" s="1052"/>
      <c r="ADX84" s="183"/>
      <c r="ADY84" s="184"/>
      <c r="ADZ84" s="184"/>
      <c r="AEA84" s="184"/>
      <c r="AEB84" s="184"/>
      <c r="AEC84" s="184"/>
      <c r="AED84" s="184"/>
      <c r="AEE84" s="184"/>
      <c r="AEF84" s="184"/>
      <c r="AEG84" s="184"/>
      <c r="AEH84" s="184"/>
      <c r="AEI84" s="184"/>
      <c r="AEJ84" s="184"/>
      <c r="AEK84" s="186"/>
      <c r="AEL84" s="144"/>
      <c r="AEM84" s="144"/>
      <c r="AEN84" s="144"/>
      <c r="AEO84" s="144"/>
      <c r="AEP84" s="947"/>
      <c r="AEQ84" s="947"/>
      <c r="AER84" s="947"/>
      <c r="AES84" s="947"/>
      <c r="AET84" s="657">
        <v>40</v>
      </c>
      <c r="AEU84" s="956"/>
      <c r="AEV84" s="957"/>
      <c r="AEW84" s="958">
        <f t="shared" si="35"/>
        <v>1.2666666666666668</v>
      </c>
      <c r="AEX84" s="959"/>
      <c r="AEZ84" s="947"/>
      <c r="AFA84" s="947"/>
      <c r="AFB84" s="947"/>
      <c r="AFC84" s="947"/>
      <c r="AFD84" s="657">
        <v>100</v>
      </c>
      <c r="AFE84" s="956"/>
      <c r="AFF84" s="957"/>
      <c r="AFG84" s="958">
        <f t="shared" si="36"/>
        <v>3.166666666666667</v>
      </c>
      <c r="AFH84" s="959"/>
      <c r="AFJ84" s="947"/>
      <c r="AFK84" s="947"/>
      <c r="AFL84" s="947"/>
      <c r="AFM84" s="947"/>
      <c r="AFN84" s="656">
        <v>160</v>
      </c>
      <c r="AFO84" s="956"/>
      <c r="AFP84" s="957"/>
      <c r="AFQ84" s="958">
        <f t="shared" si="37"/>
        <v>5.0666666666666673</v>
      </c>
      <c r="AFR84" s="959"/>
      <c r="AFT84" s="947"/>
      <c r="AFU84" s="947"/>
      <c r="AFV84" s="947"/>
      <c r="AFW84" s="947"/>
      <c r="AFX84" s="656">
        <v>220</v>
      </c>
      <c r="AFY84" s="956"/>
      <c r="AFZ84" s="957"/>
      <c r="AGA84" s="958"/>
      <c r="AGB84" s="959"/>
      <c r="AGD84" s="947"/>
      <c r="AGE84" s="947"/>
      <c r="AGF84" s="947"/>
      <c r="AGG84" s="947"/>
      <c r="AGH84" s="656">
        <v>280</v>
      </c>
      <c r="AGI84" s="956"/>
      <c r="AGJ84" s="957"/>
      <c r="AGK84" s="958"/>
      <c r="AGL84" s="959"/>
      <c r="AIM84" s="826"/>
      <c r="AIN84" s="704"/>
      <c r="AIO84" s="704"/>
      <c r="AIP84" s="704"/>
      <c r="AIQ84" s="704"/>
      <c r="AIR84" s="704"/>
      <c r="AIS84" s="704"/>
      <c r="AIT84" s="704"/>
      <c r="AIU84" s="704"/>
      <c r="AIV84" s="704"/>
      <c r="AIW84" s="704"/>
      <c r="AIX84" s="704"/>
      <c r="AIY84" s="704"/>
      <c r="AIZ84" s="704"/>
      <c r="AJA84" s="1172"/>
      <c r="AJB84" s="1173"/>
      <c r="AJC84" s="1320"/>
      <c r="AJD84" s="1159"/>
      <c r="AJE84" s="1284"/>
      <c r="AJF84" s="1331"/>
      <c r="AJG84" s="1332"/>
      <c r="AJH84" s="1321"/>
      <c r="AJI84" s="767"/>
      <c r="AJJ84" s="767"/>
      <c r="AJK84" s="767"/>
      <c r="AJL84" s="767"/>
      <c r="AJM84" s="767"/>
      <c r="AJN84" s="767"/>
      <c r="AJO84" s="767"/>
      <c r="AJP84" s="767"/>
      <c r="AJQ84" s="767"/>
      <c r="AJR84" s="767"/>
      <c r="AJS84" s="767"/>
      <c r="AJT84" s="767"/>
    </row>
    <row r="85" spans="14:964" ht="48" customHeight="1" thickBot="1">
      <c r="AI85" s="777" t="s">
        <v>752</v>
      </c>
      <c r="AJ85" s="778"/>
      <c r="AK85" s="779"/>
      <c r="AL85" s="85" t="s">
        <v>839</v>
      </c>
      <c r="AM85" s="695" t="s">
        <v>442</v>
      </c>
      <c r="AN85" s="695"/>
      <c r="AO85" s="234"/>
      <c r="AP85" s="87"/>
      <c r="AQ85" s="87"/>
      <c r="AR85" s="87"/>
      <c r="AS85" s="87"/>
      <c r="AT85" s="87"/>
      <c r="AU85" s="87"/>
      <c r="AV85" s="234"/>
      <c r="AW85" s="85" t="s">
        <v>467</v>
      </c>
      <c r="AX85" s="757" t="s">
        <v>461</v>
      </c>
      <c r="AY85" s="758"/>
      <c r="AZ85" s="819" t="s">
        <v>126</v>
      </c>
      <c r="BA85" s="820"/>
      <c r="BB85" s="675" t="s">
        <v>731</v>
      </c>
      <c r="BC85" s="676"/>
      <c r="BD85" s="821" t="s">
        <v>473</v>
      </c>
      <c r="BE85" s="822"/>
      <c r="BF85" s="822"/>
      <c r="BG85" s="823"/>
      <c r="BP85" s="144"/>
      <c r="BQ85" s="144"/>
      <c r="BR85" s="144"/>
      <c r="BS85" s="144"/>
      <c r="BT85" s="144"/>
      <c r="BX85" s="827"/>
      <c r="BY85" s="734"/>
      <c r="BZ85" s="735"/>
      <c r="CA85" s="735"/>
      <c r="CB85" s="735"/>
      <c r="CC85" s="735"/>
      <c r="CD85" s="735"/>
      <c r="CE85" s="735"/>
      <c r="CF85" s="735"/>
      <c r="CG85" s="735"/>
      <c r="CH85" s="735"/>
      <c r="CI85" s="735"/>
      <c r="CJ85" s="735"/>
      <c r="CK85" s="736"/>
      <c r="CL85" s="1443"/>
      <c r="CM85" s="1444"/>
      <c r="CN85" s="851"/>
      <c r="CO85" s="852"/>
      <c r="CP85" s="713"/>
      <c r="CQ85" s="954"/>
      <c r="CR85" s="955"/>
      <c r="CS85" s="747"/>
      <c r="FF85" s="139"/>
      <c r="FG85" s="139"/>
      <c r="FH85" s="139"/>
      <c r="FI85" s="139"/>
      <c r="FK85" s="139"/>
      <c r="FL85" s="139"/>
      <c r="FM85" s="139"/>
      <c r="FN85" s="139"/>
      <c r="FO85" s="139"/>
      <c r="FP85" s="139"/>
      <c r="GC85" s="6"/>
      <c r="GD85" s="3"/>
      <c r="GE85" s="3"/>
      <c r="GF85" s="767"/>
      <c r="GG85" s="696" t="s">
        <v>1218</v>
      </c>
      <c r="GH85" s="720"/>
      <c r="GI85" s="697"/>
      <c r="GJ85" s="677">
        <f>$GT$81</f>
        <v>3.8167608251202525</v>
      </c>
      <c r="GK85" s="677"/>
      <c r="GL85" s="816" t="s">
        <v>1063</v>
      </c>
      <c r="GM85" s="816"/>
      <c r="GN85" s="816"/>
      <c r="GO85" s="816"/>
      <c r="GP85" s="816"/>
      <c r="GQ85" s="816"/>
      <c r="GR85" s="816"/>
      <c r="GS85" s="685"/>
      <c r="GT85" s="1087">
        <f>(3.14*(GT28*1000-2*GW73-2*GW77)-GW24*GT81)/(3.14+GW24)</f>
        <v>4.7805818145735266</v>
      </c>
      <c r="GU85" s="1006"/>
      <c r="GV85" s="1203" t="s">
        <v>50</v>
      </c>
      <c r="GW85" s="1063"/>
      <c r="GX85" s="714"/>
      <c r="GY85" s="740" t="s">
        <v>1095</v>
      </c>
      <c r="GZ85" s="741"/>
      <c r="HA85" s="742"/>
      <c r="HB85" s="746"/>
      <c r="HC85" s="767"/>
      <c r="HD85" s="767"/>
      <c r="HE85" s="767"/>
      <c r="HF85" s="767"/>
      <c r="HG85" s="767"/>
      <c r="HH85" s="767"/>
      <c r="HI85" s="767"/>
      <c r="HJ85" s="767"/>
      <c r="HK85" s="767"/>
      <c r="HL85" s="767"/>
      <c r="HM85" s="767"/>
      <c r="HN85" s="767"/>
      <c r="HO85" s="767"/>
      <c r="LZ85" s="825"/>
      <c r="MA85" s="147" t="s">
        <v>442</v>
      </c>
      <c r="MB85" s="148"/>
      <c r="MC85" s="370"/>
      <c r="MD85" s="355" t="s">
        <v>1179</v>
      </c>
      <c r="ME85" s="756">
        <f>$CL$76</f>
        <v>0.95799999999999996</v>
      </c>
      <c r="MF85" s="756"/>
      <c r="MG85" s="87"/>
      <c r="MH85" s="87"/>
      <c r="MI85" s="87"/>
      <c r="MJ85" s="370"/>
      <c r="MK85" s="85" t="s">
        <v>467</v>
      </c>
      <c r="ML85" s="757" t="s">
        <v>461</v>
      </c>
      <c r="MM85" s="758"/>
      <c r="MN85" s="819" t="s">
        <v>126</v>
      </c>
      <c r="MO85" s="820"/>
      <c r="MP85" s="675" t="s">
        <v>731</v>
      </c>
      <c r="MQ85" s="676"/>
      <c r="MR85" s="821" t="s">
        <v>473</v>
      </c>
      <c r="MS85" s="822"/>
      <c r="MT85" s="822"/>
      <c r="MU85" s="823"/>
      <c r="MV85" s="769" t="s">
        <v>462</v>
      </c>
      <c r="MW85" s="769"/>
      <c r="MX85" s="769"/>
      <c r="MY85" s="769"/>
      <c r="MZ85" s="769"/>
      <c r="NA85" s="769"/>
      <c r="OF85" s="792" t="s">
        <v>1013</v>
      </c>
      <c r="OG85" s="793"/>
      <c r="OH85" s="794"/>
      <c r="PJ85" s="826"/>
      <c r="PK85" s="516" t="s">
        <v>1170</v>
      </c>
      <c r="PL85" s="756">
        <f>$JF$114</f>
        <v>1.0769230769230769</v>
      </c>
      <c r="PM85" s="756"/>
      <c r="PN85" s="700" t="s">
        <v>168</v>
      </c>
      <c r="PO85" s="701"/>
      <c r="PP85" s="701"/>
      <c r="PQ85" s="701"/>
      <c r="PR85" s="701"/>
      <c r="PS85" s="701"/>
      <c r="PT85" s="701"/>
      <c r="PU85" s="701"/>
      <c r="PV85" s="701"/>
      <c r="PW85" s="702"/>
      <c r="PX85" s="763">
        <f>PL85*PP84*PL86</f>
        <v>0.24536171530202153</v>
      </c>
      <c r="PY85" s="764"/>
      <c r="PZ85" s="759" t="s">
        <v>18</v>
      </c>
      <c r="QA85" s="760"/>
      <c r="QB85" s="714"/>
      <c r="QC85" s="952" t="s">
        <v>1744</v>
      </c>
      <c r="QD85" s="953"/>
      <c r="QE85" s="746"/>
      <c r="QF85" s="919"/>
      <c r="QG85" s="840"/>
      <c r="QH85" s="840"/>
      <c r="QI85" s="840"/>
      <c r="QJ85" s="840"/>
      <c r="QK85" s="920"/>
      <c r="QQ85" s="144"/>
      <c r="QR85" s="144"/>
      <c r="QS85" s="144"/>
      <c r="QT85" s="144"/>
      <c r="QU85" s="144"/>
      <c r="RC85" s="369">
        <v>67</v>
      </c>
      <c r="RD85" s="668">
        <v>6.7000000000000004E-2</v>
      </c>
      <c r="RE85" s="669"/>
      <c r="RF85" s="670">
        <f t="shared" si="30"/>
        <v>10.164652681355156</v>
      </c>
      <c r="RG85" s="670"/>
      <c r="RH85" s="670"/>
      <c r="RI85" s="670"/>
      <c r="RJ85" s="698">
        <f t="shared" si="69"/>
        <v>30</v>
      </c>
      <c r="RK85" s="699"/>
      <c r="RL85" s="726"/>
      <c r="RM85" s="670">
        <f t="shared" si="70"/>
        <v>10.353153851571602</v>
      </c>
      <c r="RN85" s="670"/>
      <c r="RO85" s="670"/>
      <c r="RP85" s="670"/>
      <c r="RQ85" s="670"/>
      <c r="RR85" s="670"/>
      <c r="RS85" s="671">
        <f t="shared" si="64"/>
        <v>1.560804663639157</v>
      </c>
      <c r="RT85" s="671"/>
      <c r="RU85" s="671"/>
      <c r="RV85" s="671"/>
      <c r="RW85" s="671"/>
      <c r="RX85" s="671"/>
      <c r="RY85" s="681">
        <f t="shared" si="71"/>
        <v>10.470143545928567</v>
      </c>
      <c r="RZ85" s="681"/>
      <c r="SA85" s="681"/>
      <c r="SB85" s="681"/>
      <c r="SC85" s="681">
        <f>'Вывод расчетов'!$AQ$6/RY85</f>
        <v>36.29367623596405</v>
      </c>
      <c r="SD85" s="681"/>
      <c r="SE85" s="681"/>
      <c r="SF85" s="681"/>
      <c r="SG85" s="867">
        <f t="shared" si="72"/>
        <v>0.98882635239490502</v>
      </c>
      <c r="SH85" s="867"/>
      <c r="SI85" s="867"/>
      <c r="SJ85" s="867"/>
      <c r="SK85" s="865">
        <f t="shared" si="73"/>
        <v>0.14907194507816404</v>
      </c>
      <c r="SL85" s="865"/>
      <c r="SM85" s="865"/>
      <c r="SN85" s="865"/>
      <c r="SO85" s="692">
        <f t="shared" si="26"/>
        <v>36.238465928541224</v>
      </c>
      <c r="SP85" s="693"/>
      <c r="SQ85" s="693"/>
      <c r="SR85" s="693"/>
      <c r="SS85" s="694"/>
      <c r="ST85" s="668">
        <f t="shared" si="24"/>
        <v>16.392445672528297</v>
      </c>
      <c r="SU85" s="678"/>
      <c r="SV85" s="678"/>
      <c r="SW85" s="678"/>
      <c r="SX85" s="678"/>
      <c r="SY85" s="669"/>
      <c r="SZ85" s="682">
        <f t="shared" si="74"/>
        <v>39.773592847275374</v>
      </c>
      <c r="TA85" s="683"/>
      <c r="TB85" s="683"/>
      <c r="TC85" s="683"/>
      <c r="TD85" s="683"/>
      <c r="TE85" s="684"/>
      <c r="TF85" s="682">
        <f>'Вывод расчетов'!$XC$174*SC85</f>
        <v>36.871675467813056</v>
      </c>
      <c r="TG85" s="683"/>
      <c r="TH85" s="684"/>
      <c r="TI85" s="681">
        <f t="shared" si="58"/>
        <v>41.311851158536996</v>
      </c>
      <c r="TJ85" s="681"/>
      <c r="TK85" s="681"/>
      <c r="TL85" s="681"/>
      <c r="TM85" s="685">
        <f t="shared" si="75"/>
        <v>0.88056828731707726</v>
      </c>
      <c r="TN85" s="686"/>
      <c r="TO85" s="686"/>
      <c r="TP85" s="687"/>
      <c r="TQ85" s="688">
        <f t="shared" si="76"/>
        <v>2.6912281854676925</v>
      </c>
      <c r="TR85" s="688"/>
      <c r="TS85" s="688"/>
      <c r="TT85" s="688"/>
      <c r="TU85" s="689">
        <f t="shared" si="77"/>
        <v>0.24979033354633706</v>
      </c>
      <c r="TV85" s="690"/>
      <c r="TW85" s="690"/>
      <c r="TX85" s="690"/>
      <c r="TY85" s="690"/>
      <c r="TZ85" s="691"/>
      <c r="UA85" s="679">
        <v>6.7000000000000004E-2</v>
      </c>
      <c r="UB85" s="680"/>
      <c r="UC85" s="650">
        <v>0.67</v>
      </c>
      <c r="UD85" s="866">
        <f t="shared" si="65"/>
        <v>4.7018736221585202</v>
      </c>
      <c r="UE85" s="866"/>
      <c r="UF85" s="866"/>
      <c r="UG85" s="866"/>
      <c r="UH85" s="866"/>
      <c r="UI85" s="866"/>
      <c r="UJ85" s="866"/>
      <c r="UK85" s="681">
        <f t="shared" si="66"/>
        <v>36.609977536378473</v>
      </c>
      <c r="UL85" s="681"/>
      <c r="UM85" s="681"/>
      <c r="UN85" s="681"/>
      <c r="UO85" s="816">
        <f t="shared" si="67"/>
        <v>0.88618584037508352</v>
      </c>
      <c r="UP85" s="816"/>
      <c r="UQ85" s="816"/>
      <c r="UR85" s="816"/>
      <c r="US85" s="866">
        <f t="shared" si="68"/>
        <v>0.91111874322471931</v>
      </c>
      <c r="UT85" s="866"/>
      <c r="UU85" s="866"/>
      <c r="UV85" s="866"/>
      <c r="UW85" s="866"/>
      <c r="WD85" s="827"/>
      <c r="WE85" s="560"/>
      <c r="WF85" s="848"/>
      <c r="WG85" s="848"/>
      <c r="WH85" s="707"/>
      <c r="WI85" s="707"/>
      <c r="WJ85" s="707"/>
      <c r="WK85" s="707"/>
      <c r="WL85" s="707"/>
      <c r="WM85" s="707"/>
      <c r="WN85" s="707"/>
      <c r="WO85" s="707"/>
      <c r="WP85" s="707"/>
      <c r="WQ85" s="708"/>
      <c r="WR85" s="765"/>
      <c r="WS85" s="766"/>
      <c r="WT85" s="918"/>
      <c r="WU85" s="898"/>
      <c r="WV85" s="713"/>
      <c r="WW85" s="954"/>
      <c r="WX85" s="955"/>
      <c r="WY85" s="747"/>
      <c r="WZ85" s="892"/>
      <c r="XA85" s="893"/>
      <c r="XB85" s="894"/>
      <c r="XC85" s="144"/>
      <c r="XD85" s="144"/>
      <c r="XO85" s="767"/>
      <c r="XP85" s="473" t="s">
        <v>1365</v>
      </c>
      <c r="XQ85" s="916">
        <f>$MN$59</f>
        <v>3.1821941356160961E-4</v>
      </c>
      <c r="XR85" s="916"/>
      <c r="XS85" s="703"/>
      <c r="XT85" s="704"/>
      <c r="XU85" s="704"/>
      <c r="XV85" s="704"/>
      <c r="XW85" s="704"/>
      <c r="XX85" s="704"/>
      <c r="XY85" s="704"/>
      <c r="XZ85" s="704"/>
      <c r="YA85" s="704"/>
      <c r="YB85" s="704"/>
      <c r="YC85" s="765"/>
      <c r="YD85" s="766"/>
      <c r="YE85" s="1117"/>
      <c r="YF85" s="1118"/>
      <c r="YG85" s="713"/>
      <c r="YH85" s="718"/>
      <c r="YI85" s="719"/>
      <c r="YJ85" s="1120"/>
      <c r="YK85" s="890"/>
      <c r="YL85" s="841"/>
      <c r="YM85" s="841"/>
      <c r="YN85" s="841"/>
      <c r="YO85" s="841"/>
      <c r="YP85" s="841"/>
      <c r="YQ85" s="841"/>
      <c r="YR85" s="891"/>
      <c r="YX85" s="144"/>
      <c r="YY85" s="144"/>
      <c r="YZ85" s="144"/>
      <c r="ZA85" s="144"/>
      <c r="AAD85" s="947"/>
      <c r="AAE85" s="947"/>
      <c r="AAF85" s="947"/>
      <c r="AAG85" s="947"/>
      <c r="AAH85" s="535">
        <v>12</v>
      </c>
      <c r="AAI85" s="956"/>
      <c r="AAJ85" s="957"/>
      <c r="AAK85" s="958">
        <f t="shared" si="59"/>
        <v>0.16</v>
      </c>
      <c r="AAL85" s="959"/>
      <c r="AAN85" s="947"/>
      <c r="AAO85" s="947"/>
      <c r="AAP85" s="947"/>
      <c r="AAQ85" s="947"/>
      <c r="AAR85" s="535">
        <v>72</v>
      </c>
      <c r="AAS85" s="956"/>
      <c r="AAT85" s="957"/>
      <c r="AAU85" s="958">
        <f t="shared" si="60"/>
        <v>0.96000000000000008</v>
      </c>
      <c r="AAV85" s="959"/>
      <c r="AAX85" s="947"/>
      <c r="AAY85" s="947"/>
      <c r="AAZ85" s="947"/>
      <c r="ABA85" s="947"/>
      <c r="ABB85" s="535">
        <v>132</v>
      </c>
      <c r="ABC85" s="956"/>
      <c r="ABD85" s="957"/>
      <c r="ABE85" s="958">
        <f t="shared" si="61"/>
        <v>1.76</v>
      </c>
      <c r="ABF85" s="959"/>
      <c r="ABH85" s="947"/>
      <c r="ABI85" s="947"/>
      <c r="ABJ85" s="947"/>
      <c r="ABK85" s="947"/>
      <c r="ABL85" s="537">
        <v>192</v>
      </c>
      <c r="ABM85" s="956"/>
      <c r="ABN85" s="957"/>
      <c r="ABO85" s="958">
        <f t="shared" si="62"/>
        <v>2.56</v>
      </c>
      <c r="ABP85" s="959"/>
      <c r="ABR85" s="947"/>
      <c r="ABS85" s="947"/>
      <c r="ABT85" s="947"/>
      <c r="ABU85" s="947"/>
      <c r="ABV85" s="537">
        <v>252</v>
      </c>
      <c r="ABW85" s="956"/>
      <c r="ABX85" s="957"/>
      <c r="ABY85" s="958">
        <f t="shared" si="63"/>
        <v>3.3600000000000003</v>
      </c>
      <c r="ABZ85" s="959"/>
      <c r="ADB85" s="1033"/>
      <c r="ADC85" s="1033"/>
      <c r="ADD85" s="182"/>
      <c r="ADE85" s="182"/>
      <c r="ADF85" s="182"/>
      <c r="ADG85" s="182"/>
      <c r="ADH85" s="1066" t="s">
        <v>1816</v>
      </c>
      <c r="ADI85" s="1067"/>
      <c r="ADJ85" s="1070" t="s">
        <v>762</v>
      </c>
      <c r="ADK85" s="1070"/>
      <c r="ADL85" s="1050" t="str">
        <f>ADL51</f>
        <v>-</v>
      </c>
      <c r="ADM85" s="1051"/>
      <c r="ADN85" s="1050" t="str">
        <f>ADN51</f>
        <v>-</v>
      </c>
      <c r="ADO85" s="1051"/>
      <c r="ADP85" s="1050" t="str">
        <f>ADP51</f>
        <v>-</v>
      </c>
      <c r="ADQ85" s="1051"/>
      <c r="ADR85" s="1050" t="str">
        <f>ADR51</f>
        <v>-</v>
      </c>
      <c r="ADS85" s="1051"/>
      <c r="ADT85" s="1050" t="str">
        <f>ADT51</f>
        <v>-</v>
      </c>
      <c r="ADU85" s="1051"/>
      <c r="ADV85" s="1050" t="str">
        <f>ADV51</f>
        <v>-</v>
      </c>
      <c r="ADW85" s="1051"/>
      <c r="ADX85" s="859"/>
      <c r="ADY85" s="1016"/>
      <c r="ADZ85" s="1016"/>
      <c r="AEA85" s="1016"/>
      <c r="AEB85" s="1016"/>
      <c r="AEC85" s="1016"/>
      <c r="AED85" s="1016"/>
      <c r="AEE85" s="1016"/>
      <c r="AEF85" s="860"/>
      <c r="AEG85" s="174"/>
      <c r="AEH85" s="174"/>
      <c r="AEI85" s="174"/>
      <c r="AEJ85" s="174"/>
      <c r="AEK85" s="175"/>
      <c r="AEL85" s="144"/>
      <c r="AEM85" s="144"/>
      <c r="AEN85" s="144"/>
      <c r="AEO85" s="144"/>
      <c r="AEP85" s="947"/>
      <c r="AEQ85" s="947"/>
      <c r="AER85" s="947"/>
      <c r="AES85" s="947"/>
      <c r="AET85" s="657">
        <v>41</v>
      </c>
      <c r="AEU85" s="956"/>
      <c r="AEV85" s="957"/>
      <c r="AEW85" s="958">
        <f t="shared" si="35"/>
        <v>1.2983333333333333</v>
      </c>
      <c r="AEX85" s="959"/>
      <c r="AEZ85" s="947"/>
      <c r="AFA85" s="947"/>
      <c r="AFB85" s="947"/>
      <c r="AFC85" s="947"/>
      <c r="AFD85" s="657">
        <v>101</v>
      </c>
      <c r="AFE85" s="956"/>
      <c r="AFF85" s="957"/>
      <c r="AFG85" s="958">
        <f t="shared" si="36"/>
        <v>3.1983333333333337</v>
      </c>
      <c r="AFH85" s="959"/>
      <c r="AFJ85" s="947"/>
      <c r="AFK85" s="947"/>
      <c r="AFL85" s="947"/>
      <c r="AFM85" s="947"/>
      <c r="AFN85" s="656">
        <v>161</v>
      </c>
      <c r="AFO85" s="956"/>
      <c r="AFP85" s="957"/>
      <c r="AFQ85" s="958">
        <f t="shared" si="37"/>
        <v>5.0983333333333336</v>
      </c>
      <c r="AFR85" s="959"/>
      <c r="AFT85" s="947"/>
      <c r="AFU85" s="947"/>
      <c r="AFV85" s="947"/>
      <c r="AFW85" s="947"/>
      <c r="AFX85" s="656">
        <v>221</v>
      </c>
      <c r="AFY85" s="956"/>
      <c r="AFZ85" s="957"/>
      <c r="AGA85" s="958"/>
      <c r="AGB85" s="959"/>
      <c r="AGD85" s="947"/>
      <c r="AGE85" s="947"/>
      <c r="AGF85" s="947"/>
      <c r="AGG85" s="947"/>
      <c r="AGH85" s="656">
        <v>281</v>
      </c>
      <c r="AGI85" s="956"/>
      <c r="AGJ85" s="957"/>
      <c r="AGK85" s="958"/>
      <c r="AGL85" s="959"/>
      <c r="AIM85" s="827"/>
      <c r="AIN85" s="707"/>
      <c r="AIO85" s="707"/>
      <c r="AIP85" s="707"/>
      <c r="AIQ85" s="707"/>
      <c r="AIR85" s="707"/>
      <c r="AIS85" s="707"/>
      <c r="AIT85" s="707"/>
      <c r="AIU85" s="707"/>
      <c r="AIV85" s="707"/>
      <c r="AIW85" s="707"/>
      <c r="AIX85" s="707"/>
      <c r="AIY85" s="707"/>
      <c r="AIZ85" s="707"/>
      <c r="AJA85" s="1022"/>
      <c r="AJB85" s="1023"/>
      <c r="AJC85" s="1023"/>
      <c r="AJD85" s="1023"/>
      <c r="AJE85" s="1023"/>
      <c r="AJF85" s="1023"/>
      <c r="AJG85" s="1023"/>
      <c r="AJH85" s="1024"/>
      <c r="AJI85" s="768"/>
      <c r="AJJ85" s="768"/>
      <c r="AJK85" s="768"/>
      <c r="AJL85" s="768"/>
      <c r="AJM85" s="768"/>
      <c r="AJN85" s="768"/>
      <c r="AJO85" s="768"/>
      <c r="AJP85" s="768"/>
      <c r="AJQ85" s="768"/>
      <c r="AJR85" s="768"/>
      <c r="AJS85" s="768"/>
      <c r="AJT85" s="768"/>
    </row>
    <row r="86" spans="14:964" ht="48" customHeight="1" thickBot="1">
      <c r="AI86" s="780"/>
      <c r="AJ86" s="781"/>
      <c r="AK86" s="782"/>
      <c r="AL86" s="84" t="s">
        <v>1816</v>
      </c>
      <c r="AM86" s="731" t="s">
        <v>19</v>
      </c>
      <c r="AN86" s="732"/>
      <c r="AO86" s="732"/>
      <c r="AP86" s="732"/>
      <c r="AQ86" s="732"/>
      <c r="AR86" s="732"/>
      <c r="AS86" s="732"/>
      <c r="AT86" s="732"/>
      <c r="AU86" s="732"/>
      <c r="AV86" s="732"/>
      <c r="AW86" s="732"/>
      <c r="AX86" s="732"/>
      <c r="AY86" s="732"/>
      <c r="AZ86" s="1397">
        <f>ROUND(AW82,2)</f>
        <v>0.13</v>
      </c>
      <c r="BA86" s="1398"/>
      <c r="BB86" s="1211" t="s">
        <v>737</v>
      </c>
      <c r="BC86" s="1212"/>
      <c r="BD86" s="712"/>
      <c r="BE86" s="740" t="s">
        <v>763</v>
      </c>
      <c r="BF86" s="742"/>
      <c r="BG86" s="746"/>
      <c r="BP86" s="144"/>
      <c r="BQ86" s="144"/>
      <c r="BR86" s="144"/>
      <c r="BS86" s="144"/>
      <c r="BT86" s="144"/>
      <c r="DZ86" s="777" t="s">
        <v>752</v>
      </c>
      <c r="EA86" s="778"/>
      <c r="EB86" s="779"/>
      <c r="EC86" s="85" t="s">
        <v>839</v>
      </c>
      <c r="ED86" s="665" t="s">
        <v>442</v>
      </c>
      <c r="EE86" s="666"/>
      <c r="EF86" s="239"/>
      <c r="EG86" s="87"/>
      <c r="EH86" s="87"/>
      <c r="EI86" s="87"/>
      <c r="EJ86" s="87"/>
      <c r="EK86" s="87"/>
      <c r="EL86" s="87"/>
      <c r="EM86" s="239"/>
      <c r="EN86" s="85" t="s">
        <v>467</v>
      </c>
      <c r="EO86" s="757" t="s">
        <v>461</v>
      </c>
      <c r="EP86" s="758"/>
      <c r="EQ86" s="819" t="s">
        <v>126</v>
      </c>
      <c r="ER86" s="820"/>
      <c r="ES86" s="675" t="s">
        <v>731</v>
      </c>
      <c r="ET86" s="1094"/>
      <c r="EU86" s="769" t="s">
        <v>473</v>
      </c>
      <c r="EV86" s="769"/>
      <c r="EW86" s="769"/>
      <c r="EX86" s="769"/>
      <c r="EY86" s="769"/>
      <c r="GC86" s="6"/>
      <c r="GD86" s="3"/>
      <c r="GE86" s="3"/>
      <c r="GF86" s="767"/>
      <c r="GG86" s="863" t="s">
        <v>1191</v>
      </c>
      <c r="GH86" s="863"/>
      <c r="GI86" s="863"/>
      <c r="GJ86" s="677">
        <f>$GW$73</f>
        <v>0.5</v>
      </c>
      <c r="GK86" s="677"/>
      <c r="GL86" s="816"/>
      <c r="GM86" s="816"/>
      <c r="GN86" s="816"/>
      <c r="GO86" s="816"/>
      <c r="GP86" s="816"/>
      <c r="GQ86" s="816"/>
      <c r="GR86" s="816"/>
      <c r="GS86" s="685"/>
      <c r="GT86" s="1089"/>
      <c r="GU86" s="708"/>
      <c r="GV86" s="1204"/>
      <c r="GW86" s="1065"/>
      <c r="GX86" s="715"/>
      <c r="GY86" s="743"/>
      <c r="GZ86" s="744"/>
      <c r="HA86" s="745"/>
      <c r="HB86" s="747"/>
      <c r="HC86" s="767"/>
      <c r="HD86" s="767"/>
      <c r="HE86" s="767"/>
      <c r="HF86" s="767"/>
      <c r="HG86" s="767"/>
      <c r="HH86" s="767"/>
      <c r="HI86" s="767"/>
      <c r="HJ86" s="767"/>
      <c r="HK86" s="767"/>
      <c r="HL86" s="767"/>
      <c r="HM86" s="767"/>
      <c r="HN86" s="767"/>
      <c r="HO86" s="767"/>
      <c r="HP86" s="241"/>
      <c r="IR86" s="825"/>
      <c r="IS86" s="147" t="s">
        <v>442</v>
      </c>
      <c r="IT86" s="148"/>
      <c r="IU86" s="156"/>
      <c r="IV86" s="87"/>
      <c r="IW86" s="87"/>
      <c r="IX86" s="87"/>
      <c r="IY86" s="87"/>
      <c r="IZ86" s="87"/>
      <c r="JA86" s="87"/>
      <c r="JB86" s="156"/>
      <c r="JC86" s="85" t="s">
        <v>467</v>
      </c>
      <c r="JD86" s="1359" t="s">
        <v>461</v>
      </c>
      <c r="JE86" s="757"/>
      <c r="JF86" s="774" t="s">
        <v>126</v>
      </c>
      <c r="JG86" s="776"/>
      <c r="JH86" s="1094" t="s">
        <v>731</v>
      </c>
      <c r="JI86" s="676"/>
      <c r="JJ86" s="821" t="s">
        <v>473</v>
      </c>
      <c r="JK86" s="822"/>
      <c r="JL86" s="822"/>
      <c r="JM86" s="823"/>
      <c r="JN86" s="769" t="s">
        <v>462</v>
      </c>
      <c r="JO86" s="769"/>
      <c r="JP86" s="769"/>
      <c r="JQ86" s="769"/>
      <c r="LZ86" s="826"/>
      <c r="MA86" s="355" t="s">
        <v>863</v>
      </c>
      <c r="MB86" s="724">
        <f>$CM$32</f>
        <v>3</v>
      </c>
      <c r="MC86" s="724"/>
      <c r="MD86" s="375" t="s">
        <v>1180</v>
      </c>
      <c r="ME86" s="756">
        <f>$GW$24</f>
        <v>58</v>
      </c>
      <c r="MF86" s="756"/>
      <c r="MG86" s="939" t="s">
        <v>1331</v>
      </c>
      <c r="MH86" s="940"/>
      <c r="MI86" s="940"/>
      <c r="MJ86" s="940"/>
      <c r="MK86" s="940"/>
      <c r="ML86" s="940"/>
      <c r="MM86" s="1003"/>
      <c r="MN86" s="1193">
        <f>(4*MB86*ME87*(CL68*CL76)^2)/GW24</f>
        <v>0.65984741945763259</v>
      </c>
      <c r="MO86" s="1194"/>
      <c r="MP86" s="895" t="s">
        <v>415</v>
      </c>
      <c r="MQ86" s="896"/>
      <c r="MR86" s="714"/>
      <c r="MS86" s="716" t="s">
        <v>1361</v>
      </c>
      <c r="MT86" s="717"/>
      <c r="MU86" s="746"/>
      <c r="MV86" s="767"/>
      <c r="MW86" s="767"/>
      <c r="MX86" s="767"/>
      <c r="MY86" s="767"/>
      <c r="MZ86" s="767"/>
      <c r="NA86" s="767"/>
      <c r="OF86" s="795"/>
      <c r="OG86" s="796"/>
      <c r="OH86" s="797"/>
      <c r="PJ86" s="827"/>
      <c r="PK86" s="517" t="s">
        <v>1169</v>
      </c>
      <c r="PL86" s="672">
        <f>$CL$92</f>
        <v>0.75945292831578104</v>
      </c>
      <c r="PM86" s="672"/>
      <c r="PN86" s="706"/>
      <c r="PO86" s="707"/>
      <c r="PP86" s="707"/>
      <c r="PQ86" s="707"/>
      <c r="PR86" s="707"/>
      <c r="PS86" s="707"/>
      <c r="PT86" s="707"/>
      <c r="PU86" s="707"/>
      <c r="PV86" s="707"/>
      <c r="PW86" s="708"/>
      <c r="PX86" s="765"/>
      <c r="PY86" s="766"/>
      <c r="PZ86" s="761"/>
      <c r="QA86" s="762"/>
      <c r="QB86" s="715"/>
      <c r="QC86" s="954"/>
      <c r="QD86" s="955"/>
      <c r="QE86" s="747"/>
      <c r="QF86" s="892"/>
      <c r="QG86" s="893"/>
      <c r="QH86" s="893"/>
      <c r="QI86" s="893"/>
      <c r="QJ86" s="893"/>
      <c r="QK86" s="894"/>
      <c r="QQ86" s="144"/>
      <c r="QR86" s="144"/>
      <c r="QS86" s="144"/>
      <c r="QT86" s="144"/>
      <c r="QU86" s="144"/>
      <c r="RC86" s="369">
        <v>68</v>
      </c>
      <c r="RD86" s="668">
        <v>6.8000000000000005E-2</v>
      </c>
      <c r="RE86" s="669"/>
      <c r="RF86" s="670">
        <f t="shared" si="30"/>
        <v>10.01517249486464</v>
      </c>
      <c r="RG86" s="670"/>
      <c r="RH86" s="670"/>
      <c r="RI86" s="670"/>
      <c r="RJ86" s="698">
        <f t="shared" si="69"/>
        <v>30</v>
      </c>
      <c r="RK86" s="699"/>
      <c r="RL86" s="726"/>
      <c r="RM86" s="670">
        <f t="shared" si="70"/>
        <v>10.203673665081086</v>
      </c>
      <c r="RN86" s="670"/>
      <c r="RO86" s="670"/>
      <c r="RP86" s="670"/>
      <c r="RQ86" s="670"/>
      <c r="RR86" s="670"/>
      <c r="RS86" s="671">
        <f t="shared" si="64"/>
        <v>1.560804663639157</v>
      </c>
      <c r="RT86" s="671"/>
      <c r="RU86" s="671"/>
      <c r="RV86" s="671"/>
      <c r="RW86" s="671"/>
      <c r="RX86" s="671"/>
      <c r="RY86" s="681">
        <f t="shared" si="71"/>
        <v>10.322357650338754</v>
      </c>
      <c r="RZ86" s="681"/>
      <c r="SA86" s="681"/>
      <c r="SB86" s="681"/>
      <c r="SC86" s="681">
        <f>'Вывод расчетов'!$AQ$6/RY86</f>
        <v>36.813295263754917</v>
      </c>
      <c r="SD86" s="681"/>
      <c r="SE86" s="681"/>
      <c r="SF86" s="681"/>
      <c r="SG86" s="867">
        <f t="shared" si="72"/>
        <v>0.98850224054639557</v>
      </c>
      <c r="SH86" s="867"/>
      <c r="SI86" s="867"/>
      <c r="SJ86" s="867"/>
      <c r="SK86" s="865">
        <f t="shared" si="73"/>
        <v>0.15120621824103675</v>
      </c>
      <c r="SL86" s="865"/>
      <c r="SM86" s="865"/>
      <c r="SN86" s="865"/>
      <c r="SO86" s="692">
        <f t="shared" si="26"/>
        <v>36.740347291248995</v>
      </c>
      <c r="SP86" s="693"/>
      <c r="SQ86" s="693"/>
      <c r="SR86" s="693"/>
      <c r="SS86" s="694"/>
      <c r="ST86" s="668">
        <f t="shared" si="24"/>
        <v>16.548475919819044</v>
      </c>
      <c r="SU86" s="678"/>
      <c r="SV86" s="678"/>
      <c r="SW86" s="678"/>
      <c r="SX86" s="678"/>
      <c r="SY86" s="669"/>
      <c r="SZ86" s="682">
        <f t="shared" si="74"/>
        <v>40.295225205356751</v>
      </c>
      <c r="TA86" s="683"/>
      <c r="TB86" s="683"/>
      <c r="TC86" s="683"/>
      <c r="TD86" s="683"/>
      <c r="TE86" s="684"/>
      <c r="TF86" s="682">
        <f>'Вывод расчетов'!$XC$174*SC86</f>
        <v>37.399569749864874</v>
      </c>
      <c r="TG86" s="683"/>
      <c r="TH86" s="684"/>
      <c r="TI86" s="681">
        <f t="shared" si="58"/>
        <v>41.883995912023856</v>
      </c>
      <c r="TJ86" s="681"/>
      <c r="TK86" s="681"/>
      <c r="TL86" s="681"/>
      <c r="TM86" s="685">
        <f t="shared" si="75"/>
        <v>0.90381712979697093</v>
      </c>
      <c r="TN86" s="686"/>
      <c r="TO86" s="686"/>
      <c r="TP86" s="687"/>
      <c r="TQ86" s="688">
        <f t="shared" si="76"/>
        <v>2.7688408226534706</v>
      </c>
      <c r="TR86" s="688"/>
      <c r="TS86" s="688"/>
      <c r="TT86" s="688"/>
      <c r="TU86" s="689">
        <f t="shared" si="77"/>
        <v>0.25638532021717519</v>
      </c>
      <c r="TV86" s="690"/>
      <c r="TW86" s="690"/>
      <c r="TX86" s="690"/>
      <c r="TY86" s="690"/>
      <c r="TZ86" s="691"/>
      <c r="UA86" s="679">
        <v>6.8000000000000005E-2</v>
      </c>
      <c r="UB86" s="680"/>
      <c r="UC86" s="650">
        <v>0.68</v>
      </c>
      <c r="UD86" s="866">
        <f t="shared" si="65"/>
        <v>4.809330088495031</v>
      </c>
      <c r="UE86" s="866"/>
      <c r="UF86" s="866"/>
      <c r="UG86" s="866"/>
      <c r="UH86" s="866"/>
      <c r="UI86" s="866"/>
      <c r="UJ86" s="866"/>
      <c r="UK86" s="681">
        <f t="shared" si="66"/>
        <v>37.074665823528825</v>
      </c>
      <c r="UL86" s="681"/>
      <c r="UM86" s="681"/>
      <c r="UN86" s="681"/>
      <c r="UO86" s="816">
        <f t="shared" si="67"/>
        <v>0.88517499384259102</v>
      </c>
      <c r="UP86" s="816"/>
      <c r="UQ86" s="816"/>
      <c r="UR86" s="816"/>
      <c r="US86" s="866">
        <f t="shared" si="68"/>
        <v>0.91177917740896064</v>
      </c>
      <c r="UT86" s="866"/>
      <c r="UU86" s="866"/>
      <c r="UV86" s="866"/>
      <c r="UW86" s="866"/>
      <c r="VV86" s="144"/>
      <c r="VW86" s="144"/>
      <c r="VX86" s="144"/>
      <c r="XB86" s="144"/>
      <c r="XC86" s="144"/>
      <c r="XD86" s="144"/>
      <c r="XO86" s="768"/>
      <c r="XP86" s="479" t="s">
        <v>1341</v>
      </c>
      <c r="XQ86" s="1061">
        <f>$MN$69</f>
        <v>1.5573482713531094E-4</v>
      </c>
      <c r="XR86" s="1061"/>
      <c r="XS86" s="706"/>
      <c r="XT86" s="707"/>
      <c r="XU86" s="707"/>
      <c r="XV86" s="707"/>
      <c r="XW86" s="707"/>
      <c r="XX86" s="707"/>
      <c r="XY86" s="707"/>
      <c r="XZ86" s="707"/>
      <c r="YA86" s="707"/>
      <c r="YB86" s="707"/>
      <c r="YC86" s="1022"/>
      <c r="YD86" s="1023"/>
      <c r="YE86" s="1023"/>
      <c r="YF86" s="1023"/>
      <c r="YG86" s="1023"/>
      <c r="YH86" s="1023"/>
      <c r="YI86" s="1023"/>
      <c r="YJ86" s="1024"/>
      <c r="YK86" s="892"/>
      <c r="YL86" s="893"/>
      <c r="YM86" s="893"/>
      <c r="YN86" s="893"/>
      <c r="YO86" s="893"/>
      <c r="YP86" s="893"/>
      <c r="YQ86" s="893"/>
      <c r="YR86" s="894"/>
      <c r="YX86" s="144"/>
      <c r="YZ86" s="144"/>
      <c r="ZA86" s="144"/>
      <c r="AAD86" s="947"/>
      <c r="AAE86" s="947"/>
      <c r="AAF86" s="947"/>
      <c r="AAG86" s="947"/>
      <c r="AAH86" s="535">
        <v>13</v>
      </c>
      <c r="AAI86" s="956"/>
      <c r="AAJ86" s="957"/>
      <c r="AAK86" s="958">
        <f t="shared" si="59"/>
        <v>0.17333333333333334</v>
      </c>
      <c r="AAL86" s="959"/>
      <c r="AAN86" s="947"/>
      <c r="AAO86" s="947"/>
      <c r="AAP86" s="947"/>
      <c r="AAQ86" s="947"/>
      <c r="AAR86" s="535">
        <v>73</v>
      </c>
      <c r="AAS86" s="956"/>
      <c r="AAT86" s="957"/>
      <c r="AAU86" s="958">
        <f t="shared" si="60"/>
        <v>0.97333333333333338</v>
      </c>
      <c r="AAV86" s="959"/>
      <c r="AAX86" s="947"/>
      <c r="AAY86" s="947"/>
      <c r="AAZ86" s="947"/>
      <c r="ABA86" s="947"/>
      <c r="ABB86" s="535">
        <v>133</v>
      </c>
      <c r="ABC86" s="956"/>
      <c r="ABD86" s="957"/>
      <c r="ABE86" s="958">
        <f t="shared" si="61"/>
        <v>1.7733333333333334</v>
      </c>
      <c r="ABF86" s="959"/>
      <c r="ABH86" s="947"/>
      <c r="ABI86" s="947"/>
      <c r="ABJ86" s="947"/>
      <c r="ABK86" s="947"/>
      <c r="ABL86" s="537">
        <v>193</v>
      </c>
      <c r="ABM86" s="956"/>
      <c r="ABN86" s="957"/>
      <c r="ABO86" s="958">
        <f t="shared" si="62"/>
        <v>2.5733333333333337</v>
      </c>
      <c r="ABP86" s="959"/>
      <c r="ABR86" s="947"/>
      <c r="ABS86" s="947"/>
      <c r="ABT86" s="947"/>
      <c r="ABU86" s="947"/>
      <c r="ABV86" s="537">
        <v>253</v>
      </c>
      <c r="ABW86" s="956"/>
      <c r="ABX86" s="957"/>
      <c r="ABY86" s="958">
        <f t="shared" si="63"/>
        <v>3.3733333333333335</v>
      </c>
      <c r="ABZ86" s="959"/>
      <c r="ADB86" s="1033"/>
      <c r="ADC86" s="1033"/>
      <c r="ADD86" s="184"/>
      <c r="ADE86" s="184"/>
      <c r="ADF86" s="184"/>
      <c r="ADG86" s="184"/>
      <c r="ADH86" s="1068"/>
      <c r="ADI86" s="1069"/>
      <c r="ADJ86" s="1070"/>
      <c r="ADK86" s="1070"/>
      <c r="ADL86" s="1050"/>
      <c r="ADM86" s="1051"/>
      <c r="ADN86" s="1050"/>
      <c r="ADO86" s="1051"/>
      <c r="ADP86" s="1050"/>
      <c r="ADQ86" s="1051"/>
      <c r="ADR86" s="1050"/>
      <c r="ADS86" s="1051"/>
      <c r="ADT86" s="1050"/>
      <c r="ADU86" s="1051"/>
      <c r="ADV86" s="1050"/>
      <c r="ADW86" s="1051"/>
      <c r="ADX86" s="861"/>
      <c r="ADY86" s="1017"/>
      <c r="ADZ86" s="1017"/>
      <c r="AEA86" s="1017"/>
      <c r="AEB86" s="1017"/>
      <c r="AEC86" s="1017"/>
      <c r="AED86" s="1017"/>
      <c r="AEE86" s="1017"/>
      <c r="AEF86" s="862"/>
      <c r="AEG86" s="172"/>
      <c r="AEH86" s="172"/>
      <c r="AEI86" s="172"/>
      <c r="AEJ86" s="172"/>
      <c r="AEK86" s="177"/>
      <c r="AEL86" s="144"/>
      <c r="AEM86" s="144"/>
      <c r="AEN86" s="144"/>
      <c r="AEO86" s="144"/>
      <c r="AEP86" s="947"/>
      <c r="AEQ86" s="947"/>
      <c r="AER86" s="947"/>
      <c r="AES86" s="947"/>
      <c r="AET86" s="657">
        <v>42</v>
      </c>
      <c r="AEU86" s="956"/>
      <c r="AEV86" s="957"/>
      <c r="AEW86" s="958">
        <f t="shared" si="35"/>
        <v>1.33</v>
      </c>
      <c r="AEX86" s="959"/>
      <c r="AEZ86" s="947"/>
      <c r="AFA86" s="947"/>
      <c r="AFB86" s="947"/>
      <c r="AFC86" s="947"/>
      <c r="AFD86" s="657">
        <v>102</v>
      </c>
      <c r="AFE86" s="956"/>
      <c r="AFF86" s="957"/>
      <c r="AFG86" s="958">
        <f t="shared" si="36"/>
        <v>3.2300000000000004</v>
      </c>
      <c r="AFH86" s="959"/>
      <c r="AFJ86" s="947"/>
      <c r="AFK86" s="947"/>
      <c r="AFL86" s="947"/>
      <c r="AFM86" s="947"/>
      <c r="AFN86" s="656">
        <v>162</v>
      </c>
      <c r="AFO86" s="956"/>
      <c r="AFP86" s="957"/>
      <c r="AFQ86" s="958">
        <f t="shared" si="37"/>
        <v>5.1300000000000008</v>
      </c>
      <c r="AFR86" s="959"/>
      <c r="AFT86" s="947"/>
      <c r="AFU86" s="947"/>
      <c r="AFV86" s="947"/>
      <c r="AFW86" s="947"/>
      <c r="AFX86" s="656">
        <v>222</v>
      </c>
      <c r="AFY86" s="956"/>
      <c r="AFZ86" s="957"/>
      <c r="AGA86" s="958"/>
      <c r="AGB86" s="959"/>
      <c r="AGD86" s="947"/>
      <c r="AGE86" s="947"/>
      <c r="AGF86" s="947"/>
      <c r="AGG86" s="947"/>
      <c r="AGH86" s="656">
        <v>282</v>
      </c>
      <c r="AGI86" s="956"/>
      <c r="AGJ86" s="957"/>
      <c r="AGK86" s="958"/>
      <c r="AGL86" s="959"/>
    </row>
    <row r="87" spans="14:964" ht="48" customHeight="1" thickBot="1">
      <c r="AI87" s="783"/>
      <c r="AJ87" s="784"/>
      <c r="AK87" s="785"/>
      <c r="AL87" s="240" t="s">
        <v>703</v>
      </c>
      <c r="AM87" s="734"/>
      <c r="AN87" s="735"/>
      <c r="AO87" s="735"/>
      <c r="AP87" s="735"/>
      <c r="AQ87" s="735"/>
      <c r="AR87" s="735"/>
      <c r="AS87" s="735"/>
      <c r="AT87" s="735"/>
      <c r="AU87" s="735"/>
      <c r="AV87" s="735"/>
      <c r="AW87" s="735"/>
      <c r="AX87" s="735"/>
      <c r="AY87" s="735"/>
      <c r="AZ87" s="1399"/>
      <c r="BA87" s="736"/>
      <c r="BB87" s="1215"/>
      <c r="BC87" s="1216"/>
      <c r="BD87" s="713"/>
      <c r="BE87" s="743"/>
      <c r="BF87" s="745"/>
      <c r="BG87" s="747"/>
      <c r="BP87" s="144"/>
      <c r="BQ87" s="144"/>
      <c r="BR87" s="144"/>
      <c r="BS87" s="144"/>
      <c r="BT87" s="144"/>
      <c r="BX87" s="825"/>
      <c r="BY87" s="665" t="s">
        <v>37</v>
      </c>
      <c r="BZ87" s="666"/>
      <c r="CA87" s="146"/>
      <c r="CB87" s="87"/>
      <c r="CC87" s="87"/>
      <c r="CD87" s="87"/>
      <c r="CE87" s="87"/>
      <c r="CF87" s="87"/>
      <c r="CG87" s="87"/>
      <c r="CH87" s="146"/>
      <c r="CI87" s="85" t="s">
        <v>467</v>
      </c>
      <c r="CJ87" s="757" t="s">
        <v>461</v>
      </c>
      <c r="CK87" s="973"/>
      <c r="CL87" s="1236" t="s">
        <v>126</v>
      </c>
      <c r="CM87" s="1236"/>
      <c r="CN87" s="675" t="s">
        <v>731</v>
      </c>
      <c r="CO87" s="676"/>
      <c r="CP87" s="821" t="s">
        <v>473</v>
      </c>
      <c r="CQ87" s="822"/>
      <c r="CR87" s="822"/>
      <c r="CS87" s="823"/>
      <c r="CT87" s="769" t="s">
        <v>462</v>
      </c>
      <c r="CU87" s="769"/>
      <c r="CV87" s="769"/>
      <c r="CW87" s="769"/>
      <c r="CX87" s="769"/>
      <c r="DZ87" s="780"/>
      <c r="EA87" s="781"/>
      <c r="EB87" s="782"/>
      <c r="EC87" s="214" t="s">
        <v>899</v>
      </c>
      <c r="ED87" s="816"/>
      <c r="EE87" s="816"/>
      <c r="EF87" s="816"/>
      <c r="EG87" s="816"/>
      <c r="EH87" s="816"/>
      <c r="EI87" s="816"/>
      <c r="EJ87" s="816"/>
      <c r="EK87" s="816"/>
      <c r="EL87" s="816"/>
      <c r="EM87" s="816"/>
      <c r="EN87" s="816"/>
      <c r="EO87" s="816"/>
      <c r="EP87" s="816"/>
      <c r="EQ87" s="752">
        <f>ROUND(EN82,1)</f>
        <v>22.5</v>
      </c>
      <c r="ER87" s="753"/>
      <c r="ES87" s="759" t="s">
        <v>50</v>
      </c>
      <c r="ET87" s="1356"/>
      <c r="EU87" s="1085"/>
      <c r="EV87" s="1092" t="s">
        <v>1203</v>
      </c>
      <c r="EW87" s="1092"/>
      <c r="EX87" s="1092"/>
      <c r="EY87" s="1085"/>
      <c r="GC87" s="6"/>
      <c r="GD87" s="3"/>
      <c r="GE87" s="3"/>
      <c r="GF87" s="768"/>
      <c r="GG87" s="1372" t="s">
        <v>1192</v>
      </c>
      <c r="GH87" s="1372"/>
      <c r="GI87" s="1372"/>
      <c r="GJ87" s="672">
        <f>$GW$77</f>
        <v>1</v>
      </c>
      <c r="GK87" s="672"/>
      <c r="GL87" s="818"/>
      <c r="GM87" s="818"/>
      <c r="GN87" s="818"/>
      <c r="GO87" s="818"/>
      <c r="GP87" s="818"/>
      <c r="GQ87" s="818"/>
      <c r="GR87" s="818"/>
      <c r="GS87" s="818"/>
      <c r="GT87" s="1023"/>
      <c r="GU87" s="1023"/>
      <c r="GV87" s="1023"/>
      <c r="GW87" s="1023"/>
      <c r="GX87" s="1023"/>
      <c r="GY87" s="1023"/>
      <c r="GZ87" s="1023"/>
      <c r="HA87" s="1023"/>
      <c r="HB87" s="1024"/>
      <c r="HC87" s="768"/>
      <c r="HD87" s="768"/>
      <c r="HE87" s="768"/>
      <c r="HF87" s="768"/>
      <c r="HG87" s="768"/>
      <c r="HH87" s="768"/>
      <c r="HI87" s="768"/>
      <c r="HJ87" s="768"/>
      <c r="HK87" s="768"/>
      <c r="HL87" s="768"/>
      <c r="HM87" s="768"/>
      <c r="HN87" s="768"/>
      <c r="HO87" s="768"/>
      <c r="HP87" s="241"/>
      <c r="HQ87" s="777" t="s">
        <v>752</v>
      </c>
      <c r="HR87" s="778"/>
      <c r="HS87" s="779"/>
      <c r="HT87" s="85" t="s">
        <v>839</v>
      </c>
      <c r="HU87" s="665" t="s">
        <v>442</v>
      </c>
      <c r="HV87" s="667"/>
      <c r="HW87" s="239"/>
      <c r="HX87" s="87"/>
      <c r="HY87" s="87"/>
      <c r="HZ87" s="87"/>
      <c r="IA87" s="87"/>
      <c r="IB87" s="87"/>
      <c r="IC87" s="87"/>
      <c r="ID87" s="239"/>
      <c r="IE87" s="85" t="s">
        <v>467</v>
      </c>
      <c r="IF87" s="757" t="s">
        <v>461</v>
      </c>
      <c r="IG87" s="758"/>
      <c r="IH87" s="819" t="s">
        <v>126</v>
      </c>
      <c r="II87" s="820"/>
      <c r="IJ87" s="675" t="s">
        <v>731</v>
      </c>
      <c r="IK87" s="676"/>
      <c r="IL87" s="821" t="s">
        <v>473</v>
      </c>
      <c r="IM87" s="822"/>
      <c r="IN87" s="822"/>
      <c r="IO87" s="822"/>
      <c r="IP87" s="823"/>
      <c r="IR87" s="826"/>
      <c r="IS87" s="700" t="s">
        <v>77</v>
      </c>
      <c r="IT87" s="701"/>
      <c r="IU87" s="701"/>
      <c r="IV87" s="701"/>
      <c r="IW87" s="701"/>
      <c r="IX87" s="701"/>
      <c r="IY87" s="701"/>
      <c r="IZ87" s="701"/>
      <c r="JA87" s="701"/>
      <c r="JB87" s="701"/>
      <c r="JC87" s="701"/>
      <c r="JD87" s="701"/>
      <c r="JE87" s="702"/>
      <c r="JF87" s="752">
        <f>JF100/1000*JI136</f>
        <v>7.5857689999999982</v>
      </c>
      <c r="JG87" s="753"/>
      <c r="JH87" s="1203" t="s">
        <v>35</v>
      </c>
      <c r="JI87" s="1063"/>
      <c r="JJ87" s="712"/>
      <c r="JK87" s="740" t="s">
        <v>896</v>
      </c>
      <c r="JL87" s="742"/>
      <c r="JM87" s="746"/>
      <c r="JN87" s="890"/>
      <c r="JO87" s="841"/>
      <c r="JP87" s="841"/>
      <c r="JQ87" s="891"/>
      <c r="LZ87" s="827"/>
      <c r="MA87" s="356" t="s">
        <v>1178</v>
      </c>
      <c r="MB87" s="738">
        <f>$CL$68</f>
        <v>104.5</v>
      </c>
      <c r="MC87" s="738"/>
      <c r="MD87" s="376" t="s">
        <v>1365</v>
      </c>
      <c r="ME87" s="1018">
        <f>$MN$59</f>
        <v>3.1821941356160961E-4</v>
      </c>
      <c r="MF87" s="1018"/>
      <c r="MG87" s="943"/>
      <c r="MH87" s="944"/>
      <c r="MI87" s="944"/>
      <c r="MJ87" s="944"/>
      <c r="MK87" s="944"/>
      <c r="ML87" s="944"/>
      <c r="MM87" s="1004"/>
      <c r="MN87" s="1195"/>
      <c r="MO87" s="1196"/>
      <c r="MP87" s="897"/>
      <c r="MQ87" s="898"/>
      <c r="MR87" s="715"/>
      <c r="MS87" s="718"/>
      <c r="MT87" s="719"/>
      <c r="MU87" s="747"/>
      <c r="MV87" s="768"/>
      <c r="MW87" s="768"/>
      <c r="MX87" s="768"/>
      <c r="MY87" s="768"/>
      <c r="MZ87" s="768"/>
      <c r="NA87" s="768"/>
      <c r="OF87" s="798"/>
      <c r="OG87" s="799"/>
      <c r="OH87" s="800"/>
      <c r="QQ87" s="144"/>
      <c r="QR87" s="144"/>
      <c r="RC87" s="369">
        <v>69</v>
      </c>
      <c r="RD87" s="668">
        <v>6.9000000000000006E-2</v>
      </c>
      <c r="RE87" s="669"/>
      <c r="RF87" s="670">
        <f t="shared" si="30"/>
        <v>9.8700250674028318</v>
      </c>
      <c r="RG87" s="670"/>
      <c r="RH87" s="670"/>
      <c r="RI87" s="670"/>
      <c r="RJ87" s="698">
        <f t="shared" si="69"/>
        <v>30</v>
      </c>
      <c r="RK87" s="699"/>
      <c r="RL87" s="726"/>
      <c r="RM87" s="670">
        <f t="shared" si="70"/>
        <v>10.058526237619278</v>
      </c>
      <c r="RN87" s="670"/>
      <c r="RO87" s="670"/>
      <c r="RP87" s="670"/>
      <c r="RQ87" s="670"/>
      <c r="RR87" s="670"/>
      <c r="RS87" s="671">
        <f t="shared" si="64"/>
        <v>1.560804663639157</v>
      </c>
      <c r="RT87" s="671"/>
      <c r="RU87" s="671"/>
      <c r="RV87" s="671"/>
      <c r="RW87" s="671"/>
      <c r="RX87" s="671"/>
      <c r="RY87" s="681">
        <f t="shared" si="71"/>
        <v>10.178902753780152</v>
      </c>
      <c r="RZ87" s="681"/>
      <c r="SA87" s="681"/>
      <c r="SB87" s="681"/>
      <c r="SC87" s="681">
        <f>'Вывод расчетов'!$AQ$6/RY87</f>
        <v>37.33211812627632</v>
      </c>
      <c r="SD87" s="681"/>
      <c r="SE87" s="681"/>
      <c r="SF87" s="681"/>
      <c r="SG87" s="867">
        <f t="shared" si="72"/>
        <v>0.98817392020803319</v>
      </c>
      <c r="SH87" s="867"/>
      <c r="SI87" s="867"/>
      <c r="SJ87" s="867"/>
      <c r="SK87" s="865">
        <f t="shared" si="73"/>
        <v>0.15333722125005261</v>
      </c>
      <c r="SL87" s="865"/>
      <c r="SM87" s="865"/>
      <c r="SN87" s="865"/>
      <c r="SO87" s="692">
        <f t="shared" si="26"/>
        <v>37.240947959643094</v>
      </c>
      <c r="SP87" s="693"/>
      <c r="SQ87" s="693"/>
      <c r="SR87" s="693"/>
      <c r="SS87" s="694"/>
      <c r="ST87" s="668">
        <f t="shared" si="24"/>
        <v>16.706480018857924</v>
      </c>
      <c r="SU87" s="678"/>
      <c r="SV87" s="678"/>
      <c r="SW87" s="678"/>
      <c r="SX87" s="678"/>
      <c r="SY87" s="669"/>
      <c r="SZ87" s="682">
        <f t="shared" si="74"/>
        <v>40.816598088931229</v>
      </c>
      <c r="TA87" s="683"/>
      <c r="TB87" s="683"/>
      <c r="TC87" s="683"/>
      <c r="TD87" s="683"/>
      <c r="TE87" s="684"/>
      <c r="TF87" s="682">
        <f>'Вывод расчетов'!$XC$174*SC87</f>
        <v>37.926655187223098</v>
      </c>
      <c r="TG87" s="683"/>
      <c r="TH87" s="684"/>
      <c r="TI87" s="681">
        <f t="shared" si="58"/>
        <v>42.454680673993124</v>
      </c>
      <c r="TJ87" s="681"/>
      <c r="TK87" s="681"/>
      <c r="TL87" s="681"/>
      <c r="TM87" s="685">
        <f t="shared" si="75"/>
        <v>0.92735710479787237</v>
      </c>
      <c r="TN87" s="686"/>
      <c r="TO87" s="686"/>
      <c r="TP87" s="687"/>
      <c r="TQ87" s="688">
        <f t="shared" si="76"/>
        <v>2.8474352940813037</v>
      </c>
      <c r="TR87" s="688"/>
      <c r="TS87" s="688"/>
      <c r="TT87" s="688"/>
      <c r="TU87" s="689">
        <f t="shared" si="77"/>
        <v>0.26306289229402458</v>
      </c>
      <c r="TV87" s="690"/>
      <c r="TW87" s="690"/>
      <c r="TX87" s="690"/>
      <c r="TY87" s="690"/>
      <c r="TZ87" s="691"/>
      <c r="UA87" s="756">
        <v>6.9000000000000006E-2</v>
      </c>
      <c r="UB87" s="756"/>
      <c r="UC87" s="650">
        <v>0.69</v>
      </c>
      <c r="UD87" s="866">
        <f t="shared" si="65"/>
        <v>4.9181421070006142</v>
      </c>
      <c r="UE87" s="866"/>
      <c r="UF87" s="866"/>
      <c r="UG87" s="866"/>
      <c r="UH87" s="866"/>
      <c r="UI87" s="866"/>
      <c r="UJ87" s="866"/>
      <c r="UK87" s="681">
        <f t="shared" si="66"/>
        <v>37.536538566992512</v>
      </c>
      <c r="UL87" s="681"/>
      <c r="UM87" s="681"/>
      <c r="UN87" s="681"/>
      <c r="UO87" s="816">
        <f t="shared" si="67"/>
        <v>0.88415547993949772</v>
      </c>
      <c r="UP87" s="816"/>
      <c r="UQ87" s="816"/>
      <c r="UR87" s="816"/>
      <c r="US87" s="866">
        <f t="shared" si="68"/>
        <v>0.9123971546698354</v>
      </c>
      <c r="UT87" s="866"/>
      <c r="UU87" s="866"/>
      <c r="UV87" s="866"/>
      <c r="UW87" s="866"/>
      <c r="WD87" s="825"/>
      <c r="WE87" s="665" t="s">
        <v>442</v>
      </c>
      <c r="WF87" s="666"/>
      <c r="WG87" s="522"/>
      <c r="WH87" s="87"/>
      <c r="WI87" s="87"/>
      <c r="WJ87" s="87"/>
      <c r="WK87" s="87"/>
      <c r="WL87" s="87"/>
      <c r="WM87" s="87"/>
      <c r="WN87" s="522"/>
      <c r="WO87" s="85" t="s">
        <v>467</v>
      </c>
      <c r="WP87" s="757" t="s">
        <v>461</v>
      </c>
      <c r="WQ87" s="899"/>
      <c r="WR87" s="774" t="s">
        <v>126</v>
      </c>
      <c r="WS87" s="776"/>
      <c r="WT87" s="675" t="s">
        <v>731</v>
      </c>
      <c r="WU87" s="676"/>
      <c r="WV87" s="821" t="s">
        <v>473</v>
      </c>
      <c r="WW87" s="822"/>
      <c r="WX87" s="822"/>
      <c r="WY87" s="823"/>
      <c r="WZ87" s="821" t="s">
        <v>462</v>
      </c>
      <c r="XA87" s="823"/>
      <c r="XB87" s="144"/>
      <c r="XC87" s="144"/>
      <c r="XD87" s="144"/>
      <c r="YZ87" s="144"/>
      <c r="ZA87" s="144"/>
      <c r="AAD87" s="947"/>
      <c r="AAE87" s="947"/>
      <c r="AAF87" s="947"/>
      <c r="AAG87" s="947"/>
      <c r="AAH87" s="535">
        <v>14</v>
      </c>
      <c r="AAI87" s="956"/>
      <c r="AAJ87" s="957"/>
      <c r="AAK87" s="958">
        <f t="shared" si="59"/>
        <v>0.18666666666666668</v>
      </c>
      <c r="AAL87" s="959"/>
      <c r="AAN87" s="947"/>
      <c r="AAO87" s="947"/>
      <c r="AAP87" s="947"/>
      <c r="AAQ87" s="947"/>
      <c r="AAR87" s="535">
        <v>74</v>
      </c>
      <c r="AAS87" s="956"/>
      <c r="AAT87" s="957"/>
      <c r="AAU87" s="958">
        <f t="shared" si="60"/>
        <v>0.98666666666666669</v>
      </c>
      <c r="AAV87" s="959"/>
      <c r="AAX87" s="947"/>
      <c r="AAY87" s="947"/>
      <c r="AAZ87" s="947"/>
      <c r="ABA87" s="947"/>
      <c r="ABB87" s="535">
        <v>134</v>
      </c>
      <c r="ABC87" s="956"/>
      <c r="ABD87" s="957"/>
      <c r="ABE87" s="958">
        <f t="shared" si="61"/>
        <v>1.7866666666666668</v>
      </c>
      <c r="ABF87" s="959"/>
      <c r="ABH87" s="947"/>
      <c r="ABI87" s="947"/>
      <c r="ABJ87" s="947"/>
      <c r="ABK87" s="947"/>
      <c r="ABL87" s="537">
        <v>194</v>
      </c>
      <c r="ABM87" s="956"/>
      <c r="ABN87" s="957"/>
      <c r="ABO87" s="958">
        <f t="shared" si="62"/>
        <v>2.5866666666666669</v>
      </c>
      <c r="ABP87" s="959"/>
      <c r="ABR87" s="947"/>
      <c r="ABS87" s="947"/>
      <c r="ABT87" s="947"/>
      <c r="ABU87" s="947"/>
      <c r="ABV87" s="537">
        <v>254</v>
      </c>
      <c r="ABW87" s="956"/>
      <c r="ABX87" s="957"/>
      <c r="ABY87" s="958">
        <f t="shared" si="63"/>
        <v>3.3866666666666667</v>
      </c>
      <c r="ABZ87" s="959"/>
      <c r="ADB87" s="1033">
        <v>20</v>
      </c>
      <c r="ADC87" s="1033"/>
      <c r="ADD87" s="696" t="s">
        <v>1171</v>
      </c>
      <c r="ADE87" s="720"/>
      <c r="ADF87" s="720"/>
      <c r="ADG87" s="697"/>
      <c r="ADH87" s="677">
        <f>$ER$45</f>
        <v>4</v>
      </c>
      <c r="ADI87" s="677"/>
      <c r="ADJ87" s="1034" t="s">
        <v>50</v>
      </c>
      <c r="ADK87" s="1034"/>
      <c r="ADL87" s="1034"/>
      <c r="ADM87" s="1034"/>
      <c r="ADN87" s="1034"/>
      <c r="ADO87" s="1034"/>
      <c r="ADP87" s="1034"/>
      <c r="ADQ87" s="1034"/>
      <c r="ADR87" s="1034"/>
      <c r="ADS87" s="1034"/>
      <c r="ADT87" s="1034"/>
      <c r="ADU87" s="1034"/>
      <c r="ADV87" s="1034"/>
      <c r="ADW87" s="1034"/>
      <c r="ADX87" s="857"/>
      <c r="ADY87" s="1015"/>
      <c r="ADZ87" s="1015"/>
      <c r="AEA87" s="1015"/>
      <c r="AEB87" s="1015"/>
      <c r="AEC87" s="1015"/>
      <c r="AED87" s="1015"/>
      <c r="AEE87" s="858"/>
      <c r="AEF87" s="173"/>
      <c r="AEG87" s="172"/>
      <c r="AEH87" s="172"/>
      <c r="AEI87" s="172"/>
      <c r="AEJ87" s="172"/>
      <c r="AEK87" s="177"/>
      <c r="AEL87" s="144"/>
      <c r="AEM87" s="144"/>
      <c r="AEN87" s="144"/>
      <c r="AEO87" s="144"/>
      <c r="AEP87" s="947"/>
      <c r="AEQ87" s="947"/>
      <c r="AER87" s="947"/>
      <c r="AES87" s="947"/>
      <c r="AET87" s="657">
        <v>43</v>
      </c>
      <c r="AEU87" s="956"/>
      <c r="AEV87" s="957"/>
      <c r="AEW87" s="958">
        <f t="shared" si="35"/>
        <v>1.3616666666666668</v>
      </c>
      <c r="AEX87" s="959"/>
      <c r="AEZ87" s="947"/>
      <c r="AFA87" s="947"/>
      <c r="AFB87" s="947"/>
      <c r="AFC87" s="947"/>
      <c r="AFD87" s="657">
        <v>103</v>
      </c>
      <c r="AFE87" s="956"/>
      <c r="AFF87" s="957"/>
      <c r="AFG87" s="958">
        <f t="shared" si="36"/>
        <v>3.2616666666666672</v>
      </c>
      <c r="AFH87" s="959"/>
      <c r="AFJ87" s="947"/>
      <c r="AFK87" s="947"/>
      <c r="AFL87" s="947"/>
      <c r="AFM87" s="947"/>
      <c r="AFN87" s="656">
        <v>163</v>
      </c>
      <c r="AFO87" s="956"/>
      <c r="AFP87" s="957"/>
      <c r="AFQ87" s="958">
        <f t="shared" si="37"/>
        <v>5.1616666666666671</v>
      </c>
      <c r="AFR87" s="959"/>
      <c r="AFT87" s="947"/>
      <c r="AFU87" s="947"/>
      <c r="AFV87" s="947"/>
      <c r="AFW87" s="947"/>
      <c r="AFX87" s="656">
        <v>223</v>
      </c>
      <c r="AFY87" s="956"/>
      <c r="AFZ87" s="957"/>
      <c r="AGA87" s="958"/>
      <c r="AGB87" s="959"/>
      <c r="AGD87" s="947"/>
      <c r="AGE87" s="947"/>
      <c r="AGF87" s="947"/>
      <c r="AGG87" s="947"/>
      <c r="AGH87" s="656">
        <v>283</v>
      </c>
      <c r="AGI87" s="956"/>
      <c r="AGJ87" s="957"/>
      <c r="AGK87" s="958"/>
      <c r="AGL87" s="959"/>
      <c r="AIM87" s="825"/>
      <c r="AIN87" s="665" t="s">
        <v>442</v>
      </c>
      <c r="AIO87" s="666"/>
      <c r="AIP87" s="156"/>
      <c r="AIQ87" s="87"/>
      <c r="AIR87" s="87"/>
      <c r="AIS87" s="87"/>
      <c r="AIT87" s="87"/>
      <c r="AIU87" s="87"/>
      <c r="AIV87" s="87"/>
      <c r="AIW87" s="156"/>
      <c r="AIX87" s="85" t="s">
        <v>467</v>
      </c>
      <c r="AIY87" s="757" t="s">
        <v>461</v>
      </c>
      <c r="AIZ87" s="758"/>
      <c r="AJA87" s="819" t="s">
        <v>126</v>
      </c>
      <c r="AJB87" s="820"/>
      <c r="AJC87" s="675" t="s">
        <v>731</v>
      </c>
      <c r="AJD87" s="676"/>
      <c r="AJE87" s="821" t="s">
        <v>473</v>
      </c>
      <c r="AJF87" s="822"/>
      <c r="AJG87" s="822"/>
      <c r="AJH87" s="823"/>
    </row>
    <row r="88" spans="14:964" ht="48" customHeight="1" thickBot="1">
      <c r="BP88" s="144"/>
      <c r="BQ88" s="144"/>
      <c r="BR88" s="144"/>
      <c r="BS88" s="144"/>
      <c r="BT88" s="144"/>
      <c r="BX88" s="826"/>
      <c r="BY88" s="731" t="s">
        <v>43</v>
      </c>
      <c r="BZ88" s="732"/>
      <c r="CA88" s="732"/>
      <c r="CB88" s="732"/>
      <c r="CC88" s="732"/>
      <c r="CD88" s="732"/>
      <c r="CE88" s="732"/>
      <c r="CF88" s="732"/>
      <c r="CG88" s="732"/>
      <c r="CH88" s="732"/>
      <c r="CI88" s="732"/>
      <c r="CJ88" s="732"/>
      <c r="CK88" s="733"/>
      <c r="CL88" s="1208">
        <f>(AZ54*AQ6)/(4.44*CL68*CL76*AQ7)</f>
        <v>1.6841666110977177E-2</v>
      </c>
      <c r="CM88" s="705"/>
      <c r="CN88" s="917" t="s">
        <v>1059</v>
      </c>
      <c r="CO88" s="896"/>
      <c r="CP88" s="712"/>
      <c r="CQ88" s="952" t="s">
        <v>806</v>
      </c>
      <c r="CR88" s="953"/>
      <c r="CS88" s="746"/>
      <c r="CT88" s="767"/>
      <c r="CU88" s="767"/>
      <c r="CV88" s="767"/>
      <c r="CW88" s="767"/>
      <c r="CX88" s="767"/>
      <c r="DZ88" s="783"/>
      <c r="EA88" s="784"/>
      <c r="EB88" s="785"/>
      <c r="EC88" s="240" t="s">
        <v>703</v>
      </c>
      <c r="ED88" s="818"/>
      <c r="EE88" s="818"/>
      <c r="EF88" s="818"/>
      <c r="EG88" s="818"/>
      <c r="EH88" s="818"/>
      <c r="EI88" s="818"/>
      <c r="EJ88" s="818"/>
      <c r="EK88" s="818"/>
      <c r="EL88" s="818"/>
      <c r="EM88" s="818"/>
      <c r="EN88" s="818"/>
      <c r="EO88" s="818"/>
      <c r="EP88" s="818"/>
      <c r="EQ88" s="754"/>
      <c r="ER88" s="755"/>
      <c r="ES88" s="761"/>
      <c r="ET88" s="1357"/>
      <c r="EU88" s="1086"/>
      <c r="EV88" s="1093"/>
      <c r="EW88" s="1093"/>
      <c r="EX88" s="1093"/>
      <c r="EY88" s="1086"/>
      <c r="FJ88" s="139"/>
      <c r="FK88" s="139"/>
      <c r="FL88" s="139"/>
      <c r="FM88" s="139"/>
      <c r="FN88" s="139"/>
      <c r="FO88" s="139"/>
      <c r="FP88" s="139"/>
      <c r="FQ88" s="139"/>
      <c r="FR88" s="139"/>
      <c r="FS88" s="139"/>
      <c r="FT88" s="139"/>
      <c r="FU88" s="139"/>
      <c r="FV88" s="139"/>
      <c r="FW88" s="139"/>
      <c r="FX88" s="139"/>
      <c r="GC88" s="6"/>
      <c r="GD88" s="3"/>
      <c r="GE88" s="3"/>
      <c r="HN88" s="241"/>
      <c r="HO88" s="241"/>
      <c r="HQ88" s="780"/>
      <c r="HR88" s="781"/>
      <c r="HS88" s="782"/>
      <c r="HT88" s="214" t="s">
        <v>899</v>
      </c>
      <c r="HU88" s="816"/>
      <c r="HV88" s="816"/>
      <c r="HW88" s="816"/>
      <c r="HX88" s="816"/>
      <c r="HY88" s="816"/>
      <c r="HZ88" s="816"/>
      <c r="IA88" s="816"/>
      <c r="IB88" s="816"/>
      <c r="IC88" s="816"/>
      <c r="ID88" s="816"/>
      <c r="IE88" s="816"/>
      <c r="IF88" s="816"/>
      <c r="IG88" s="816"/>
      <c r="IH88" s="752">
        <f>ROUND(GT85,1)</f>
        <v>4.8</v>
      </c>
      <c r="II88" s="753"/>
      <c r="IJ88" s="759" t="s">
        <v>50</v>
      </c>
      <c r="IK88" s="760"/>
      <c r="IL88" s="714"/>
      <c r="IM88" s="740" t="s">
        <v>1095</v>
      </c>
      <c r="IN88" s="741"/>
      <c r="IO88" s="742"/>
      <c r="IP88" s="746"/>
      <c r="IR88" s="827"/>
      <c r="IS88" s="706"/>
      <c r="IT88" s="707"/>
      <c r="IU88" s="707"/>
      <c r="IV88" s="707"/>
      <c r="IW88" s="707"/>
      <c r="IX88" s="707"/>
      <c r="IY88" s="707"/>
      <c r="IZ88" s="707"/>
      <c r="JA88" s="707"/>
      <c r="JB88" s="707"/>
      <c r="JC88" s="707"/>
      <c r="JD88" s="707"/>
      <c r="JE88" s="708"/>
      <c r="JF88" s="754"/>
      <c r="JG88" s="755"/>
      <c r="JH88" s="1204"/>
      <c r="JI88" s="1065"/>
      <c r="JJ88" s="713"/>
      <c r="JK88" s="743"/>
      <c r="JL88" s="745"/>
      <c r="JM88" s="747"/>
      <c r="JN88" s="892"/>
      <c r="JO88" s="893"/>
      <c r="JP88" s="893"/>
      <c r="JQ88" s="894"/>
      <c r="PJ88" s="792" t="s">
        <v>1013</v>
      </c>
      <c r="PK88" s="793"/>
      <c r="PL88" s="794"/>
      <c r="PM88" s="825"/>
      <c r="PN88" s="695" t="s">
        <v>442</v>
      </c>
      <c r="PO88" s="695"/>
      <c r="PP88" s="504"/>
      <c r="PQ88" s="87"/>
      <c r="PR88" s="87"/>
      <c r="PS88" s="87"/>
      <c r="PT88" s="87"/>
      <c r="PU88" s="87"/>
      <c r="PV88" s="87"/>
      <c r="PW88" s="504"/>
      <c r="PX88" s="85" t="s">
        <v>467</v>
      </c>
      <c r="PY88" s="757" t="s">
        <v>461</v>
      </c>
      <c r="PZ88" s="899"/>
      <c r="QA88" s="819" t="s">
        <v>126</v>
      </c>
      <c r="QB88" s="820"/>
      <c r="QC88" s="675" t="s">
        <v>731</v>
      </c>
      <c r="QD88" s="676"/>
      <c r="QE88" s="821" t="s">
        <v>473</v>
      </c>
      <c r="QF88" s="822"/>
      <c r="QG88" s="822"/>
      <c r="QH88" s="823"/>
      <c r="RC88" s="369">
        <v>70</v>
      </c>
      <c r="RD88" s="668">
        <v>7.0000000000000007E-2</v>
      </c>
      <c r="RE88" s="669"/>
      <c r="RF88" s="670">
        <f t="shared" si="30"/>
        <v>9.729024709297077</v>
      </c>
      <c r="RG88" s="670"/>
      <c r="RH88" s="670"/>
      <c r="RI88" s="670"/>
      <c r="RJ88" s="698">
        <f t="shared" si="69"/>
        <v>30</v>
      </c>
      <c r="RK88" s="699"/>
      <c r="RL88" s="726"/>
      <c r="RM88" s="670">
        <f t="shared" si="70"/>
        <v>9.9175258795135228</v>
      </c>
      <c r="RN88" s="670"/>
      <c r="RO88" s="670"/>
      <c r="RP88" s="670"/>
      <c r="RQ88" s="670"/>
      <c r="RR88" s="670"/>
      <c r="RS88" s="671">
        <f t="shared" si="64"/>
        <v>1.560804663639157</v>
      </c>
      <c r="RT88" s="671"/>
      <c r="RU88" s="671"/>
      <c r="RV88" s="671"/>
      <c r="RW88" s="671"/>
      <c r="RX88" s="671"/>
      <c r="RY88" s="681">
        <f t="shared" si="71"/>
        <v>10.039593157536725</v>
      </c>
      <c r="RZ88" s="681"/>
      <c r="SA88" s="681"/>
      <c r="SB88" s="681"/>
      <c r="SC88" s="681">
        <f>'Вывод расчетов'!$AQ$6/RY88</f>
        <v>37.850139347004706</v>
      </c>
      <c r="SD88" s="681"/>
      <c r="SE88" s="681"/>
      <c r="SF88" s="681"/>
      <c r="SG88" s="867">
        <f t="shared" si="72"/>
        <v>0.98784141188713748</v>
      </c>
      <c r="SH88" s="867"/>
      <c r="SI88" s="867"/>
      <c r="SJ88" s="867"/>
      <c r="SK88" s="865">
        <f t="shared" si="73"/>
        <v>0.15546493161104447</v>
      </c>
      <c r="SL88" s="865"/>
      <c r="SM88" s="865"/>
      <c r="SN88" s="865"/>
      <c r="SO88" s="692">
        <f t="shared" si="26"/>
        <v>37.74025753380127</v>
      </c>
      <c r="SP88" s="693"/>
      <c r="SQ88" s="693"/>
      <c r="SR88" s="693"/>
      <c r="SS88" s="694"/>
      <c r="ST88" s="668">
        <f t="shared" si="24"/>
        <v>16.866446087046583</v>
      </c>
      <c r="SU88" s="678"/>
      <c r="SV88" s="678"/>
      <c r="SW88" s="678"/>
      <c r="SX88" s="678"/>
      <c r="SY88" s="669"/>
      <c r="SZ88" s="682">
        <f t="shared" si="74"/>
        <v>41.337683078819168</v>
      </c>
      <c r="TA88" s="683"/>
      <c r="TB88" s="683"/>
      <c r="TC88" s="683"/>
      <c r="TD88" s="683"/>
      <c r="TE88" s="684"/>
      <c r="TF88" s="682">
        <f>'Вывод расчетов'!$XC$174*SC88</f>
        <v>38.452926216147155</v>
      </c>
      <c r="TG88" s="683"/>
      <c r="TH88" s="684"/>
      <c r="TI88" s="681">
        <f t="shared" si="58"/>
        <v>43.023893588533447</v>
      </c>
      <c r="TJ88" s="681"/>
      <c r="TK88" s="681"/>
      <c r="TL88" s="681"/>
      <c r="TM88" s="685">
        <f t="shared" si="75"/>
        <v>0.95118645263751123</v>
      </c>
      <c r="TN88" s="686"/>
      <c r="TO88" s="686"/>
      <c r="TP88" s="687"/>
      <c r="TQ88" s="688">
        <f t="shared" si="76"/>
        <v>2.9270056891036664</v>
      </c>
      <c r="TR88" s="688"/>
      <c r="TS88" s="688"/>
      <c r="TT88" s="688"/>
      <c r="TU88" s="689">
        <f t="shared" si="77"/>
        <v>0.26982255060875993</v>
      </c>
      <c r="TV88" s="690"/>
      <c r="TW88" s="690"/>
      <c r="TX88" s="690"/>
      <c r="TY88" s="690"/>
      <c r="TZ88" s="691"/>
      <c r="UA88" s="679">
        <v>7.0000000000000007E-2</v>
      </c>
      <c r="UB88" s="680"/>
      <c r="UC88" s="650">
        <v>0.7</v>
      </c>
      <c r="UD88" s="866">
        <f t="shared" si="65"/>
        <v>5.0283015081773517</v>
      </c>
      <c r="UE88" s="866"/>
      <c r="UF88" s="866"/>
      <c r="UG88" s="866"/>
      <c r="UH88" s="866"/>
      <c r="UI88" s="866"/>
      <c r="UJ88" s="866"/>
      <c r="UK88" s="681">
        <f t="shared" si="66"/>
        <v>37.995592080356097</v>
      </c>
      <c r="UL88" s="681"/>
      <c r="UM88" s="681"/>
      <c r="UN88" s="681"/>
      <c r="UO88" s="816">
        <f t="shared" si="67"/>
        <v>0.88312769745420083</v>
      </c>
      <c r="UP88" s="816"/>
      <c r="UQ88" s="816"/>
      <c r="UR88" s="816"/>
      <c r="US88" s="866">
        <f t="shared" si="68"/>
        <v>0.91297466918601522</v>
      </c>
      <c r="UT88" s="866"/>
      <c r="UU88" s="866"/>
      <c r="UV88" s="866"/>
      <c r="UW88" s="866"/>
      <c r="WD88" s="826"/>
      <c r="WE88" s="523"/>
      <c r="WF88" s="948"/>
      <c r="WG88" s="965"/>
      <c r="WH88" s="700"/>
      <c r="WI88" s="701"/>
      <c r="WJ88" s="701"/>
      <c r="WK88" s="701"/>
      <c r="WL88" s="701"/>
      <c r="WM88" s="701"/>
      <c r="WN88" s="701"/>
      <c r="WO88" s="701"/>
      <c r="WP88" s="701"/>
      <c r="WQ88" s="702"/>
      <c r="WR88" s="1335">
        <v>0</v>
      </c>
      <c r="WS88" s="1336"/>
      <c r="WT88" s="1115" t="s">
        <v>762</v>
      </c>
      <c r="WU88" s="1116"/>
      <c r="WV88" s="714"/>
      <c r="WW88" s="952" t="s">
        <v>1765</v>
      </c>
      <c r="WX88" s="953"/>
      <c r="WY88" s="746"/>
      <c r="WZ88" s="919"/>
      <c r="XA88" s="920"/>
      <c r="XB88" s="144"/>
      <c r="XC88" s="144"/>
      <c r="XD88" s="144"/>
      <c r="YZ88" s="144"/>
      <c r="ZA88" s="144"/>
      <c r="AAD88" s="947"/>
      <c r="AAE88" s="947"/>
      <c r="AAF88" s="947"/>
      <c r="AAG88" s="947"/>
      <c r="AAH88" s="535">
        <v>15</v>
      </c>
      <c r="AAI88" s="956"/>
      <c r="AAJ88" s="957"/>
      <c r="AAK88" s="958">
        <f t="shared" si="59"/>
        <v>0.2</v>
      </c>
      <c r="AAL88" s="959"/>
      <c r="AAN88" s="947"/>
      <c r="AAO88" s="947"/>
      <c r="AAP88" s="947"/>
      <c r="AAQ88" s="947"/>
      <c r="AAR88" s="535">
        <v>75</v>
      </c>
      <c r="AAS88" s="956"/>
      <c r="AAT88" s="957"/>
      <c r="AAU88" s="958">
        <f t="shared" si="60"/>
        <v>1</v>
      </c>
      <c r="AAV88" s="959"/>
      <c r="AAX88" s="947"/>
      <c r="AAY88" s="947"/>
      <c r="AAZ88" s="947"/>
      <c r="ABA88" s="947"/>
      <c r="ABB88" s="535">
        <v>135</v>
      </c>
      <c r="ABC88" s="956"/>
      <c r="ABD88" s="957"/>
      <c r="ABE88" s="958">
        <f t="shared" si="61"/>
        <v>1.8</v>
      </c>
      <c r="ABF88" s="959"/>
      <c r="ABH88" s="947"/>
      <c r="ABI88" s="947"/>
      <c r="ABJ88" s="947"/>
      <c r="ABK88" s="947"/>
      <c r="ABL88" s="537">
        <v>195</v>
      </c>
      <c r="ABM88" s="956"/>
      <c r="ABN88" s="957"/>
      <c r="ABO88" s="958">
        <f t="shared" si="62"/>
        <v>2.6</v>
      </c>
      <c r="ABP88" s="959"/>
      <c r="ABR88" s="947"/>
      <c r="ABS88" s="947"/>
      <c r="ABT88" s="947"/>
      <c r="ABU88" s="947"/>
      <c r="ABV88" s="537">
        <v>255</v>
      </c>
      <c r="ABW88" s="956"/>
      <c r="ABX88" s="957"/>
      <c r="ABY88" s="958">
        <f t="shared" si="63"/>
        <v>3.4000000000000004</v>
      </c>
      <c r="ABZ88" s="959"/>
      <c r="ADB88" s="1033"/>
      <c r="ADC88" s="1033"/>
      <c r="ADD88" s="1029"/>
      <c r="ADE88" s="1030"/>
      <c r="ADF88" s="1030"/>
      <c r="ADG88" s="1030"/>
      <c r="ADH88" s="1030"/>
      <c r="ADI88" s="1031"/>
      <c r="ADJ88" s="1034"/>
      <c r="ADK88" s="1034"/>
      <c r="ADL88" s="1034"/>
      <c r="ADM88" s="1034"/>
      <c r="ADN88" s="1034"/>
      <c r="ADO88" s="1034"/>
      <c r="ADP88" s="1034"/>
      <c r="ADQ88" s="1034"/>
      <c r="ADR88" s="1034"/>
      <c r="ADS88" s="1034"/>
      <c r="ADT88" s="1034"/>
      <c r="ADU88" s="1034"/>
      <c r="ADV88" s="1034"/>
      <c r="ADW88" s="1034"/>
      <c r="ADX88" s="861"/>
      <c r="ADY88" s="1017"/>
      <c r="ADZ88" s="1017"/>
      <c r="AEA88" s="1017"/>
      <c r="AEB88" s="1017"/>
      <c r="AEC88" s="1017"/>
      <c r="AED88" s="1017"/>
      <c r="AEE88" s="862"/>
      <c r="AEF88" s="176"/>
      <c r="AEG88" s="172"/>
      <c r="AEH88" s="172"/>
      <c r="AEI88" s="172"/>
      <c r="AEJ88" s="172"/>
      <c r="AEK88" s="177"/>
      <c r="AEL88" s="144"/>
      <c r="AEM88" s="144"/>
      <c r="AEN88" s="144"/>
      <c r="AEO88" s="144"/>
      <c r="AEP88" s="947"/>
      <c r="AEQ88" s="947"/>
      <c r="AER88" s="947"/>
      <c r="AES88" s="947"/>
      <c r="AET88" s="657">
        <v>44</v>
      </c>
      <c r="AEU88" s="956"/>
      <c r="AEV88" s="957"/>
      <c r="AEW88" s="958">
        <f t="shared" si="35"/>
        <v>1.3933333333333335</v>
      </c>
      <c r="AEX88" s="959"/>
      <c r="AEZ88" s="947"/>
      <c r="AFA88" s="947"/>
      <c r="AFB88" s="947"/>
      <c r="AFC88" s="947"/>
      <c r="AFD88" s="657">
        <v>104</v>
      </c>
      <c r="AFE88" s="956"/>
      <c r="AFF88" s="957"/>
      <c r="AFG88" s="958">
        <f t="shared" si="36"/>
        <v>3.2933333333333334</v>
      </c>
      <c r="AFH88" s="959"/>
      <c r="AFJ88" s="947"/>
      <c r="AFK88" s="947"/>
      <c r="AFL88" s="947"/>
      <c r="AFM88" s="947"/>
      <c r="AFN88" s="656">
        <v>164</v>
      </c>
      <c r="AFO88" s="956"/>
      <c r="AFP88" s="957"/>
      <c r="AFQ88" s="958">
        <f t="shared" si="37"/>
        <v>5.1933333333333334</v>
      </c>
      <c r="AFR88" s="959"/>
      <c r="AFT88" s="947"/>
      <c r="AFU88" s="947"/>
      <c r="AFV88" s="947"/>
      <c r="AFW88" s="947"/>
      <c r="AFX88" s="656">
        <v>224</v>
      </c>
      <c r="AFY88" s="956"/>
      <c r="AFZ88" s="957"/>
      <c r="AGA88" s="958"/>
      <c r="AGB88" s="959"/>
      <c r="AGD88" s="947"/>
      <c r="AGE88" s="947"/>
      <c r="AGF88" s="947"/>
      <c r="AGG88" s="947"/>
      <c r="AGH88" s="656">
        <v>284</v>
      </c>
      <c r="AGI88" s="956"/>
      <c r="AGJ88" s="957"/>
      <c r="AGK88" s="958"/>
      <c r="AGL88" s="959"/>
      <c r="AIM88" s="826"/>
      <c r="AIN88" s="816"/>
      <c r="AIO88" s="816"/>
      <c r="AIP88" s="816"/>
      <c r="AIQ88" s="816"/>
      <c r="AIR88" s="816"/>
      <c r="AIS88" s="816"/>
      <c r="AIT88" s="816"/>
      <c r="AIU88" s="816"/>
      <c r="AIV88" s="816"/>
      <c r="AIW88" s="816"/>
      <c r="AIX88" s="816"/>
      <c r="AIY88" s="816"/>
      <c r="AIZ88" s="816"/>
      <c r="AJA88" s="763">
        <f>AJA38*AJA41*2*MN35/MN31</f>
        <v>354.96450055442068</v>
      </c>
      <c r="AJB88" s="764"/>
      <c r="AJC88" s="1005"/>
      <c r="AJD88" s="1006"/>
      <c r="AJE88" s="712"/>
      <c r="AJF88" s="716" t="s">
        <v>442</v>
      </c>
      <c r="AJG88" s="717"/>
      <c r="AJH88" s="746"/>
    </row>
    <row r="89" spans="14:964" ht="48" customHeight="1" thickBot="1">
      <c r="AI89" s="825"/>
      <c r="AJ89" s="695" t="s">
        <v>442</v>
      </c>
      <c r="AK89" s="695"/>
      <c r="AL89" s="135"/>
      <c r="AM89" s="87"/>
      <c r="AN89" s="87"/>
      <c r="AO89" s="87"/>
      <c r="AP89" s="87"/>
      <c r="AQ89" s="87"/>
      <c r="AR89" s="84" t="s">
        <v>729</v>
      </c>
      <c r="AS89" s="135"/>
      <c r="AT89" s="85" t="s">
        <v>467</v>
      </c>
      <c r="AU89" s="757" t="s">
        <v>461</v>
      </c>
      <c r="AV89" s="758"/>
      <c r="AW89" s="819" t="s">
        <v>126</v>
      </c>
      <c r="AX89" s="820"/>
      <c r="AY89" s="675" t="s">
        <v>731</v>
      </c>
      <c r="AZ89" s="676"/>
      <c r="BA89" s="821" t="s">
        <v>473</v>
      </c>
      <c r="BB89" s="822"/>
      <c r="BC89" s="822"/>
      <c r="BD89" s="823"/>
      <c r="BE89" s="821" t="s">
        <v>472</v>
      </c>
      <c r="BF89" s="822"/>
      <c r="BG89" s="823"/>
      <c r="BP89" s="144"/>
      <c r="BQ89" s="144"/>
      <c r="BR89" s="144"/>
      <c r="BS89" s="144"/>
      <c r="BT89" s="144"/>
      <c r="BX89" s="827"/>
      <c r="BY89" s="734"/>
      <c r="BZ89" s="735"/>
      <c r="CA89" s="735"/>
      <c r="CB89" s="735"/>
      <c r="CC89" s="735"/>
      <c r="CD89" s="735"/>
      <c r="CE89" s="735"/>
      <c r="CF89" s="735"/>
      <c r="CG89" s="735"/>
      <c r="CH89" s="735"/>
      <c r="CI89" s="735"/>
      <c r="CJ89" s="735"/>
      <c r="CK89" s="736"/>
      <c r="CL89" s="1089"/>
      <c r="CM89" s="708"/>
      <c r="CN89" s="918"/>
      <c r="CO89" s="898"/>
      <c r="CP89" s="713"/>
      <c r="CQ89" s="954"/>
      <c r="CR89" s="955"/>
      <c r="CS89" s="747"/>
      <c r="CT89" s="768"/>
      <c r="CU89" s="768"/>
      <c r="CV89" s="768"/>
      <c r="CW89" s="768"/>
      <c r="CX89" s="768"/>
      <c r="FF89" s="139"/>
      <c r="FG89" s="139"/>
      <c r="FH89" s="139"/>
      <c r="FI89" s="139"/>
      <c r="GC89" s="6"/>
      <c r="GD89" s="3"/>
      <c r="GE89" s="3"/>
      <c r="GF89" s="85" t="s">
        <v>839</v>
      </c>
      <c r="GG89" s="665" t="s">
        <v>442</v>
      </c>
      <c r="GH89" s="667"/>
      <c r="GI89" s="254"/>
      <c r="GJ89" s="87"/>
      <c r="GK89" s="87"/>
      <c r="GL89" s="87"/>
      <c r="GM89" s="87"/>
      <c r="GN89" s="87"/>
      <c r="GO89" s="87"/>
      <c r="GP89" s="150"/>
      <c r="GQ89" s="85" t="s">
        <v>467</v>
      </c>
      <c r="GR89" s="757" t="s">
        <v>461</v>
      </c>
      <c r="GS89" s="758"/>
      <c r="GT89" s="819" t="s">
        <v>126</v>
      </c>
      <c r="GU89" s="820"/>
      <c r="GV89" s="675" t="s">
        <v>731</v>
      </c>
      <c r="GW89" s="676"/>
      <c r="GX89" s="821" t="s">
        <v>473</v>
      </c>
      <c r="GY89" s="822"/>
      <c r="GZ89" s="822"/>
      <c r="HA89" s="822"/>
      <c r="HB89" s="823"/>
      <c r="HC89" s="769" t="s">
        <v>462</v>
      </c>
      <c r="HD89" s="769"/>
      <c r="HE89" s="769"/>
      <c r="HF89" s="769"/>
      <c r="HG89" s="769"/>
      <c r="HH89" s="769"/>
      <c r="HI89" s="769"/>
      <c r="HJ89" s="769"/>
      <c r="HQ89" s="783"/>
      <c r="HR89" s="784"/>
      <c r="HS89" s="785"/>
      <c r="HT89" s="240" t="s">
        <v>703</v>
      </c>
      <c r="HU89" s="818"/>
      <c r="HV89" s="818"/>
      <c r="HW89" s="818"/>
      <c r="HX89" s="818"/>
      <c r="HY89" s="818"/>
      <c r="HZ89" s="818"/>
      <c r="IA89" s="818"/>
      <c r="IB89" s="818"/>
      <c r="IC89" s="818"/>
      <c r="ID89" s="818"/>
      <c r="IE89" s="818"/>
      <c r="IF89" s="818"/>
      <c r="IG89" s="818"/>
      <c r="IH89" s="754"/>
      <c r="II89" s="755"/>
      <c r="IJ89" s="761"/>
      <c r="IK89" s="762"/>
      <c r="IL89" s="715"/>
      <c r="IM89" s="743"/>
      <c r="IN89" s="744"/>
      <c r="IO89" s="745"/>
      <c r="IP89" s="747"/>
      <c r="MB89" s="213"/>
      <c r="MC89" s="665" t="s">
        <v>910</v>
      </c>
      <c r="MD89" s="666"/>
      <c r="ME89" s="213"/>
      <c r="MF89" s="685" t="s">
        <v>917</v>
      </c>
      <c r="MG89" s="686"/>
      <c r="MH89" s="686"/>
      <c r="MI89" s="686"/>
      <c r="MJ89" s="686"/>
      <c r="MK89" s="686"/>
      <c r="ML89" s="686"/>
      <c r="MM89" s="686"/>
      <c r="MN89" s="686"/>
      <c r="MO89" s="686"/>
      <c r="MP89" s="687"/>
      <c r="MQ89" s="213"/>
      <c r="PJ89" s="795"/>
      <c r="PK89" s="796"/>
      <c r="PL89" s="797"/>
      <c r="PM89" s="826"/>
      <c r="PN89" s="700" t="s">
        <v>167</v>
      </c>
      <c r="PO89" s="701"/>
      <c r="PP89" s="701"/>
      <c r="PQ89" s="701"/>
      <c r="PR89" s="701"/>
      <c r="PS89" s="701"/>
      <c r="PT89" s="701"/>
      <c r="PU89" s="701"/>
      <c r="PV89" s="701"/>
      <c r="PW89" s="701"/>
      <c r="PX89" s="701"/>
      <c r="PY89" s="701"/>
      <c r="PZ89" s="702"/>
      <c r="QA89" s="923">
        <v>2.5</v>
      </c>
      <c r="QB89" s="924"/>
      <c r="QC89" s="849" t="s">
        <v>762</v>
      </c>
      <c r="QD89" s="850"/>
      <c r="QE89" s="714"/>
      <c r="QF89" s="716" t="s">
        <v>1689</v>
      </c>
      <c r="QG89" s="717"/>
      <c r="QH89" s="746"/>
      <c r="RC89" s="369">
        <v>71</v>
      </c>
      <c r="RD89" s="668">
        <v>7.0999999999999994E-2</v>
      </c>
      <c r="RE89" s="669"/>
      <c r="RF89" s="670">
        <f t="shared" si="30"/>
        <v>9.5919961922647268</v>
      </c>
      <c r="RG89" s="670"/>
      <c r="RH89" s="670"/>
      <c r="RI89" s="670"/>
      <c r="RJ89" s="698">
        <f t="shared" si="69"/>
        <v>30</v>
      </c>
      <c r="RK89" s="699"/>
      <c r="RL89" s="726"/>
      <c r="RM89" s="670">
        <f t="shared" si="70"/>
        <v>9.7804973624811726</v>
      </c>
      <c r="RN89" s="670"/>
      <c r="RO89" s="670"/>
      <c r="RP89" s="670"/>
      <c r="RQ89" s="670"/>
      <c r="RR89" s="670"/>
      <c r="RS89" s="671">
        <f t="shared" si="64"/>
        <v>1.560804663639157</v>
      </c>
      <c r="RT89" s="671"/>
      <c r="RU89" s="671"/>
      <c r="RV89" s="671"/>
      <c r="RW89" s="671"/>
      <c r="RX89" s="671"/>
      <c r="RY89" s="681">
        <f t="shared" si="71"/>
        <v>9.9042536243544834</v>
      </c>
      <c r="RZ89" s="681"/>
      <c r="SA89" s="681"/>
      <c r="SB89" s="681"/>
      <c r="SC89" s="681">
        <f>'Вывод расчетов'!$AQ$6/RY89</f>
        <v>38.367353504112913</v>
      </c>
      <c r="SD89" s="681"/>
      <c r="SE89" s="681"/>
      <c r="SF89" s="681"/>
      <c r="SG89" s="867">
        <f t="shared" si="72"/>
        <v>0.98750473619041867</v>
      </c>
      <c r="SH89" s="867"/>
      <c r="SI89" s="867"/>
      <c r="SJ89" s="867"/>
      <c r="SK89" s="865">
        <f t="shared" si="73"/>
        <v>0.15758932705450418</v>
      </c>
      <c r="SL89" s="865"/>
      <c r="SM89" s="865"/>
      <c r="SN89" s="865"/>
      <c r="SO89" s="692">
        <f t="shared" si="26"/>
        <v>38.238265741534804</v>
      </c>
      <c r="SP89" s="693"/>
      <c r="SQ89" s="693"/>
      <c r="SR89" s="693"/>
      <c r="SS89" s="694"/>
      <c r="ST89" s="668">
        <f t="shared" ref="ST89:ST118" si="78">$SX$14+SC89*SK89</f>
        <v>17.028362181571421</v>
      </c>
      <c r="SU89" s="678"/>
      <c r="SV89" s="678"/>
      <c r="SW89" s="678"/>
      <c r="SX89" s="678"/>
      <c r="SY89" s="669"/>
      <c r="SZ89" s="682">
        <f t="shared" si="74"/>
        <v>41.858452975558066</v>
      </c>
      <c r="TA89" s="683"/>
      <c r="TB89" s="683"/>
      <c r="TC89" s="683"/>
      <c r="TD89" s="683"/>
      <c r="TE89" s="684"/>
      <c r="TF89" s="682">
        <f>'Вывод расчетов'!$XC$174*SC89</f>
        <v>38.978377328463935</v>
      </c>
      <c r="TG89" s="683"/>
      <c r="TH89" s="684"/>
      <c r="TI89" s="681">
        <f t="shared" ref="TI89:TI118" si="79">(3*$AQ$6*SO89)/1000</f>
        <v>43.591622945349677</v>
      </c>
      <c r="TJ89" s="681"/>
      <c r="TK89" s="681"/>
      <c r="TL89" s="681"/>
      <c r="TM89" s="685">
        <f t="shared" si="75"/>
        <v>0.97530340478677291</v>
      </c>
      <c r="TN89" s="686"/>
      <c r="TO89" s="686"/>
      <c r="TP89" s="687"/>
      <c r="TQ89" s="688">
        <f t="shared" si="76"/>
        <v>3.0075460671207392</v>
      </c>
      <c r="TR89" s="688"/>
      <c r="TS89" s="688"/>
      <c r="TT89" s="688"/>
      <c r="TU89" s="689">
        <f t="shared" si="77"/>
        <v>0.27666379348367598</v>
      </c>
      <c r="TV89" s="690"/>
      <c r="TW89" s="690"/>
      <c r="TX89" s="690"/>
      <c r="TY89" s="690"/>
      <c r="TZ89" s="691"/>
      <c r="UA89" s="679">
        <v>7.0999999999999994E-2</v>
      </c>
      <c r="UB89" s="680"/>
      <c r="UC89" s="650">
        <v>0.71</v>
      </c>
      <c r="UD89" s="866">
        <f t="shared" si="65"/>
        <v>5.1398000812186027</v>
      </c>
      <c r="UE89" s="866"/>
      <c r="UF89" s="866"/>
      <c r="UG89" s="866"/>
      <c r="UH89" s="866"/>
      <c r="UI89" s="866"/>
      <c r="UJ89" s="866"/>
      <c r="UK89" s="681">
        <f t="shared" si="66"/>
        <v>38.451822864131074</v>
      </c>
      <c r="UL89" s="681"/>
      <c r="UM89" s="681"/>
      <c r="UN89" s="681"/>
      <c r="UO89" s="816">
        <f t="shared" si="67"/>
        <v>0.88209202287186439</v>
      </c>
      <c r="UP89" s="816"/>
      <c r="UQ89" s="816"/>
      <c r="UR89" s="816"/>
      <c r="US89" s="866">
        <f t="shared" si="68"/>
        <v>0.91351359219756267</v>
      </c>
      <c r="UT89" s="866"/>
      <c r="UU89" s="866"/>
      <c r="UV89" s="866"/>
      <c r="UW89" s="866"/>
      <c r="WD89" s="827"/>
      <c r="WE89" s="524"/>
      <c r="WF89" s="963"/>
      <c r="WG89" s="964"/>
      <c r="WH89" s="706"/>
      <c r="WI89" s="707"/>
      <c r="WJ89" s="707"/>
      <c r="WK89" s="707"/>
      <c r="WL89" s="707"/>
      <c r="WM89" s="707"/>
      <c r="WN89" s="707"/>
      <c r="WO89" s="707"/>
      <c r="WP89" s="707"/>
      <c r="WQ89" s="708"/>
      <c r="WR89" s="1337"/>
      <c r="WS89" s="1338"/>
      <c r="WT89" s="1117"/>
      <c r="WU89" s="1118"/>
      <c r="WV89" s="715"/>
      <c r="WW89" s="954"/>
      <c r="WX89" s="955"/>
      <c r="WY89" s="747"/>
      <c r="WZ89" s="892"/>
      <c r="XA89" s="894"/>
      <c r="XB89" s="144"/>
      <c r="XC89" s="144"/>
      <c r="XD89" s="144"/>
      <c r="YZ89" s="144"/>
      <c r="ZA89" s="144"/>
      <c r="AAD89" s="947"/>
      <c r="AAE89" s="947"/>
      <c r="AAF89" s="947"/>
      <c r="AAG89" s="947"/>
      <c r="AAH89" s="535">
        <v>16</v>
      </c>
      <c r="AAI89" s="956"/>
      <c r="AAJ89" s="957"/>
      <c r="AAK89" s="958">
        <f t="shared" si="59"/>
        <v>0.21333333333333335</v>
      </c>
      <c r="AAL89" s="959"/>
      <c r="AAN89" s="947"/>
      <c r="AAO89" s="947"/>
      <c r="AAP89" s="947"/>
      <c r="AAQ89" s="947"/>
      <c r="AAR89" s="535">
        <v>76</v>
      </c>
      <c r="AAS89" s="956"/>
      <c r="AAT89" s="957"/>
      <c r="AAU89" s="958">
        <f t="shared" si="60"/>
        <v>1.0133333333333334</v>
      </c>
      <c r="AAV89" s="959"/>
      <c r="AAX89" s="947"/>
      <c r="AAY89" s="947"/>
      <c r="AAZ89" s="947"/>
      <c r="ABA89" s="947"/>
      <c r="ABB89" s="535">
        <v>136</v>
      </c>
      <c r="ABC89" s="956"/>
      <c r="ABD89" s="957"/>
      <c r="ABE89" s="958">
        <f t="shared" si="61"/>
        <v>1.8133333333333335</v>
      </c>
      <c r="ABF89" s="959"/>
      <c r="ABH89" s="947"/>
      <c r="ABI89" s="947"/>
      <c r="ABJ89" s="947"/>
      <c r="ABK89" s="947"/>
      <c r="ABL89" s="537">
        <v>196</v>
      </c>
      <c r="ABM89" s="956"/>
      <c r="ABN89" s="957"/>
      <c r="ABO89" s="958">
        <f t="shared" si="62"/>
        <v>2.6133333333333333</v>
      </c>
      <c r="ABP89" s="959"/>
      <c r="ABR89" s="947"/>
      <c r="ABS89" s="947"/>
      <c r="ABT89" s="947"/>
      <c r="ABU89" s="947"/>
      <c r="ABV89" s="537">
        <v>256</v>
      </c>
      <c r="ABW89" s="956"/>
      <c r="ABX89" s="957"/>
      <c r="ABY89" s="958">
        <f t="shared" si="63"/>
        <v>3.4133333333333336</v>
      </c>
      <c r="ABZ89" s="959"/>
      <c r="ADB89" s="1033">
        <v>21</v>
      </c>
      <c r="ADC89" s="1033"/>
      <c r="ADD89" s="696" t="s">
        <v>1478</v>
      </c>
      <c r="ADE89" s="720"/>
      <c r="ADF89" s="720"/>
      <c r="ADG89" s="697"/>
      <c r="ADH89" s="677">
        <f>$GW$69</f>
        <v>1.5</v>
      </c>
      <c r="ADI89" s="677"/>
      <c r="ADJ89" s="1034" t="s">
        <v>50</v>
      </c>
      <c r="ADK89" s="1034"/>
      <c r="ADL89" s="1034"/>
      <c r="ADM89" s="1034"/>
      <c r="ADN89" s="1034"/>
      <c r="ADO89" s="1034"/>
      <c r="ADP89" s="1034"/>
      <c r="ADQ89" s="1034"/>
      <c r="ADR89" s="1034"/>
      <c r="ADS89" s="1034"/>
      <c r="ADT89" s="1034"/>
      <c r="ADU89" s="1034"/>
      <c r="ADV89" s="1034"/>
      <c r="ADW89" s="1034"/>
      <c r="ADX89" s="181"/>
      <c r="ADY89" s="182"/>
      <c r="ADZ89" s="182"/>
      <c r="AEA89" s="182"/>
      <c r="AEB89" s="182"/>
      <c r="AEC89" s="182"/>
      <c r="AED89" s="182"/>
      <c r="AEE89" s="185"/>
      <c r="AEF89" s="176"/>
      <c r="AEG89" s="172"/>
      <c r="AEH89" s="172"/>
      <c r="AEI89" s="172"/>
      <c r="AEJ89" s="172"/>
      <c r="AEK89" s="177"/>
      <c r="AEN89" s="144"/>
      <c r="AEO89" s="144"/>
      <c r="AEP89" s="947"/>
      <c r="AEQ89" s="947"/>
      <c r="AER89" s="947"/>
      <c r="AES89" s="947"/>
      <c r="AET89" s="657">
        <v>45</v>
      </c>
      <c r="AEU89" s="956"/>
      <c r="AEV89" s="957"/>
      <c r="AEW89" s="958">
        <f t="shared" si="35"/>
        <v>1.425</v>
      </c>
      <c r="AEX89" s="959"/>
      <c r="AEZ89" s="947"/>
      <c r="AFA89" s="947"/>
      <c r="AFB89" s="947"/>
      <c r="AFC89" s="947"/>
      <c r="AFD89" s="657">
        <v>105</v>
      </c>
      <c r="AFE89" s="956"/>
      <c r="AFF89" s="957"/>
      <c r="AFG89" s="958">
        <f t="shared" si="36"/>
        <v>3.3250000000000002</v>
      </c>
      <c r="AFH89" s="959"/>
      <c r="AFJ89" s="947"/>
      <c r="AFK89" s="947"/>
      <c r="AFL89" s="947"/>
      <c r="AFM89" s="947"/>
      <c r="AFN89" s="656">
        <v>165</v>
      </c>
      <c r="AFO89" s="956"/>
      <c r="AFP89" s="957"/>
      <c r="AFQ89" s="958">
        <f t="shared" si="37"/>
        <v>5.2250000000000005</v>
      </c>
      <c r="AFR89" s="959"/>
      <c r="AFT89" s="947"/>
      <c r="AFU89" s="947"/>
      <c r="AFV89" s="947"/>
      <c r="AFW89" s="947"/>
      <c r="AFX89" s="656">
        <v>225</v>
      </c>
      <c r="AFY89" s="956"/>
      <c r="AFZ89" s="957"/>
      <c r="AGA89" s="958"/>
      <c r="AGB89" s="959"/>
      <c r="AGD89" s="947"/>
      <c r="AGE89" s="947"/>
      <c r="AGF89" s="947"/>
      <c r="AGG89" s="947"/>
      <c r="AGH89" s="656">
        <v>285</v>
      </c>
      <c r="AGI89" s="956"/>
      <c r="AGJ89" s="957"/>
      <c r="AGK89" s="958"/>
      <c r="AGL89" s="959"/>
      <c r="AIM89" s="827"/>
      <c r="AIN89" s="818"/>
      <c r="AIO89" s="818"/>
      <c r="AIP89" s="818"/>
      <c r="AIQ89" s="818"/>
      <c r="AIR89" s="818"/>
      <c r="AIS89" s="818"/>
      <c r="AIT89" s="818"/>
      <c r="AIU89" s="818"/>
      <c r="AIV89" s="818"/>
      <c r="AIW89" s="818"/>
      <c r="AIX89" s="818"/>
      <c r="AIY89" s="818"/>
      <c r="AIZ89" s="818"/>
      <c r="AJA89" s="765"/>
      <c r="AJB89" s="766"/>
      <c r="AJC89" s="706"/>
      <c r="AJD89" s="708"/>
      <c r="AJE89" s="713"/>
      <c r="AJF89" s="718"/>
      <c r="AJG89" s="719"/>
      <c r="AJH89" s="747"/>
    </row>
    <row r="90" spans="14:964" ht="48" customHeight="1" thickBot="1">
      <c r="AI90" s="826"/>
      <c r="AJ90" s="1488" t="s">
        <v>780</v>
      </c>
      <c r="AK90" s="732"/>
      <c r="AL90" s="732"/>
      <c r="AM90" s="732"/>
      <c r="AN90" s="732"/>
      <c r="AO90" s="732"/>
      <c r="AP90" s="732"/>
      <c r="AQ90" s="732"/>
      <c r="AR90" s="732"/>
      <c r="AS90" s="732"/>
      <c r="AT90" s="732"/>
      <c r="AU90" s="732"/>
      <c r="AV90" s="732"/>
      <c r="AW90" s="1087">
        <f>AW82/AW38</f>
        <v>0.46927862412278448</v>
      </c>
      <c r="AX90" s="1006"/>
      <c r="AY90" s="849" t="s">
        <v>762</v>
      </c>
      <c r="AZ90" s="850"/>
      <c r="BA90" s="712"/>
      <c r="BB90" s="1517" t="s">
        <v>459</v>
      </c>
      <c r="BC90" s="1518"/>
      <c r="BD90" s="746"/>
      <c r="BE90" s="74"/>
      <c r="BF90" s="70"/>
      <c r="BG90" s="71"/>
      <c r="BP90" s="144"/>
      <c r="BQ90" s="144"/>
      <c r="BR90" s="144"/>
      <c r="BS90" s="144"/>
      <c r="BT90" s="144"/>
      <c r="DZ90" s="85" t="s">
        <v>839</v>
      </c>
      <c r="EA90" s="665" t="s">
        <v>442</v>
      </c>
      <c r="EB90" s="666"/>
      <c r="EC90" s="152"/>
      <c r="ED90" s="87"/>
      <c r="EE90" s="87"/>
      <c r="EF90" s="87"/>
      <c r="EG90" s="87"/>
      <c r="EH90" s="87"/>
      <c r="EI90" s="87"/>
      <c r="EJ90" s="152"/>
      <c r="EK90" s="85" t="s">
        <v>467</v>
      </c>
      <c r="EL90" s="757" t="s">
        <v>461</v>
      </c>
      <c r="EM90" s="758"/>
      <c r="EN90" s="819" t="s">
        <v>126</v>
      </c>
      <c r="EO90" s="820"/>
      <c r="EP90" s="675" t="s">
        <v>731</v>
      </c>
      <c r="EQ90" s="676"/>
      <c r="ER90" s="769" t="s">
        <v>473</v>
      </c>
      <c r="ES90" s="769"/>
      <c r="ET90" s="769"/>
      <c r="EU90" s="769"/>
      <c r="EV90" s="769"/>
      <c r="EW90" s="769" t="s">
        <v>462</v>
      </c>
      <c r="EX90" s="769"/>
      <c r="EY90" s="769"/>
      <c r="EZ90" s="769"/>
      <c r="FA90" s="769"/>
      <c r="GF90" s="825"/>
      <c r="GG90" s="673" t="s">
        <v>1185</v>
      </c>
      <c r="GH90" s="674"/>
      <c r="GI90" s="884">
        <f>$IH$88</f>
        <v>4.8</v>
      </c>
      <c r="GJ90" s="884"/>
      <c r="GK90" s="701" t="s">
        <v>1159</v>
      </c>
      <c r="GL90" s="701"/>
      <c r="GM90" s="701"/>
      <c r="GN90" s="701"/>
      <c r="GO90" s="701"/>
      <c r="GP90" s="701"/>
      <c r="GQ90" s="701"/>
      <c r="GR90" s="701"/>
      <c r="GS90" s="702"/>
      <c r="GT90" s="1087">
        <f>((GI90^2*((GI91/3.14)+3.14/2)-4*GI92)/((GW24/3.14)-3.14/2))^0.5</f>
        <v>4.293824372341704</v>
      </c>
      <c r="GU90" s="1006"/>
      <c r="GV90" s="1203" t="s">
        <v>50</v>
      </c>
      <c r="GW90" s="1063"/>
      <c r="GX90" s="714"/>
      <c r="GY90" s="740" t="s">
        <v>1585</v>
      </c>
      <c r="GZ90" s="741"/>
      <c r="HA90" s="742"/>
      <c r="HB90" s="746"/>
      <c r="HC90" s="919"/>
      <c r="HD90" s="840"/>
      <c r="HE90" s="840"/>
      <c r="HF90" s="840"/>
      <c r="HG90" s="840"/>
      <c r="HH90" s="840"/>
      <c r="HI90" s="840"/>
      <c r="HJ90" s="920"/>
      <c r="IR90" s="214" t="s">
        <v>899</v>
      </c>
      <c r="IS90" s="147" t="s">
        <v>442</v>
      </c>
      <c r="IT90" s="148"/>
      <c r="IU90" s="156"/>
      <c r="IV90" s="87"/>
      <c r="IW90" s="87"/>
      <c r="IX90" s="87"/>
      <c r="IY90" s="87"/>
      <c r="IZ90" s="87"/>
      <c r="JA90" s="87"/>
      <c r="JB90" s="156"/>
      <c r="JC90" s="85" t="s">
        <v>467</v>
      </c>
      <c r="JD90" s="1102" t="s">
        <v>461</v>
      </c>
      <c r="JE90" s="1103"/>
      <c r="JF90" s="819" t="s">
        <v>126</v>
      </c>
      <c r="JG90" s="820"/>
      <c r="JH90" s="675" t="s">
        <v>731</v>
      </c>
      <c r="JI90" s="676"/>
      <c r="JJ90" s="821" t="s">
        <v>473</v>
      </c>
      <c r="JK90" s="822"/>
      <c r="JL90" s="822"/>
      <c r="JM90" s="823"/>
      <c r="JN90" s="769" t="s">
        <v>462</v>
      </c>
      <c r="JO90" s="769"/>
      <c r="JP90" s="769"/>
      <c r="JQ90" s="769"/>
      <c r="JR90" s="769"/>
      <c r="OW90" s="144"/>
      <c r="OX90" s="144"/>
      <c r="OY90" s="144"/>
      <c r="OZ90" s="144"/>
      <c r="PJ90" s="798"/>
      <c r="PK90" s="799"/>
      <c r="PL90" s="800"/>
      <c r="PM90" s="827"/>
      <c r="PN90" s="706"/>
      <c r="PO90" s="707"/>
      <c r="PP90" s="707"/>
      <c r="PQ90" s="707"/>
      <c r="PR90" s="707"/>
      <c r="PS90" s="707"/>
      <c r="PT90" s="707"/>
      <c r="PU90" s="707"/>
      <c r="PV90" s="707"/>
      <c r="PW90" s="707"/>
      <c r="PX90" s="707"/>
      <c r="PY90" s="707"/>
      <c r="PZ90" s="708"/>
      <c r="QA90" s="925"/>
      <c r="QB90" s="926"/>
      <c r="QC90" s="851"/>
      <c r="QD90" s="852"/>
      <c r="QE90" s="715"/>
      <c r="QF90" s="718"/>
      <c r="QG90" s="719"/>
      <c r="QH90" s="747"/>
      <c r="RC90" s="369">
        <v>72</v>
      </c>
      <c r="RD90" s="668">
        <v>7.1999999999999995E-2</v>
      </c>
      <c r="RE90" s="669"/>
      <c r="RF90" s="670">
        <f t="shared" si="30"/>
        <v>9.4587740229277166</v>
      </c>
      <c r="RG90" s="670"/>
      <c r="RH90" s="670"/>
      <c r="RI90" s="670"/>
      <c r="RJ90" s="698">
        <f t="shared" si="69"/>
        <v>30</v>
      </c>
      <c r="RK90" s="699"/>
      <c r="RL90" s="726"/>
      <c r="RM90" s="670">
        <f t="shared" si="70"/>
        <v>9.6472751931441625</v>
      </c>
      <c r="RN90" s="670"/>
      <c r="RO90" s="670"/>
      <c r="RP90" s="670"/>
      <c r="RQ90" s="670"/>
      <c r="RR90" s="670"/>
      <c r="RS90" s="671">
        <f t="shared" si="64"/>
        <v>1.560804663639157</v>
      </c>
      <c r="RT90" s="671"/>
      <c r="RU90" s="671"/>
      <c r="RV90" s="671"/>
      <c r="RW90" s="671"/>
      <c r="RX90" s="671"/>
      <c r="RY90" s="681">
        <f t="shared" si="71"/>
        <v>9.7727186519561933</v>
      </c>
      <c r="RZ90" s="681"/>
      <c r="SA90" s="681"/>
      <c r="SB90" s="681"/>
      <c r="SC90" s="681">
        <f>'Вывод расчетов'!$AQ$6/RY90</f>
        <v>38.883755230581194</v>
      </c>
      <c r="SD90" s="681"/>
      <c r="SE90" s="681"/>
      <c r="SF90" s="681"/>
      <c r="SG90" s="867">
        <f t="shared" si="72"/>
        <v>0.98716391382177759</v>
      </c>
      <c r="SH90" s="867"/>
      <c r="SI90" s="867"/>
      <c r="SJ90" s="867"/>
      <c r="SK90" s="865">
        <f t="shared" si="73"/>
        <v>0.15971038553603839</v>
      </c>
      <c r="SL90" s="865"/>
      <c r="SM90" s="865"/>
      <c r="SN90" s="865"/>
      <c r="SO90" s="692">
        <f t="shared" si="26"/>
        <v>38.734962438639798</v>
      </c>
      <c r="SP90" s="693"/>
      <c r="SQ90" s="693"/>
      <c r="SR90" s="693"/>
      <c r="SS90" s="694"/>
      <c r="ST90" s="668">
        <f t="shared" si="78"/>
        <v>17.192216300961064</v>
      </c>
      <c r="SU90" s="678"/>
      <c r="SV90" s="678"/>
      <c r="SW90" s="678"/>
      <c r="SX90" s="678"/>
      <c r="SY90" s="669"/>
      <c r="SZ90" s="682">
        <f t="shared" si="74"/>
        <v>42.378881727363542</v>
      </c>
      <c r="TA90" s="683"/>
      <c r="TB90" s="683"/>
      <c r="TC90" s="683"/>
      <c r="TD90" s="683"/>
      <c r="TE90" s="684"/>
      <c r="TF90" s="682">
        <f>'Вывод расчетов'!$XC$174*SC90</f>
        <v>39.503003071680574</v>
      </c>
      <c r="TG90" s="683"/>
      <c r="TH90" s="684"/>
      <c r="TI90" s="681">
        <f t="shared" si="79"/>
        <v>44.157857180049369</v>
      </c>
      <c r="TJ90" s="681"/>
      <c r="TK90" s="681"/>
      <c r="TL90" s="681"/>
      <c r="TM90" s="685">
        <f t="shared" si="75"/>
        <v>0.99970618409990775</v>
      </c>
      <c r="TN90" s="686"/>
      <c r="TO90" s="686"/>
      <c r="TP90" s="687"/>
      <c r="TQ90" s="688">
        <f t="shared" si="76"/>
        <v>3.0890504583551293</v>
      </c>
      <c r="TR90" s="688"/>
      <c r="TS90" s="688"/>
      <c r="TT90" s="688"/>
      <c r="TU90" s="689">
        <f t="shared" si="77"/>
        <v>0.28358611679679202</v>
      </c>
      <c r="TV90" s="690"/>
      <c r="TW90" s="690"/>
      <c r="TX90" s="690"/>
      <c r="TY90" s="690"/>
      <c r="TZ90" s="691"/>
      <c r="UA90" s="756">
        <v>7.1999999999999995E-2</v>
      </c>
      <c r="UB90" s="756"/>
      <c r="UC90" s="650">
        <v>0.72</v>
      </c>
      <c r="UD90" s="866">
        <f t="shared" si="65"/>
        <v>5.2526295750792436</v>
      </c>
      <c r="UE90" s="866"/>
      <c r="UF90" s="866"/>
      <c r="UG90" s="866"/>
      <c r="UH90" s="866"/>
      <c r="UI90" s="866"/>
      <c r="UJ90" s="866"/>
      <c r="UK90" s="681">
        <f t="shared" si="66"/>
        <v>38.905227604970122</v>
      </c>
      <c r="UL90" s="681"/>
      <c r="UM90" s="681"/>
      <c r="UN90" s="681"/>
      <c r="UO90" s="816">
        <f t="shared" si="67"/>
        <v>0.88104881190991313</v>
      </c>
      <c r="UP90" s="816"/>
      <c r="UQ90" s="816"/>
      <c r="UR90" s="816"/>
      <c r="US90" s="866">
        <f t="shared" si="68"/>
        <v>0.91401568091942109</v>
      </c>
      <c r="UT90" s="866"/>
      <c r="UU90" s="866"/>
      <c r="UV90" s="866"/>
      <c r="UW90" s="866"/>
      <c r="XB90" s="512"/>
      <c r="XC90" s="512"/>
      <c r="XD90" s="512"/>
      <c r="XQ90" s="150"/>
      <c r="XR90" s="695" t="s">
        <v>930</v>
      </c>
      <c r="XS90" s="695"/>
      <c r="XT90" s="150"/>
      <c r="XU90" s="727" t="s">
        <v>147</v>
      </c>
      <c r="XV90" s="727"/>
      <c r="XW90" s="727"/>
      <c r="XX90" s="727"/>
      <c r="XY90" s="727"/>
      <c r="XZ90" s="727"/>
      <c r="YA90" s="727"/>
      <c r="YB90" s="727"/>
      <c r="YC90" s="727"/>
      <c r="YD90" s="727"/>
      <c r="YE90" s="727"/>
      <c r="YF90" s="150"/>
      <c r="YZ90" s="144"/>
      <c r="ZA90" s="144"/>
      <c r="AAD90" s="947"/>
      <c r="AAE90" s="947"/>
      <c r="AAF90" s="947"/>
      <c r="AAG90" s="947"/>
      <c r="AAH90" s="535">
        <v>17</v>
      </c>
      <c r="AAI90" s="956"/>
      <c r="AAJ90" s="957"/>
      <c r="AAK90" s="958">
        <f t="shared" si="59"/>
        <v>0.22666666666666668</v>
      </c>
      <c r="AAL90" s="959"/>
      <c r="AAN90" s="947"/>
      <c r="AAO90" s="947"/>
      <c r="AAP90" s="947"/>
      <c r="AAQ90" s="947"/>
      <c r="AAR90" s="535">
        <v>77</v>
      </c>
      <c r="AAS90" s="956"/>
      <c r="AAT90" s="957"/>
      <c r="AAU90" s="958">
        <f t="shared" si="60"/>
        <v>1.0266666666666668</v>
      </c>
      <c r="AAV90" s="959"/>
      <c r="AAX90" s="947"/>
      <c r="AAY90" s="947"/>
      <c r="AAZ90" s="947"/>
      <c r="ABA90" s="947"/>
      <c r="ABB90" s="535">
        <v>137</v>
      </c>
      <c r="ABC90" s="956"/>
      <c r="ABD90" s="957"/>
      <c r="ABE90" s="958">
        <f t="shared" si="61"/>
        <v>1.8266666666666669</v>
      </c>
      <c r="ABF90" s="959"/>
      <c r="ABH90" s="947"/>
      <c r="ABI90" s="947"/>
      <c r="ABJ90" s="947"/>
      <c r="ABK90" s="947"/>
      <c r="ABL90" s="537">
        <v>197</v>
      </c>
      <c r="ABM90" s="956"/>
      <c r="ABN90" s="957"/>
      <c r="ABO90" s="958">
        <f t="shared" si="62"/>
        <v>2.6266666666666669</v>
      </c>
      <c r="ABP90" s="959"/>
      <c r="ABR90" s="947"/>
      <c r="ABS90" s="947"/>
      <c r="ABT90" s="947"/>
      <c r="ABU90" s="947"/>
      <c r="ABV90" s="537">
        <v>257</v>
      </c>
      <c r="ABW90" s="956"/>
      <c r="ABX90" s="957"/>
      <c r="ABY90" s="958">
        <f t="shared" si="63"/>
        <v>3.4266666666666667</v>
      </c>
      <c r="ABZ90" s="959"/>
      <c r="ADB90" s="1033"/>
      <c r="ADC90" s="1033"/>
      <c r="ADD90" s="1029"/>
      <c r="ADE90" s="1030"/>
      <c r="ADF90" s="1030"/>
      <c r="ADG90" s="1030"/>
      <c r="ADH90" s="1030"/>
      <c r="ADI90" s="1031"/>
      <c r="ADJ90" s="1034"/>
      <c r="ADK90" s="1034"/>
      <c r="ADL90" s="1034"/>
      <c r="ADM90" s="1034"/>
      <c r="ADN90" s="1034"/>
      <c r="ADO90" s="1034"/>
      <c r="ADP90" s="1034"/>
      <c r="ADQ90" s="1034"/>
      <c r="ADR90" s="1034"/>
      <c r="ADS90" s="1034"/>
      <c r="ADT90" s="1034"/>
      <c r="ADU90" s="1034"/>
      <c r="ADV90" s="1034"/>
      <c r="ADW90" s="1034"/>
      <c r="ADX90" s="192"/>
      <c r="ADY90" s="187"/>
      <c r="ADZ90" s="187"/>
      <c r="AEA90" s="187"/>
      <c r="AEB90" s="187"/>
      <c r="AEC90" s="187"/>
      <c r="AED90" s="187"/>
      <c r="AEE90" s="188"/>
      <c r="AEF90" s="172"/>
      <c r="AEG90" s="172"/>
      <c r="AEH90" s="172"/>
      <c r="AEI90" s="172"/>
      <c r="AEJ90" s="172"/>
      <c r="AEK90" s="177"/>
      <c r="AEN90" s="144"/>
      <c r="AEO90" s="144"/>
      <c r="AEP90" s="947"/>
      <c r="AEQ90" s="947"/>
      <c r="AER90" s="947"/>
      <c r="AES90" s="947"/>
      <c r="AET90" s="657">
        <v>46</v>
      </c>
      <c r="AEU90" s="956"/>
      <c r="AEV90" s="957"/>
      <c r="AEW90" s="958">
        <f t="shared" si="35"/>
        <v>1.4566666666666668</v>
      </c>
      <c r="AEX90" s="959"/>
      <c r="AEZ90" s="947"/>
      <c r="AFA90" s="947"/>
      <c r="AFB90" s="947"/>
      <c r="AFC90" s="947"/>
      <c r="AFD90" s="657">
        <v>106</v>
      </c>
      <c r="AFE90" s="956"/>
      <c r="AFF90" s="957"/>
      <c r="AFG90" s="958">
        <f t="shared" si="36"/>
        <v>3.3566666666666669</v>
      </c>
      <c r="AFH90" s="959"/>
      <c r="AFJ90" s="947"/>
      <c r="AFK90" s="947"/>
      <c r="AFL90" s="947"/>
      <c r="AFM90" s="947"/>
      <c r="AFN90" s="657">
        <v>166</v>
      </c>
      <c r="AFO90" s="956"/>
      <c r="AFP90" s="957"/>
      <c r="AFQ90" s="958">
        <f t="shared" si="37"/>
        <v>5.2566666666666668</v>
      </c>
      <c r="AFR90" s="959"/>
      <c r="AFT90" s="947"/>
      <c r="AFU90" s="947"/>
      <c r="AFV90" s="947"/>
      <c r="AFW90" s="947"/>
      <c r="AFX90" s="656">
        <v>226</v>
      </c>
      <c r="AFY90" s="956"/>
      <c r="AFZ90" s="957"/>
      <c r="AGA90" s="958"/>
      <c r="AGB90" s="959"/>
      <c r="AGD90" s="947"/>
      <c r="AGE90" s="947"/>
      <c r="AGF90" s="947"/>
      <c r="AGG90" s="947"/>
      <c r="AGH90" s="656">
        <v>286</v>
      </c>
      <c r="AGI90" s="956"/>
      <c r="AGJ90" s="957"/>
      <c r="AGK90" s="958"/>
      <c r="AGL90" s="959"/>
      <c r="AJU90" s="144"/>
      <c r="AJV90" s="144"/>
      <c r="AJW90" s="144"/>
      <c r="AJX90" s="144"/>
      <c r="AJY90" s="144"/>
      <c r="AJZ90" s="144"/>
      <c r="AKA90" s="144"/>
      <c r="AKB90" s="144"/>
    </row>
    <row r="91" spans="14:964" ht="48" customHeight="1" thickBot="1">
      <c r="AI91" s="827"/>
      <c r="AJ91" s="734"/>
      <c r="AK91" s="735"/>
      <c r="AL91" s="735"/>
      <c r="AM91" s="735"/>
      <c r="AN91" s="735"/>
      <c r="AO91" s="735"/>
      <c r="AP91" s="735"/>
      <c r="AQ91" s="735"/>
      <c r="AR91" s="735"/>
      <c r="AS91" s="735"/>
      <c r="AT91" s="735"/>
      <c r="AU91" s="735"/>
      <c r="AV91" s="735"/>
      <c r="AW91" s="1089"/>
      <c r="AX91" s="708"/>
      <c r="AY91" s="851"/>
      <c r="AZ91" s="852"/>
      <c r="BA91" s="713"/>
      <c r="BB91" s="1519"/>
      <c r="BC91" s="1520"/>
      <c r="BD91" s="747"/>
      <c r="BE91" s="90"/>
      <c r="BF91" s="88"/>
      <c r="BG91" s="89"/>
      <c r="BP91" s="144"/>
      <c r="BQ91" s="144"/>
      <c r="BR91" s="144"/>
      <c r="BS91" s="144"/>
      <c r="BT91" s="144"/>
      <c r="BX91" s="825"/>
      <c r="BY91" s="665" t="s">
        <v>36</v>
      </c>
      <c r="BZ91" s="666"/>
      <c r="CA91" s="146"/>
      <c r="CB91" s="122"/>
      <c r="CC91" s="87"/>
      <c r="CD91" s="87"/>
      <c r="CE91" s="87"/>
      <c r="CF91" s="87"/>
      <c r="CG91" s="87"/>
      <c r="CH91" s="146"/>
      <c r="CI91" s="85" t="s">
        <v>467</v>
      </c>
      <c r="CJ91" s="757" t="s">
        <v>461</v>
      </c>
      <c r="CK91" s="758"/>
      <c r="CL91" s="774" t="s">
        <v>126</v>
      </c>
      <c r="CM91" s="776"/>
      <c r="CN91" s="675" t="s">
        <v>731</v>
      </c>
      <c r="CO91" s="676"/>
      <c r="CP91" s="821" t="s">
        <v>473</v>
      </c>
      <c r="CQ91" s="822"/>
      <c r="CR91" s="822"/>
      <c r="CS91" s="823"/>
      <c r="CT91" s="821" t="s">
        <v>462</v>
      </c>
      <c r="CU91" s="822"/>
      <c r="CV91" s="823"/>
      <c r="DZ91" s="825"/>
      <c r="EA91" s="770" t="s">
        <v>1207</v>
      </c>
      <c r="EB91" s="770"/>
      <c r="EC91" s="770"/>
      <c r="ED91" s="770"/>
      <c r="EE91" s="770"/>
      <c r="EF91" s="770"/>
      <c r="EG91" s="770"/>
      <c r="EH91" s="770"/>
      <c r="EI91" s="770"/>
      <c r="EJ91" s="770"/>
      <c r="EK91" s="770"/>
      <c r="EL91" s="770"/>
      <c r="EM91" s="771"/>
      <c r="EN91" s="763">
        <f>EN62-EQ54</f>
        <v>10.123405894172807</v>
      </c>
      <c r="EO91" s="764"/>
      <c r="EP91" s="759" t="s">
        <v>50</v>
      </c>
      <c r="EQ91" s="760"/>
      <c r="ER91" s="712"/>
      <c r="ES91" s="740" t="s">
        <v>1081</v>
      </c>
      <c r="ET91" s="741"/>
      <c r="EU91" s="742"/>
      <c r="EV91" s="746"/>
      <c r="EW91" s="767"/>
      <c r="EX91" s="767"/>
      <c r="EY91" s="767"/>
      <c r="EZ91" s="767"/>
      <c r="FA91" s="767"/>
      <c r="GB91" s="144"/>
      <c r="GC91" s="144"/>
      <c r="GD91" s="144"/>
      <c r="GE91" s="144"/>
      <c r="GF91" s="826"/>
      <c r="GG91" s="673" t="s">
        <v>1180</v>
      </c>
      <c r="GH91" s="674"/>
      <c r="GI91" s="724">
        <f>$GW$24</f>
        <v>58</v>
      </c>
      <c r="GJ91" s="724"/>
      <c r="GK91" s="704"/>
      <c r="GL91" s="704"/>
      <c r="GM91" s="704"/>
      <c r="GN91" s="704"/>
      <c r="GO91" s="704"/>
      <c r="GP91" s="704"/>
      <c r="GQ91" s="704"/>
      <c r="GR91" s="704"/>
      <c r="GS91" s="705"/>
      <c r="GT91" s="1089"/>
      <c r="GU91" s="708"/>
      <c r="GV91" s="1204"/>
      <c r="GW91" s="1065"/>
      <c r="GX91" s="715"/>
      <c r="GY91" s="743"/>
      <c r="GZ91" s="744"/>
      <c r="HA91" s="745"/>
      <c r="HB91" s="747"/>
      <c r="HC91" s="890"/>
      <c r="HD91" s="841"/>
      <c r="HE91" s="841"/>
      <c r="HF91" s="841"/>
      <c r="HG91" s="841"/>
      <c r="HH91" s="841"/>
      <c r="HI91" s="841"/>
      <c r="HJ91" s="891"/>
      <c r="HQ91" s="777" t="s">
        <v>752</v>
      </c>
      <c r="HR91" s="778"/>
      <c r="HS91" s="779"/>
      <c r="HT91" s="85" t="s">
        <v>839</v>
      </c>
      <c r="HU91" s="665" t="s">
        <v>442</v>
      </c>
      <c r="HV91" s="667"/>
      <c r="HW91" s="239"/>
      <c r="HX91" s="87"/>
      <c r="HY91" s="87"/>
      <c r="HZ91" s="87"/>
      <c r="IA91" s="87"/>
      <c r="IB91" s="87"/>
      <c r="IC91" s="87"/>
      <c r="ID91" s="239"/>
      <c r="IE91" s="85" t="s">
        <v>467</v>
      </c>
      <c r="IF91" s="757" t="s">
        <v>461</v>
      </c>
      <c r="IG91" s="758"/>
      <c r="IH91" s="819" t="s">
        <v>126</v>
      </c>
      <c r="II91" s="820"/>
      <c r="IJ91" s="675" t="s">
        <v>731</v>
      </c>
      <c r="IK91" s="676"/>
      <c r="IL91" s="821" t="s">
        <v>473</v>
      </c>
      <c r="IM91" s="822"/>
      <c r="IN91" s="822"/>
      <c r="IO91" s="822"/>
      <c r="IP91" s="823"/>
      <c r="IR91" s="767"/>
      <c r="IS91" s="344" t="s">
        <v>1294</v>
      </c>
      <c r="IT91" s="677">
        <f>GW40</f>
        <v>7.0000000000000007E-2</v>
      </c>
      <c r="IU91" s="677"/>
      <c r="IV91" s="941" t="s">
        <v>78</v>
      </c>
      <c r="IW91" s="942"/>
      <c r="IX91" s="942"/>
      <c r="IY91" s="942"/>
      <c r="IZ91" s="942"/>
      <c r="JA91" s="942"/>
      <c r="JB91" s="942"/>
      <c r="JC91" s="942"/>
      <c r="JD91" s="942"/>
      <c r="JE91" s="1011"/>
      <c r="JF91" s="752">
        <f>(3.14*(IT91*1000-IT92))/IT93</f>
        <v>49.90637499999999</v>
      </c>
      <c r="JG91" s="753"/>
      <c r="JH91" s="759" t="s">
        <v>50</v>
      </c>
      <c r="JI91" s="760"/>
      <c r="JJ91" s="712"/>
      <c r="JK91" s="740" t="s">
        <v>895</v>
      </c>
      <c r="JL91" s="742"/>
      <c r="JM91" s="746"/>
      <c r="JN91" s="767"/>
      <c r="JO91" s="767"/>
      <c r="JP91" s="767"/>
      <c r="JQ91" s="767"/>
      <c r="JR91" s="767"/>
      <c r="LZ91" s="825"/>
      <c r="MA91" s="147" t="s">
        <v>442</v>
      </c>
      <c r="MB91" s="148"/>
      <c r="MC91" s="370"/>
      <c r="MD91" s="696" t="s">
        <v>1369</v>
      </c>
      <c r="ME91" s="697"/>
      <c r="MF91" s="756">
        <f>$MN$86</f>
        <v>0.65984741945763259</v>
      </c>
      <c r="MG91" s="756"/>
      <c r="MH91" s="87"/>
      <c r="MI91" s="87"/>
      <c r="MJ91" s="370"/>
      <c r="MK91" s="85" t="s">
        <v>467</v>
      </c>
      <c r="ML91" s="757" t="s">
        <v>461</v>
      </c>
      <c r="MM91" s="758"/>
      <c r="MN91" s="819" t="s">
        <v>126</v>
      </c>
      <c r="MO91" s="820"/>
      <c r="MP91" s="675" t="s">
        <v>731</v>
      </c>
      <c r="MQ91" s="676"/>
      <c r="MR91" s="821" t="s">
        <v>473</v>
      </c>
      <c r="MS91" s="822"/>
      <c r="MT91" s="822"/>
      <c r="MU91" s="823"/>
      <c r="MV91" s="821" t="s">
        <v>462</v>
      </c>
      <c r="MW91" s="822"/>
      <c r="MX91" s="822"/>
      <c r="MY91" s="822"/>
      <c r="MZ91" s="823"/>
      <c r="OW91" s="144"/>
      <c r="OX91" s="144"/>
      <c r="OY91" s="144"/>
      <c r="OZ91" s="144"/>
      <c r="RC91" s="369">
        <v>73</v>
      </c>
      <c r="RD91" s="668">
        <v>7.2999999999999995E-2</v>
      </c>
      <c r="RE91" s="669"/>
      <c r="RF91" s="670">
        <f t="shared" si="30"/>
        <v>9.3292017760382944</v>
      </c>
      <c r="RG91" s="670"/>
      <c r="RH91" s="670"/>
      <c r="RI91" s="670"/>
      <c r="RJ91" s="698">
        <f t="shared" si="69"/>
        <v>30</v>
      </c>
      <c r="RK91" s="699"/>
      <c r="RL91" s="726"/>
      <c r="RM91" s="670">
        <f t="shared" si="70"/>
        <v>9.5177029462547402</v>
      </c>
      <c r="RN91" s="670"/>
      <c r="RO91" s="670"/>
      <c r="RP91" s="670"/>
      <c r="RQ91" s="670"/>
      <c r="RR91" s="670"/>
      <c r="RS91" s="671">
        <f t="shared" si="64"/>
        <v>1.560804663639157</v>
      </c>
      <c r="RT91" s="671"/>
      <c r="RU91" s="671"/>
      <c r="RV91" s="671"/>
      <c r="RW91" s="671"/>
      <c r="RX91" s="671"/>
      <c r="RY91" s="681">
        <f t="shared" si="71"/>
        <v>9.6448318062672254</v>
      </c>
      <c r="RZ91" s="681"/>
      <c r="SA91" s="681"/>
      <c r="SB91" s="681"/>
      <c r="SC91" s="681">
        <f>'Вывод расчетов'!$AQ$6/RY91</f>
        <v>39.399339214300809</v>
      </c>
      <c r="SD91" s="681"/>
      <c r="SE91" s="681"/>
      <c r="SF91" s="681"/>
      <c r="SG91" s="867">
        <f t="shared" si="72"/>
        <v>0.98681896558010718</v>
      </c>
      <c r="SH91" s="867"/>
      <c r="SI91" s="867"/>
      <c r="SJ91" s="867"/>
      <c r="SK91" s="865">
        <f t="shared" si="73"/>
        <v>0.16182808523679429</v>
      </c>
      <c r="SL91" s="865"/>
      <c r="SM91" s="865"/>
      <c r="SN91" s="865"/>
      <c r="SO91" s="692">
        <f t="shared" si="26"/>
        <v>39.230337609127325</v>
      </c>
      <c r="SP91" s="693"/>
      <c r="SQ91" s="693"/>
      <c r="SR91" s="693"/>
      <c r="SS91" s="694"/>
      <c r="ST91" s="668">
        <f t="shared" si="78"/>
        <v>17.357996386641236</v>
      </c>
      <c r="SU91" s="678"/>
      <c r="SV91" s="678"/>
      <c r="SW91" s="678"/>
      <c r="SX91" s="678"/>
      <c r="SY91" s="669"/>
      <c r="SZ91" s="682">
        <f t="shared" si="74"/>
        <v>42.898944363291271</v>
      </c>
      <c r="TA91" s="683"/>
      <c r="TB91" s="683"/>
      <c r="TC91" s="683"/>
      <c r="TD91" s="683"/>
      <c r="TE91" s="684"/>
      <c r="TF91" s="682">
        <f>'Вывод расчетов'!$XC$174*SC91</f>
        <v>40.026798049089727</v>
      </c>
      <c r="TG91" s="683"/>
      <c r="TH91" s="684"/>
      <c r="TI91" s="681">
        <f t="shared" si="79"/>
        <v>44.72258487440515</v>
      </c>
      <c r="TJ91" s="681"/>
      <c r="TK91" s="681"/>
      <c r="TL91" s="681"/>
      <c r="TM91" s="685">
        <f t="shared" si="75"/>
        <v>1.024393005044347</v>
      </c>
      <c r="TN91" s="686"/>
      <c r="TO91" s="686"/>
      <c r="TP91" s="687"/>
      <c r="TQ91" s="688">
        <f t="shared" si="76"/>
        <v>3.1715128646252828</v>
      </c>
      <c r="TR91" s="688"/>
      <c r="TS91" s="688"/>
      <c r="TT91" s="688"/>
      <c r="TU91" s="689">
        <f t="shared" si="77"/>
        <v>0.29058901404704218</v>
      </c>
      <c r="TV91" s="690"/>
      <c r="TW91" s="690"/>
      <c r="TX91" s="690"/>
      <c r="TY91" s="690"/>
      <c r="TZ91" s="691"/>
      <c r="UA91" s="679">
        <v>7.2999999999999995E-2</v>
      </c>
      <c r="UB91" s="680"/>
      <c r="UC91" s="650">
        <v>0.73</v>
      </c>
      <c r="UD91" s="866">
        <f t="shared" si="65"/>
        <v>5.3667816995440853</v>
      </c>
      <c r="UE91" s="866"/>
      <c r="UF91" s="866"/>
      <c r="UG91" s="866"/>
      <c r="UH91" s="866"/>
      <c r="UI91" s="866"/>
      <c r="UJ91" s="866"/>
      <c r="UK91" s="681">
        <f t="shared" si="66"/>
        <v>39.355803174861066</v>
      </c>
      <c r="UL91" s="681"/>
      <c r="UM91" s="681"/>
      <c r="UN91" s="681"/>
      <c r="UO91" s="816">
        <f t="shared" si="67"/>
        <v>0.87999840092839743</v>
      </c>
      <c r="UP91" s="816"/>
      <c r="UQ91" s="816"/>
      <c r="UR91" s="816"/>
      <c r="US91" s="866">
        <f t="shared" si="68"/>
        <v>0.91448258672529992</v>
      </c>
      <c r="UT91" s="866"/>
      <c r="UU91" s="866"/>
      <c r="UV91" s="866"/>
      <c r="UW91" s="866"/>
      <c r="WD91" s="825"/>
      <c r="WE91" s="665" t="s">
        <v>442</v>
      </c>
      <c r="WF91" s="666"/>
      <c r="WG91" s="152"/>
      <c r="WH91" s="420" t="s">
        <v>1468</v>
      </c>
      <c r="WI91" s="756">
        <f>$MN$98</f>
        <v>0.55105560251025065</v>
      </c>
      <c r="WJ91" s="756"/>
      <c r="WK91" s="87"/>
      <c r="WL91" s="87"/>
      <c r="WM91" s="87"/>
      <c r="WN91" s="152"/>
      <c r="WO91" s="85" t="s">
        <v>467</v>
      </c>
      <c r="WP91" s="757" t="s">
        <v>461</v>
      </c>
      <c r="WQ91" s="899"/>
      <c r="WR91" s="819" t="s">
        <v>126</v>
      </c>
      <c r="WS91" s="820"/>
      <c r="WT91" s="675" t="s">
        <v>731</v>
      </c>
      <c r="WU91" s="676"/>
      <c r="WV91" s="821" t="s">
        <v>473</v>
      </c>
      <c r="WW91" s="822"/>
      <c r="WX91" s="822"/>
      <c r="WY91" s="823"/>
      <c r="WZ91" s="821" t="s">
        <v>462</v>
      </c>
      <c r="XA91" s="822"/>
      <c r="XB91" s="822"/>
      <c r="XC91" s="822"/>
      <c r="XD91" s="822"/>
      <c r="XE91" s="823"/>
      <c r="YZ91" s="144"/>
      <c r="ZA91" s="144"/>
      <c r="AAD91" s="947"/>
      <c r="AAE91" s="947"/>
      <c r="AAF91" s="947"/>
      <c r="AAG91" s="947"/>
      <c r="AAH91" s="535">
        <v>18</v>
      </c>
      <c r="AAI91" s="956"/>
      <c r="AAJ91" s="957"/>
      <c r="AAK91" s="958">
        <f t="shared" si="59"/>
        <v>0.24000000000000002</v>
      </c>
      <c r="AAL91" s="959"/>
      <c r="AAN91" s="947"/>
      <c r="AAO91" s="947"/>
      <c r="AAP91" s="947"/>
      <c r="AAQ91" s="947"/>
      <c r="AAR91" s="535">
        <v>78</v>
      </c>
      <c r="AAS91" s="956"/>
      <c r="AAT91" s="957"/>
      <c r="AAU91" s="958">
        <f t="shared" si="60"/>
        <v>1.04</v>
      </c>
      <c r="AAV91" s="959"/>
      <c r="AAX91" s="947"/>
      <c r="AAY91" s="947"/>
      <c r="AAZ91" s="947"/>
      <c r="ABA91" s="947"/>
      <c r="ABB91" s="535">
        <v>138</v>
      </c>
      <c r="ABC91" s="956"/>
      <c r="ABD91" s="957"/>
      <c r="ABE91" s="958">
        <f t="shared" si="61"/>
        <v>1.84</v>
      </c>
      <c r="ABF91" s="959"/>
      <c r="ABH91" s="947"/>
      <c r="ABI91" s="947"/>
      <c r="ABJ91" s="947"/>
      <c r="ABK91" s="947"/>
      <c r="ABL91" s="537">
        <v>198</v>
      </c>
      <c r="ABM91" s="956"/>
      <c r="ABN91" s="957"/>
      <c r="ABO91" s="958">
        <f t="shared" si="62"/>
        <v>2.64</v>
      </c>
      <c r="ABP91" s="959"/>
      <c r="ABR91" s="947"/>
      <c r="ABS91" s="947"/>
      <c r="ABT91" s="947"/>
      <c r="ABU91" s="947"/>
      <c r="ABV91" s="537">
        <v>258</v>
      </c>
      <c r="ABW91" s="956"/>
      <c r="ABX91" s="957"/>
      <c r="ABY91" s="958">
        <f t="shared" si="63"/>
        <v>3.4400000000000004</v>
      </c>
      <c r="ABZ91" s="959"/>
      <c r="ACK91" s="144"/>
      <c r="ACL91" s="144"/>
      <c r="ADB91" s="1035">
        <v>22</v>
      </c>
      <c r="ADC91" s="1036"/>
      <c r="ADD91" s="863" t="s">
        <v>1171</v>
      </c>
      <c r="ADE91" s="863"/>
      <c r="ADF91" s="863"/>
      <c r="ADG91" s="863"/>
      <c r="ADH91" s="677">
        <f>$ER$45</f>
        <v>4</v>
      </c>
      <c r="ADI91" s="677"/>
      <c r="ADJ91" s="1032" t="s">
        <v>762</v>
      </c>
      <c r="ADK91" s="1032"/>
      <c r="ADL91" s="1033"/>
      <c r="ADM91" s="1033"/>
      <c r="ADN91" s="1033"/>
      <c r="ADO91" s="1033"/>
      <c r="ADP91" s="1033"/>
      <c r="ADQ91" s="1033"/>
      <c r="ADR91" s="1033"/>
      <c r="ADS91" s="1033"/>
      <c r="ADT91" s="1033"/>
      <c r="ADU91" s="1033"/>
      <c r="ADV91" s="1033"/>
      <c r="ADW91" s="1033"/>
      <c r="ADX91" s="1049"/>
      <c r="ADY91" s="1049"/>
      <c r="ADZ91" s="1049"/>
      <c r="AEA91" s="1049"/>
      <c r="AEB91" s="1049"/>
      <c r="AEC91" s="1049"/>
      <c r="AED91" s="1049"/>
      <c r="AEE91" s="1049"/>
      <c r="AEF91" s="1049"/>
      <c r="AEG91" s="1049"/>
      <c r="AEH91" s="1049"/>
      <c r="AEI91" s="172"/>
      <c r="AEJ91" s="172"/>
      <c r="AEK91" s="177"/>
      <c r="AEP91" s="947"/>
      <c r="AEQ91" s="947"/>
      <c r="AER91" s="947"/>
      <c r="AES91" s="947"/>
      <c r="AET91" s="657">
        <v>47</v>
      </c>
      <c r="AEU91" s="956"/>
      <c r="AEV91" s="957"/>
      <c r="AEW91" s="958">
        <f t="shared" si="35"/>
        <v>1.4883333333333335</v>
      </c>
      <c r="AEX91" s="959"/>
      <c r="AEZ91" s="947"/>
      <c r="AFA91" s="947"/>
      <c r="AFB91" s="947"/>
      <c r="AFC91" s="947"/>
      <c r="AFD91" s="657">
        <v>107</v>
      </c>
      <c r="AFE91" s="956"/>
      <c r="AFF91" s="957"/>
      <c r="AFG91" s="958">
        <f t="shared" si="36"/>
        <v>3.3883333333333336</v>
      </c>
      <c r="AFH91" s="959"/>
      <c r="AFJ91" s="947"/>
      <c r="AFK91" s="947"/>
      <c r="AFL91" s="947"/>
      <c r="AFM91" s="947"/>
      <c r="AFN91" s="657">
        <v>167</v>
      </c>
      <c r="AFO91" s="956"/>
      <c r="AFP91" s="957"/>
      <c r="AFQ91" s="958">
        <f t="shared" si="37"/>
        <v>5.288333333333334</v>
      </c>
      <c r="AFR91" s="959"/>
      <c r="AFT91" s="947"/>
      <c r="AFU91" s="947"/>
      <c r="AFV91" s="947"/>
      <c r="AFW91" s="947"/>
      <c r="AFX91" s="656">
        <v>227</v>
      </c>
      <c r="AFY91" s="956"/>
      <c r="AFZ91" s="957"/>
      <c r="AGA91" s="958"/>
      <c r="AGB91" s="959"/>
      <c r="AGD91" s="947"/>
      <c r="AGE91" s="947"/>
      <c r="AGF91" s="947"/>
      <c r="AGG91" s="947"/>
      <c r="AGH91" s="656">
        <v>287</v>
      </c>
      <c r="AGI91" s="956"/>
      <c r="AGJ91" s="957"/>
      <c r="AGK91" s="958"/>
      <c r="AGL91" s="959"/>
      <c r="AIO91" s="216"/>
      <c r="AIP91" s="665" t="s">
        <v>951</v>
      </c>
      <c r="AIQ91" s="667"/>
      <c r="AIR91" s="216"/>
      <c r="AIS91" s="728" t="s">
        <v>959</v>
      </c>
      <c r="AIT91" s="1053"/>
      <c r="AIU91" s="1053"/>
      <c r="AIV91" s="1053"/>
      <c r="AIW91" s="1053"/>
      <c r="AIX91" s="1053"/>
      <c r="AIY91" s="1053"/>
      <c r="AIZ91" s="1053"/>
      <c r="AJA91" s="1053"/>
      <c r="AJB91" s="1053"/>
      <c r="AJC91" s="1054"/>
      <c r="AJD91" s="216"/>
      <c r="AJU91" s="144"/>
      <c r="AJV91" s="144"/>
      <c r="AJW91" s="144"/>
      <c r="AJX91" s="144"/>
      <c r="AJY91" s="144"/>
      <c r="AJZ91" s="144"/>
      <c r="AKA91" s="144"/>
      <c r="AKB91" s="144"/>
    </row>
    <row r="92" spans="14:964" ht="48" customHeight="1" thickBot="1">
      <c r="BP92" s="144"/>
      <c r="BQ92" s="144"/>
      <c r="BR92" s="144"/>
      <c r="BS92" s="144"/>
      <c r="BT92" s="144"/>
      <c r="BX92" s="826"/>
      <c r="BY92" s="731" t="s">
        <v>42</v>
      </c>
      <c r="BZ92" s="732"/>
      <c r="CA92" s="732"/>
      <c r="CB92" s="732"/>
      <c r="CC92" s="732"/>
      <c r="CD92" s="807"/>
      <c r="CE92" s="732"/>
      <c r="CF92" s="732"/>
      <c r="CG92" s="732"/>
      <c r="CH92" s="732"/>
      <c r="CI92" s="732"/>
      <c r="CJ92" s="732"/>
      <c r="CK92" s="733"/>
      <c r="CL92" s="1208">
        <f>(AW12*CL88)/(AW34*AZ86)</f>
        <v>0.75945292831578104</v>
      </c>
      <c r="CM92" s="705"/>
      <c r="CN92" s="759" t="s">
        <v>18</v>
      </c>
      <c r="CO92" s="760"/>
      <c r="CP92" s="712"/>
      <c r="CQ92" s="740" t="s">
        <v>785</v>
      </c>
      <c r="CR92" s="742"/>
      <c r="CS92" s="746"/>
      <c r="CT92" s="919"/>
      <c r="CU92" s="840"/>
      <c r="CV92" s="920"/>
      <c r="DZ92" s="827"/>
      <c r="EA92" s="772"/>
      <c r="EB92" s="772"/>
      <c r="EC92" s="772"/>
      <c r="ED92" s="772"/>
      <c r="EE92" s="772"/>
      <c r="EF92" s="772"/>
      <c r="EG92" s="772"/>
      <c r="EH92" s="772"/>
      <c r="EI92" s="772"/>
      <c r="EJ92" s="772"/>
      <c r="EK92" s="772"/>
      <c r="EL92" s="772"/>
      <c r="EM92" s="773"/>
      <c r="EN92" s="765"/>
      <c r="EO92" s="766"/>
      <c r="EP92" s="761"/>
      <c r="EQ92" s="762"/>
      <c r="ER92" s="713"/>
      <c r="ES92" s="743"/>
      <c r="ET92" s="744"/>
      <c r="EU92" s="745"/>
      <c r="EV92" s="747"/>
      <c r="EW92" s="768"/>
      <c r="EX92" s="768"/>
      <c r="EY92" s="768"/>
      <c r="EZ92" s="768"/>
      <c r="FA92" s="768"/>
      <c r="FJ92" s="139"/>
      <c r="FK92" s="139"/>
      <c r="FL92" s="139"/>
      <c r="FM92" s="139"/>
      <c r="FT92" s="139"/>
      <c r="FU92" s="139"/>
      <c r="FV92" s="139"/>
      <c r="FW92" s="139"/>
      <c r="FX92" s="139"/>
      <c r="GB92" s="144"/>
      <c r="GC92" s="144"/>
      <c r="GD92" s="144"/>
      <c r="GE92" s="144"/>
      <c r="GF92" s="826"/>
      <c r="GG92" s="673" t="s">
        <v>1186</v>
      </c>
      <c r="GH92" s="674"/>
      <c r="GI92" s="677">
        <f>$GT$60</f>
        <v>37.535919540229884</v>
      </c>
      <c r="GJ92" s="677"/>
      <c r="GK92" s="704"/>
      <c r="GL92" s="704"/>
      <c r="GM92" s="704"/>
      <c r="GN92" s="704"/>
      <c r="GO92" s="704"/>
      <c r="GP92" s="704"/>
      <c r="GQ92" s="704"/>
      <c r="GR92" s="704"/>
      <c r="GS92" s="705"/>
      <c r="GT92" s="1360"/>
      <c r="GU92" s="900"/>
      <c r="GV92" s="900"/>
      <c r="GW92" s="900"/>
      <c r="GX92" s="900"/>
      <c r="GY92" s="900"/>
      <c r="GZ92" s="900"/>
      <c r="HA92" s="900"/>
      <c r="HB92" s="906"/>
      <c r="HC92" s="890"/>
      <c r="HD92" s="841"/>
      <c r="HE92" s="841"/>
      <c r="HF92" s="841"/>
      <c r="HG92" s="841"/>
      <c r="HH92" s="841"/>
      <c r="HI92" s="841"/>
      <c r="HJ92" s="891"/>
      <c r="HQ92" s="780"/>
      <c r="HR92" s="781"/>
      <c r="HS92" s="782"/>
      <c r="HT92" s="214" t="s">
        <v>899</v>
      </c>
      <c r="HU92" s="816"/>
      <c r="HV92" s="816"/>
      <c r="HW92" s="816"/>
      <c r="HX92" s="816"/>
      <c r="HY92" s="816"/>
      <c r="HZ92" s="816"/>
      <c r="IA92" s="816"/>
      <c r="IB92" s="816"/>
      <c r="IC92" s="816"/>
      <c r="ID92" s="816"/>
      <c r="IE92" s="816"/>
      <c r="IF92" s="816"/>
      <c r="IG92" s="816"/>
      <c r="IH92" s="752">
        <f>ROUND(GT90,1)</f>
        <v>4.3</v>
      </c>
      <c r="II92" s="753"/>
      <c r="IJ92" s="759" t="s">
        <v>50</v>
      </c>
      <c r="IK92" s="760"/>
      <c r="IL92" s="714"/>
      <c r="IM92" s="740" t="s">
        <v>1184</v>
      </c>
      <c r="IN92" s="741"/>
      <c r="IO92" s="742"/>
      <c r="IP92" s="746"/>
      <c r="IR92" s="767"/>
      <c r="IS92" s="265" t="s">
        <v>1226</v>
      </c>
      <c r="IT92" s="1074">
        <f>$JF$140</f>
        <v>38.212500000000006</v>
      </c>
      <c r="IU92" s="1074"/>
      <c r="IV92" s="941"/>
      <c r="IW92" s="942"/>
      <c r="IX92" s="942"/>
      <c r="IY92" s="942"/>
      <c r="IZ92" s="942"/>
      <c r="JA92" s="942"/>
      <c r="JB92" s="942"/>
      <c r="JC92" s="942"/>
      <c r="JD92" s="942"/>
      <c r="JE92" s="1011"/>
      <c r="JF92" s="754"/>
      <c r="JG92" s="755"/>
      <c r="JH92" s="761"/>
      <c r="JI92" s="762"/>
      <c r="JJ92" s="713"/>
      <c r="JK92" s="743"/>
      <c r="JL92" s="745"/>
      <c r="JM92" s="747"/>
      <c r="JN92" s="767"/>
      <c r="JO92" s="767"/>
      <c r="JP92" s="767"/>
      <c r="JQ92" s="767"/>
      <c r="JR92" s="767"/>
      <c r="LO92" s="144"/>
      <c r="LP92" s="144"/>
      <c r="LQ92" s="144"/>
      <c r="LR92" s="144"/>
      <c r="LS92" s="144"/>
      <c r="LT92" s="144"/>
      <c r="LU92" s="144"/>
      <c r="LV92" s="144"/>
      <c r="LW92" s="144"/>
      <c r="LZ92" s="826"/>
      <c r="MA92" s="374" t="s">
        <v>1189</v>
      </c>
      <c r="MB92" s="677">
        <f>$CL$52</f>
        <v>32.488628979857047</v>
      </c>
      <c r="MC92" s="677"/>
      <c r="MD92" s="703" t="s">
        <v>1368</v>
      </c>
      <c r="ME92" s="704"/>
      <c r="MF92" s="704"/>
      <c r="MG92" s="704"/>
      <c r="MH92" s="701"/>
      <c r="MI92" s="701"/>
      <c r="MJ92" s="701"/>
      <c r="MK92" s="701"/>
      <c r="ML92" s="701"/>
      <c r="MM92" s="702"/>
      <c r="MN92" s="763">
        <f>MF91*(MB92/MB93)</f>
        <v>5.6414573668618767E-2</v>
      </c>
      <c r="MO92" s="764"/>
      <c r="MP92" s="895" t="s">
        <v>415</v>
      </c>
      <c r="MQ92" s="896"/>
      <c r="MR92" s="714"/>
      <c r="MS92" s="716" t="s">
        <v>1367</v>
      </c>
      <c r="MT92" s="717"/>
      <c r="MU92" s="746"/>
      <c r="MV92" s="919"/>
      <c r="MW92" s="840"/>
      <c r="MX92" s="840"/>
      <c r="MY92" s="840"/>
      <c r="MZ92" s="920"/>
      <c r="OW92" s="144"/>
      <c r="OX92" s="144"/>
      <c r="OY92" s="144"/>
      <c r="OZ92" s="144"/>
      <c r="PJ92" s="792" t="s">
        <v>1079</v>
      </c>
      <c r="PK92" s="793"/>
      <c r="PL92" s="794"/>
      <c r="PM92" s="825"/>
      <c r="PN92" s="695" t="s">
        <v>442</v>
      </c>
      <c r="PO92" s="695"/>
      <c r="PP92" s="504"/>
      <c r="PQ92" s="87"/>
      <c r="PR92" s="87"/>
      <c r="PS92" s="87"/>
      <c r="PT92" s="87"/>
      <c r="PU92" s="87"/>
      <c r="PV92" s="87"/>
      <c r="PW92" s="504"/>
      <c r="PX92" s="85" t="s">
        <v>467</v>
      </c>
      <c r="PY92" s="757" t="s">
        <v>461</v>
      </c>
      <c r="PZ92" s="899"/>
      <c r="QA92" s="819" t="s">
        <v>126</v>
      </c>
      <c r="QB92" s="820"/>
      <c r="QC92" s="675" t="s">
        <v>731</v>
      </c>
      <c r="QD92" s="676"/>
      <c r="QE92" s="821" t="s">
        <v>473</v>
      </c>
      <c r="QF92" s="822"/>
      <c r="QG92" s="822"/>
      <c r="QH92" s="823"/>
      <c r="RC92" s="369">
        <v>74</v>
      </c>
      <c r="RD92" s="668">
        <v>7.3999999999999996E-2</v>
      </c>
      <c r="RE92" s="669"/>
      <c r="RF92" s="670">
        <f t="shared" si="30"/>
        <v>9.2031314817675067</v>
      </c>
      <c r="RG92" s="670"/>
      <c r="RH92" s="670"/>
      <c r="RI92" s="670"/>
      <c r="RJ92" s="698">
        <f t="shared" si="69"/>
        <v>30</v>
      </c>
      <c r="RK92" s="699"/>
      <c r="RL92" s="726"/>
      <c r="RM92" s="670">
        <f t="shared" si="70"/>
        <v>9.3916326519839526</v>
      </c>
      <c r="RN92" s="670"/>
      <c r="RO92" s="670"/>
      <c r="RP92" s="670"/>
      <c r="RQ92" s="670"/>
      <c r="RR92" s="670"/>
      <c r="RS92" s="671">
        <f t="shared" si="64"/>
        <v>1.560804663639157</v>
      </c>
      <c r="RT92" s="671"/>
      <c r="RU92" s="671"/>
      <c r="RV92" s="671"/>
      <c r="RW92" s="671"/>
      <c r="RX92" s="671"/>
      <c r="RY92" s="681">
        <f t="shared" si="71"/>
        <v>9.5204451087041555</v>
      </c>
      <c r="RZ92" s="681"/>
      <c r="SA92" s="681"/>
      <c r="SB92" s="681"/>
      <c r="SC92" s="681">
        <f>'Вывод расчетов'!$AQ$6/RY92</f>
        <v>39.914100198170509</v>
      </c>
      <c r="SD92" s="681"/>
      <c r="SE92" s="681"/>
      <c r="SF92" s="681"/>
      <c r="SG92" s="867">
        <f t="shared" si="72"/>
        <v>0.98646991235709824</v>
      </c>
      <c r="SH92" s="867"/>
      <c r="SI92" s="867"/>
      <c r="SJ92" s="867"/>
      <c r="SK92" s="865">
        <f t="shared" si="73"/>
        <v>0.16394240456385561</v>
      </c>
      <c r="SL92" s="865"/>
      <c r="SM92" s="865"/>
      <c r="SN92" s="865"/>
      <c r="SO92" s="692">
        <f t="shared" ref="SO92:SO118" si="80">$SR$14+SC92*SG92+$SR$15</f>
        <v>39.724381365432947</v>
      </c>
      <c r="SP92" s="693"/>
      <c r="SQ92" s="693"/>
      <c r="SR92" s="693"/>
      <c r="SS92" s="694"/>
      <c r="ST92" s="668">
        <f t="shared" si="78"/>
        <v>17.525690324486732</v>
      </c>
      <c r="SU92" s="678"/>
      <c r="SV92" s="678"/>
      <c r="SW92" s="678"/>
      <c r="SX92" s="678"/>
      <c r="SY92" s="669"/>
      <c r="SZ92" s="682">
        <f t="shared" si="74"/>
        <v>43.418616931175549</v>
      </c>
      <c r="TA92" s="683"/>
      <c r="TB92" s="683"/>
      <c r="TC92" s="683"/>
      <c r="TD92" s="683"/>
      <c r="TE92" s="684"/>
      <c r="TF92" s="682">
        <f>'Вывод расчетов'!$XC$174*SC92</f>
        <v>40.549756919867555</v>
      </c>
      <c r="TG92" s="683"/>
      <c r="TH92" s="684"/>
      <c r="TI92" s="681">
        <f t="shared" si="79"/>
        <v>45.28579475659356</v>
      </c>
      <c r="TJ92" s="681"/>
      <c r="TK92" s="681"/>
      <c r="TL92" s="681"/>
      <c r="TM92" s="685">
        <f t="shared" si="75"/>
        <v>1.0493620739300928</v>
      </c>
      <c r="TN92" s="686"/>
      <c r="TO92" s="686"/>
      <c r="TP92" s="687"/>
      <c r="TQ92" s="688">
        <f t="shared" si="76"/>
        <v>3.2549272601174879</v>
      </c>
      <c r="TR92" s="688"/>
      <c r="TS92" s="688"/>
      <c r="TT92" s="688"/>
      <c r="TU92" s="689">
        <f t="shared" si="77"/>
        <v>0.29767197641934712</v>
      </c>
      <c r="TV92" s="690"/>
      <c r="TW92" s="690"/>
      <c r="TX92" s="690"/>
      <c r="TY92" s="690"/>
      <c r="TZ92" s="691"/>
      <c r="UA92" s="679">
        <v>7.3999999999999996E-2</v>
      </c>
      <c r="UB92" s="680"/>
      <c r="UC92" s="650">
        <v>0.74</v>
      </c>
      <c r="UD92" s="866">
        <f t="shared" si="65"/>
        <v>5.4822481262943414</v>
      </c>
      <c r="UE92" s="866"/>
      <c r="UF92" s="866"/>
      <c r="UG92" s="866"/>
      <c r="UH92" s="866"/>
      <c r="UI92" s="866"/>
      <c r="UJ92" s="866"/>
      <c r="UK92" s="681">
        <f t="shared" si="66"/>
        <v>39.803546630299216</v>
      </c>
      <c r="UL92" s="681"/>
      <c r="UM92" s="681"/>
      <c r="UN92" s="681"/>
      <c r="UO92" s="816">
        <f t="shared" si="67"/>
        <v>0.87894110822696492</v>
      </c>
      <c r="UP92" s="816"/>
      <c r="UQ92" s="816"/>
      <c r="UR92" s="816"/>
      <c r="US92" s="866">
        <f t="shared" si="68"/>
        <v>0.91491586266788572</v>
      </c>
      <c r="UT92" s="866"/>
      <c r="UU92" s="866"/>
      <c r="UV92" s="866"/>
      <c r="UW92" s="866"/>
      <c r="WD92" s="826"/>
      <c r="WE92" s="844" t="s">
        <v>1472</v>
      </c>
      <c r="WF92" s="845"/>
      <c r="WG92" s="884">
        <f>$MN$229</f>
        <v>0.96983668719546179</v>
      </c>
      <c r="WH92" s="884"/>
      <c r="WI92" s="700"/>
      <c r="WJ92" s="701"/>
      <c r="WK92" s="701"/>
      <c r="WL92" s="701"/>
      <c r="WM92" s="701"/>
      <c r="WN92" s="701"/>
      <c r="WO92" s="701"/>
      <c r="WP92" s="701"/>
      <c r="WQ92" s="702"/>
      <c r="WR92" s="763">
        <f>WR72*(MN98+WR72*WG92)</f>
        <v>1.560804663639157</v>
      </c>
      <c r="WS92" s="764"/>
      <c r="WT92" s="917" t="s">
        <v>415</v>
      </c>
      <c r="WU92" s="896"/>
      <c r="WV92" s="714"/>
      <c r="WW92" s="952" t="s">
        <v>877</v>
      </c>
      <c r="WX92" s="953"/>
      <c r="WY92" s="746"/>
      <c r="WZ92" s="919"/>
      <c r="XA92" s="840"/>
      <c r="XB92" s="840"/>
      <c r="XC92" s="840"/>
      <c r="XD92" s="840"/>
      <c r="XE92" s="920"/>
      <c r="XO92" s="825"/>
      <c r="XP92" s="665" t="s">
        <v>442</v>
      </c>
      <c r="XQ92" s="666"/>
      <c r="XR92" s="156"/>
      <c r="XS92" s="87"/>
      <c r="XT92" s="87"/>
      <c r="XU92" s="87"/>
      <c r="XV92" s="87"/>
      <c r="XW92" s="87"/>
      <c r="XX92" s="87"/>
      <c r="XY92" s="156"/>
      <c r="XZ92" s="85" t="s">
        <v>467</v>
      </c>
      <c r="YA92" s="757" t="s">
        <v>461</v>
      </c>
      <c r="YB92" s="899"/>
      <c r="YC92" s="1130" t="s">
        <v>126</v>
      </c>
      <c r="YD92" s="1131"/>
      <c r="YE92" s="675" t="s">
        <v>731</v>
      </c>
      <c r="YF92" s="1094"/>
      <c r="YG92" s="769" t="s">
        <v>473</v>
      </c>
      <c r="YH92" s="769"/>
      <c r="YI92" s="769"/>
      <c r="YJ92" s="769"/>
      <c r="YK92" s="769"/>
      <c r="YL92" s="821" t="s">
        <v>462</v>
      </c>
      <c r="YM92" s="822"/>
      <c r="YN92" s="822"/>
      <c r="YO92" s="822"/>
      <c r="YP92" s="822"/>
      <c r="YQ92" s="822"/>
      <c r="YR92" s="823"/>
      <c r="YZ92" s="144"/>
      <c r="ZA92" s="144"/>
      <c r="AAD92" s="947"/>
      <c r="AAE92" s="947"/>
      <c r="AAF92" s="947"/>
      <c r="AAG92" s="947"/>
      <c r="AAH92" s="535">
        <v>19</v>
      </c>
      <c r="AAI92" s="956"/>
      <c r="AAJ92" s="957"/>
      <c r="AAK92" s="958">
        <f t="shared" si="59"/>
        <v>0.25333333333333335</v>
      </c>
      <c r="AAL92" s="959"/>
      <c r="AAN92" s="947"/>
      <c r="AAO92" s="947"/>
      <c r="AAP92" s="947"/>
      <c r="AAQ92" s="947"/>
      <c r="AAR92" s="535">
        <v>79</v>
      </c>
      <c r="AAS92" s="956"/>
      <c r="AAT92" s="957"/>
      <c r="AAU92" s="958">
        <f t="shared" si="60"/>
        <v>1.0533333333333335</v>
      </c>
      <c r="AAV92" s="959"/>
      <c r="AAX92" s="947"/>
      <c r="AAY92" s="947"/>
      <c r="AAZ92" s="947"/>
      <c r="ABA92" s="947"/>
      <c r="ABB92" s="535">
        <v>139</v>
      </c>
      <c r="ABC92" s="956"/>
      <c r="ABD92" s="957"/>
      <c r="ABE92" s="958">
        <f t="shared" si="61"/>
        <v>1.8533333333333335</v>
      </c>
      <c r="ABF92" s="959"/>
      <c r="ABH92" s="947"/>
      <c r="ABI92" s="947"/>
      <c r="ABJ92" s="947"/>
      <c r="ABK92" s="947"/>
      <c r="ABL92" s="537">
        <v>199</v>
      </c>
      <c r="ABM92" s="956"/>
      <c r="ABN92" s="957"/>
      <c r="ABO92" s="958">
        <f t="shared" si="62"/>
        <v>2.6533333333333333</v>
      </c>
      <c r="ABP92" s="959"/>
      <c r="ABR92" s="947"/>
      <c r="ABS92" s="947"/>
      <c r="ABT92" s="947"/>
      <c r="ABU92" s="947"/>
      <c r="ABV92" s="537">
        <v>259</v>
      </c>
      <c r="ABW92" s="956"/>
      <c r="ABX92" s="957"/>
      <c r="ABY92" s="958">
        <f t="shared" si="63"/>
        <v>3.4533333333333336</v>
      </c>
      <c r="ABZ92" s="959"/>
      <c r="ACK92" s="144"/>
      <c r="ACL92" s="144"/>
      <c r="ADB92" s="1037"/>
      <c r="ADC92" s="1038"/>
      <c r="ADD92" s="863" t="s">
        <v>1649</v>
      </c>
      <c r="ADE92" s="863"/>
      <c r="ADF92" s="863"/>
      <c r="ADG92" s="863"/>
      <c r="ADH92" s="677">
        <f>$ER$41</f>
        <v>1</v>
      </c>
      <c r="ADI92" s="677"/>
      <c r="ADJ92" s="1032"/>
      <c r="ADK92" s="1032"/>
      <c r="ADL92" s="1033"/>
      <c r="ADM92" s="1033"/>
      <c r="ADN92" s="1033"/>
      <c r="ADO92" s="1033"/>
      <c r="ADP92" s="1033"/>
      <c r="ADQ92" s="1033"/>
      <c r="ADR92" s="1033"/>
      <c r="ADS92" s="1033"/>
      <c r="ADT92" s="1033"/>
      <c r="ADU92" s="1033"/>
      <c r="ADV92" s="1033"/>
      <c r="ADW92" s="1033"/>
      <c r="ADX92" s="1049"/>
      <c r="ADY92" s="1049"/>
      <c r="ADZ92" s="1049"/>
      <c r="AEA92" s="1049"/>
      <c r="AEB92" s="1049"/>
      <c r="AEC92" s="1049"/>
      <c r="AED92" s="1049"/>
      <c r="AEE92" s="1049"/>
      <c r="AEF92" s="1049"/>
      <c r="AEG92" s="1049"/>
      <c r="AEH92" s="1049"/>
      <c r="AEI92" s="172"/>
      <c r="AEJ92" s="172"/>
      <c r="AEK92" s="177"/>
      <c r="AEP92" s="947"/>
      <c r="AEQ92" s="947"/>
      <c r="AER92" s="947"/>
      <c r="AES92" s="947"/>
      <c r="AET92" s="657">
        <v>48</v>
      </c>
      <c r="AEU92" s="956"/>
      <c r="AEV92" s="957"/>
      <c r="AEW92" s="958">
        <f t="shared" si="35"/>
        <v>1.52</v>
      </c>
      <c r="AEX92" s="959"/>
      <c r="AEZ92" s="947"/>
      <c r="AFA92" s="947"/>
      <c r="AFB92" s="947"/>
      <c r="AFC92" s="947"/>
      <c r="AFD92" s="657">
        <v>108</v>
      </c>
      <c r="AFE92" s="956"/>
      <c r="AFF92" s="957"/>
      <c r="AFG92" s="958">
        <f t="shared" si="36"/>
        <v>3.4200000000000004</v>
      </c>
      <c r="AFH92" s="959"/>
      <c r="AFJ92" s="947"/>
      <c r="AFK92" s="947"/>
      <c r="AFL92" s="947"/>
      <c r="AFM92" s="947"/>
      <c r="AFN92" s="657">
        <v>168</v>
      </c>
      <c r="AFO92" s="956"/>
      <c r="AFP92" s="957"/>
      <c r="AFQ92" s="958">
        <f t="shared" si="37"/>
        <v>5.32</v>
      </c>
      <c r="AFR92" s="959"/>
      <c r="AFT92" s="947"/>
      <c r="AFU92" s="947"/>
      <c r="AFV92" s="947"/>
      <c r="AFW92" s="947"/>
      <c r="AFX92" s="656">
        <v>228</v>
      </c>
      <c r="AFY92" s="956"/>
      <c r="AFZ92" s="957"/>
      <c r="AGA92" s="958"/>
      <c r="AGB92" s="959"/>
      <c r="AGD92" s="947"/>
      <c r="AGE92" s="947"/>
      <c r="AGF92" s="947"/>
      <c r="AGG92" s="947"/>
      <c r="AGH92" s="656">
        <v>288</v>
      </c>
      <c r="AGI92" s="956"/>
      <c r="AGJ92" s="957"/>
      <c r="AGK92" s="958"/>
      <c r="AGL92" s="959"/>
      <c r="AJT92" s="144"/>
      <c r="AJU92" s="144"/>
      <c r="AJV92" s="144"/>
      <c r="AJW92" s="144"/>
      <c r="AJX92" s="144"/>
      <c r="AJY92" s="144"/>
      <c r="AJZ92" s="144"/>
      <c r="AKA92" s="144"/>
      <c r="AKB92" s="144"/>
    </row>
    <row r="93" spans="14:964" ht="48" customHeight="1" thickBot="1">
      <c r="BX93" s="827"/>
      <c r="BY93" s="734"/>
      <c r="BZ93" s="735"/>
      <c r="CA93" s="735"/>
      <c r="CB93" s="735"/>
      <c r="CC93" s="735"/>
      <c r="CD93" s="735"/>
      <c r="CE93" s="735"/>
      <c r="CF93" s="735"/>
      <c r="CG93" s="735"/>
      <c r="CH93" s="735"/>
      <c r="CI93" s="735"/>
      <c r="CJ93" s="735"/>
      <c r="CK93" s="736"/>
      <c r="CL93" s="1089"/>
      <c r="CM93" s="708"/>
      <c r="CN93" s="761"/>
      <c r="CO93" s="762"/>
      <c r="CP93" s="713"/>
      <c r="CQ93" s="743"/>
      <c r="CR93" s="745"/>
      <c r="CS93" s="747"/>
      <c r="CT93" s="892"/>
      <c r="CU93" s="893"/>
      <c r="CV93" s="894"/>
      <c r="FF93" s="139"/>
      <c r="FG93" s="139"/>
      <c r="FH93" s="139"/>
      <c r="FI93" s="139"/>
      <c r="GE93" s="144"/>
      <c r="GF93" s="827"/>
      <c r="GG93" s="930"/>
      <c r="GH93" s="931"/>
      <c r="GI93" s="931"/>
      <c r="GJ93" s="951"/>
      <c r="GK93" s="707"/>
      <c r="GL93" s="707"/>
      <c r="GM93" s="707"/>
      <c r="GN93" s="707"/>
      <c r="GO93" s="707"/>
      <c r="GP93" s="707"/>
      <c r="GQ93" s="707"/>
      <c r="GR93" s="707"/>
      <c r="GS93" s="708"/>
      <c r="GT93" s="1022"/>
      <c r="GU93" s="1023"/>
      <c r="GV93" s="1023"/>
      <c r="GW93" s="1023"/>
      <c r="GX93" s="1023"/>
      <c r="GY93" s="1023"/>
      <c r="GZ93" s="1023"/>
      <c r="HA93" s="1023"/>
      <c r="HB93" s="1024"/>
      <c r="HC93" s="892"/>
      <c r="HD93" s="893"/>
      <c r="HE93" s="893"/>
      <c r="HF93" s="893"/>
      <c r="HG93" s="893"/>
      <c r="HH93" s="893"/>
      <c r="HI93" s="893"/>
      <c r="HJ93" s="894"/>
      <c r="HQ93" s="783"/>
      <c r="HR93" s="784"/>
      <c r="HS93" s="785"/>
      <c r="HT93" s="240" t="s">
        <v>703</v>
      </c>
      <c r="HU93" s="818"/>
      <c r="HV93" s="818"/>
      <c r="HW93" s="818"/>
      <c r="HX93" s="818"/>
      <c r="HY93" s="818"/>
      <c r="HZ93" s="818"/>
      <c r="IA93" s="818"/>
      <c r="IB93" s="818"/>
      <c r="IC93" s="818"/>
      <c r="ID93" s="818"/>
      <c r="IE93" s="818"/>
      <c r="IF93" s="818"/>
      <c r="IG93" s="818"/>
      <c r="IH93" s="754"/>
      <c r="II93" s="755"/>
      <c r="IJ93" s="761"/>
      <c r="IK93" s="762"/>
      <c r="IL93" s="1284"/>
      <c r="IM93" s="1377"/>
      <c r="IN93" s="1378"/>
      <c r="IO93" s="1379"/>
      <c r="IP93" s="1321"/>
      <c r="IR93" s="768"/>
      <c r="IS93" s="253" t="s">
        <v>428</v>
      </c>
      <c r="IT93" s="1268">
        <f>$AW$16</f>
        <v>2</v>
      </c>
      <c r="IU93" s="1268"/>
      <c r="IV93" s="943"/>
      <c r="IW93" s="944"/>
      <c r="IX93" s="944"/>
      <c r="IY93" s="944"/>
      <c r="IZ93" s="944"/>
      <c r="JA93" s="944"/>
      <c r="JB93" s="944"/>
      <c r="JC93" s="944"/>
      <c r="JD93" s="944"/>
      <c r="JE93" s="1004"/>
      <c r="JF93" s="1022"/>
      <c r="JG93" s="1023"/>
      <c r="JH93" s="1023"/>
      <c r="JI93" s="1023"/>
      <c r="JJ93" s="1023"/>
      <c r="JK93" s="1023"/>
      <c r="JL93" s="1023"/>
      <c r="JM93" s="1024"/>
      <c r="JN93" s="768"/>
      <c r="JO93" s="768"/>
      <c r="JP93" s="768"/>
      <c r="JQ93" s="768"/>
      <c r="JR93" s="768"/>
      <c r="LO93" s="144"/>
      <c r="LP93" s="144"/>
      <c r="LQ93" s="144"/>
      <c r="LR93" s="144"/>
      <c r="LS93" s="144"/>
      <c r="LT93" s="144"/>
      <c r="LU93" s="144"/>
      <c r="LV93" s="144"/>
      <c r="LW93" s="144"/>
      <c r="LZ93" s="827"/>
      <c r="MA93" s="398" t="s">
        <v>1340</v>
      </c>
      <c r="MB93" s="738">
        <f>$AQ$6</f>
        <v>380</v>
      </c>
      <c r="MC93" s="738"/>
      <c r="MD93" s="706"/>
      <c r="ME93" s="707"/>
      <c r="MF93" s="707"/>
      <c r="MG93" s="707"/>
      <c r="MH93" s="707"/>
      <c r="MI93" s="707"/>
      <c r="MJ93" s="707"/>
      <c r="MK93" s="707"/>
      <c r="ML93" s="707"/>
      <c r="MM93" s="708"/>
      <c r="MN93" s="765"/>
      <c r="MO93" s="766"/>
      <c r="MP93" s="897"/>
      <c r="MQ93" s="898"/>
      <c r="MR93" s="715"/>
      <c r="MS93" s="718"/>
      <c r="MT93" s="719"/>
      <c r="MU93" s="747"/>
      <c r="MV93" s="892"/>
      <c r="MW93" s="893"/>
      <c r="MX93" s="893"/>
      <c r="MY93" s="893"/>
      <c r="MZ93" s="894"/>
      <c r="OW93" s="144"/>
      <c r="OX93" s="144"/>
      <c r="OY93" s="144"/>
      <c r="OZ93" s="144"/>
      <c r="PJ93" s="795"/>
      <c r="PK93" s="796"/>
      <c r="PL93" s="797"/>
      <c r="PM93" s="826"/>
      <c r="PN93" s="1633" t="s">
        <v>1745</v>
      </c>
      <c r="PO93" s="1634"/>
      <c r="PP93" s="1634"/>
      <c r="PQ93" s="1634"/>
      <c r="PR93" s="1634"/>
      <c r="PS93" s="1634"/>
      <c r="PT93" s="1634"/>
      <c r="PU93" s="1634"/>
      <c r="PV93" s="1634"/>
      <c r="PW93" s="1634"/>
      <c r="PX93" s="1634"/>
      <c r="PY93" s="1634"/>
      <c r="PZ93" s="1635"/>
      <c r="QA93" s="923">
        <v>0.3</v>
      </c>
      <c r="QB93" s="924"/>
      <c r="QC93" s="849" t="s">
        <v>762</v>
      </c>
      <c r="QD93" s="850"/>
      <c r="QE93" s="712"/>
      <c r="QF93" s="952" t="s">
        <v>1677</v>
      </c>
      <c r="QG93" s="953"/>
      <c r="QH93" s="746"/>
      <c r="RC93" s="369">
        <v>75</v>
      </c>
      <c r="RD93" s="668">
        <v>7.4999999999999997E-2</v>
      </c>
      <c r="RE93" s="669"/>
      <c r="RF93" s="670">
        <f t="shared" si="30"/>
        <v>9.0804230620106079</v>
      </c>
      <c r="RG93" s="670"/>
      <c r="RH93" s="670"/>
      <c r="RI93" s="670"/>
      <c r="RJ93" s="698">
        <f t="shared" si="69"/>
        <v>30</v>
      </c>
      <c r="RK93" s="699"/>
      <c r="RL93" s="726"/>
      <c r="RM93" s="670">
        <f t="shared" si="70"/>
        <v>9.2689242322270537</v>
      </c>
      <c r="RN93" s="670"/>
      <c r="RO93" s="670"/>
      <c r="RP93" s="670"/>
      <c r="RQ93" s="670"/>
      <c r="RR93" s="670"/>
      <c r="RS93" s="671">
        <f t="shared" si="64"/>
        <v>1.560804663639157</v>
      </c>
      <c r="RT93" s="671"/>
      <c r="RU93" s="671"/>
      <c r="RV93" s="671"/>
      <c r="RW93" s="671"/>
      <c r="RX93" s="671"/>
      <c r="RY93" s="681">
        <f t="shared" si="71"/>
        <v>9.3994184724802849</v>
      </c>
      <c r="RZ93" s="681"/>
      <c r="SA93" s="681"/>
      <c r="SB93" s="681"/>
      <c r="SC93" s="681">
        <f>'Вывод расчетов'!$AQ$6/RY93</f>
        <v>40.428032980185733</v>
      </c>
      <c r="SD93" s="681"/>
      <c r="SE93" s="681"/>
      <c r="SF93" s="681"/>
      <c r="SG93" s="867">
        <f t="shared" si="72"/>
        <v>0.98611677513504759</v>
      </c>
      <c r="SH93" s="867"/>
      <c r="SI93" s="867"/>
      <c r="SJ93" s="867"/>
      <c r="SK93" s="865">
        <f t="shared" si="73"/>
        <v>0.16605332215060933</v>
      </c>
      <c r="SL93" s="865"/>
      <c r="SM93" s="865"/>
      <c r="SN93" s="865"/>
      <c r="SO93" s="692">
        <f t="shared" si="80"/>
        <v>40.21708394860535</v>
      </c>
      <c r="SP93" s="693"/>
      <c r="SQ93" s="693"/>
      <c r="SR93" s="693"/>
      <c r="SS93" s="694"/>
      <c r="ST93" s="668">
        <f t="shared" si="78"/>
        <v>17.695285946370234</v>
      </c>
      <c r="SU93" s="678"/>
      <c r="SV93" s="678"/>
      <c r="SW93" s="678"/>
      <c r="SX93" s="678"/>
      <c r="SY93" s="669"/>
      <c r="SZ93" s="682">
        <f t="shared" si="74"/>
        <v>43.937876439957563</v>
      </c>
      <c r="TA93" s="683"/>
      <c r="TB93" s="683"/>
      <c r="TC93" s="683"/>
      <c r="TD93" s="683"/>
      <c r="TE93" s="684"/>
      <c r="TF93" s="682">
        <f>'Вывод расчетов'!$XC$174*SC93</f>
        <v>41.071874399164351</v>
      </c>
      <c r="TG93" s="683"/>
      <c r="TH93" s="684"/>
      <c r="TI93" s="681">
        <f t="shared" si="79"/>
        <v>45.847475701410097</v>
      </c>
      <c r="TJ93" s="681"/>
      <c r="TK93" s="681"/>
      <c r="TL93" s="681"/>
      <c r="TM93" s="685">
        <f t="shared" si="75"/>
        <v>1.0746115891386165</v>
      </c>
      <c r="TN93" s="686"/>
      <c r="TO93" s="686"/>
      <c r="TP93" s="687"/>
      <c r="TQ93" s="688">
        <f t="shared" si="76"/>
        <v>3.3392875921562672</v>
      </c>
      <c r="TR93" s="688"/>
      <c r="TS93" s="688"/>
      <c r="TT93" s="688"/>
      <c r="TU93" s="689">
        <f t="shared" si="77"/>
        <v>0.30483449284954578</v>
      </c>
      <c r="TV93" s="690"/>
      <c r="TW93" s="690"/>
      <c r="TX93" s="690"/>
      <c r="TY93" s="690"/>
      <c r="TZ93" s="691"/>
      <c r="UA93" s="756">
        <v>7.4999999999999997E-2</v>
      </c>
      <c r="UB93" s="756"/>
      <c r="UC93" s="650">
        <v>0.75</v>
      </c>
      <c r="UD93" s="866">
        <f t="shared" si="65"/>
        <v>5.5990204899718439</v>
      </c>
      <c r="UE93" s="866"/>
      <c r="UF93" s="866"/>
      <c r="UG93" s="866"/>
      <c r="UH93" s="866"/>
      <c r="UI93" s="866"/>
      <c r="UJ93" s="866"/>
      <c r="UK93" s="681">
        <f t="shared" si="66"/>
        <v>40.248455211438255</v>
      </c>
      <c r="UL93" s="681"/>
      <c r="UM93" s="681"/>
      <c r="UN93" s="681"/>
      <c r="UO93" s="816">
        <f t="shared" si="67"/>
        <v>0.87787723523893724</v>
      </c>
      <c r="UP93" s="816"/>
      <c r="UQ93" s="816"/>
      <c r="UR93" s="816"/>
      <c r="US93" s="866">
        <f t="shared" si="68"/>
        <v>0.91531697039485305</v>
      </c>
      <c r="UT93" s="866"/>
      <c r="UU93" s="866"/>
      <c r="UV93" s="866"/>
      <c r="UW93" s="866"/>
      <c r="WD93" s="827"/>
      <c r="WE93" s="881" t="s">
        <v>1483</v>
      </c>
      <c r="WF93" s="882"/>
      <c r="WG93" s="883">
        <f>$WR$72</f>
        <v>1.0159256182286724</v>
      </c>
      <c r="WH93" s="883"/>
      <c r="WI93" s="706"/>
      <c r="WJ93" s="707"/>
      <c r="WK93" s="707"/>
      <c r="WL93" s="707"/>
      <c r="WM93" s="707"/>
      <c r="WN93" s="707"/>
      <c r="WO93" s="707"/>
      <c r="WP93" s="707"/>
      <c r="WQ93" s="708"/>
      <c r="WR93" s="765"/>
      <c r="WS93" s="766"/>
      <c r="WT93" s="918"/>
      <c r="WU93" s="898"/>
      <c r="WV93" s="715"/>
      <c r="WW93" s="954"/>
      <c r="WX93" s="955"/>
      <c r="WY93" s="747"/>
      <c r="WZ93" s="892"/>
      <c r="XA93" s="893"/>
      <c r="XB93" s="893"/>
      <c r="XC93" s="893"/>
      <c r="XD93" s="893"/>
      <c r="XE93" s="894"/>
      <c r="XO93" s="826"/>
      <c r="XP93" s="863" t="s">
        <v>1369</v>
      </c>
      <c r="XQ93" s="863"/>
      <c r="XR93" s="756">
        <f>$MN$86</f>
        <v>0.65984741945763259</v>
      </c>
      <c r="XS93" s="756"/>
      <c r="XT93" s="939" t="s">
        <v>147</v>
      </c>
      <c r="XU93" s="940"/>
      <c r="XV93" s="940"/>
      <c r="XW93" s="940"/>
      <c r="XX93" s="940"/>
      <c r="XY93" s="940"/>
      <c r="XZ93" s="940"/>
      <c r="YA93" s="940"/>
      <c r="YB93" s="1003"/>
      <c r="YC93" s="763">
        <f>YC84*MN86</f>
        <v>0.65992755858999019</v>
      </c>
      <c r="YD93" s="764"/>
      <c r="YE93" s="895" t="s">
        <v>415</v>
      </c>
      <c r="YF93" s="896"/>
      <c r="YG93" s="1085"/>
      <c r="YH93" s="993" t="s">
        <v>1552</v>
      </c>
      <c r="YI93" s="993"/>
      <c r="YJ93" s="993"/>
      <c r="YK93" s="1085"/>
      <c r="YL93" s="919"/>
      <c r="YM93" s="840"/>
      <c r="YN93" s="840"/>
      <c r="YO93" s="840"/>
      <c r="YP93" s="840"/>
      <c r="YQ93" s="840"/>
      <c r="YR93" s="920"/>
      <c r="YZ93" s="144"/>
      <c r="ZA93" s="144"/>
      <c r="AAD93" s="947"/>
      <c r="AAE93" s="947"/>
      <c r="AAF93" s="947"/>
      <c r="AAG93" s="947"/>
      <c r="AAH93" s="535">
        <v>20</v>
      </c>
      <c r="AAI93" s="956"/>
      <c r="AAJ93" s="957"/>
      <c r="AAK93" s="958">
        <f t="shared" si="59"/>
        <v>0.26666666666666666</v>
      </c>
      <c r="AAL93" s="959"/>
      <c r="AAN93" s="947"/>
      <c r="AAO93" s="947"/>
      <c r="AAP93" s="947"/>
      <c r="AAQ93" s="947"/>
      <c r="AAR93" s="535">
        <v>80</v>
      </c>
      <c r="AAS93" s="956"/>
      <c r="AAT93" s="957"/>
      <c r="AAU93" s="958">
        <f t="shared" si="60"/>
        <v>1.0666666666666667</v>
      </c>
      <c r="AAV93" s="959"/>
      <c r="AAX93" s="947"/>
      <c r="AAY93" s="947"/>
      <c r="AAZ93" s="947"/>
      <c r="ABA93" s="947"/>
      <c r="ABB93" s="535">
        <v>140</v>
      </c>
      <c r="ABC93" s="956"/>
      <c r="ABD93" s="957"/>
      <c r="ABE93" s="958">
        <f t="shared" si="61"/>
        <v>1.8666666666666667</v>
      </c>
      <c r="ABF93" s="959"/>
      <c r="ABH93" s="947"/>
      <c r="ABI93" s="947"/>
      <c r="ABJ93" s="947"/>
      <c r="ABK93" s="947"/>
      <c r="ABL93" s="537">
        <v>200</v>
      </c>
      <c r="ABM93" s="956"/>
      <c r="ABN93" s="957"/>
      <c r="ABO93" s="958">
        <f t="shared" si="62"/>
        <v>2.666666666666667</v>
      </c>
      <c r="ABP93" s="959"/>
      <c r="ABR93" s="947"/>
      <c r="ABS93" s="947"/>
      <c r="ABT93" s="947"/>
      <c r="ABU93" s="947"/>
      <c r="ABV93" s="537">
        <v>260</v>
      </c>
      <c r="ABW93" s="956"/>
      <c r="ABX93" s="957"/>
      <c r="ABY93" s="958">
        <f t="shared" si="63"/>
        <v>3.4666666666666668</v>
      </c>
      <c r="ABZ93" s="959"/>
      <c r="ACK93" s="144"/>
      <c r="ACL93" s="144"/>
      <c r="ADB93" s="1037"/>
      <c r="ADC93" s="1038"/>
      <c r="ADD93" s="863" t="s">
        <v>1648</v>
      </c>
      <c r="ADE93" s="863"/>
      <c r="ADF93" s="863"/>
      <c r="ADG93" s="863"/>
      <c r="ADH93" s="739">
        <f>$YC$203</f>
        <v>3.1500000000000004</v>
      </c>
      <c r="ADI93" s="739"/>
      <c r="ADJ93" s="1032"/>
      <c r="ADK93" s="1032"/>
      <c r="ADL93" s="1033"/>
      <c r="ADM93" s="1033"/>
      <c r="ADN93" s="1033"/>
      <c r="ADO93" s="1033"/>
      <c r="ADP93" s="1033"/>
      <c r="ADQ93" s="1033"/>
      <c r="ADR93" s="1033"/>
      <c r="ADS93" s="1033"/>
      <c r="ADT93" s="1033"/>
      <c r="ADU93" s="1033"/>
      <c r="ADV93" s="1033"/>
      <c r="ADW93" s="1033"/>
      <c r="ADX93" s="1049"/>
      <c r="ADY93" s="1049"/>
      <c r="ADZ93" s="1049"/>
      <c r="AEA93" s="1049"/>
      <c r="AEB93" s="1049"/>
      <c r="AEC93" s="1049"/>
      <c r="AED93" s="1049"/>
      <c r="AEE93" s="1049"/>
      <c r="AEF93" s="1049"/>
      <c r="AEG93" s="1049"/>
      <c r="AEH93" s="1049"/>
      <c r="AEI93" s="172"/>
      <c r="AEJ93" s="172"/>
      <c r="AEK93" s="177"/>
      <c r="AEP93" s="947"/>
      <c r="AEQ93" s="947"/>
      <c r="AER93" s="947"/>
      <c r="AES93" s="947"/>
      <c r="AET93" s="657">
        <v>49</v>
      </c>
      <c r="AEU93" s="956"/>
      <c r="AEV93" s="957"/>
      <c r="AEW93" s="958">
        <f t="shared" si="35"/>
        <v>1.5516666666666667</v>
      </c>
      <c r="AEX93" s="959"/>
      <c r="AEZ93" s="947"/>
      <c r="AFA93" s="947"/>
      <c r="AFB93" s="947"/>
      <c r="AFC93" s="947"/>
      <c r="AFD93" s="657">
        <v>109</v>
      </c>
      <c r="AFE93" s="956"/>
      <c r="AFF93" s="957"/>
      <c r="AFG93" s="958">
        <f t="shared" si="36"/>
        <v>3.4516666666666671</v>
      </c>
      <c r="AFH93" s="959"/>
      <c r="AFJ93" s="947"/>
      <c r="AFK93" s="947"/>
      <c r="AFL93" s="947"/>
      <c r="AFM93" s="947"/>
      <c r="AFN93" s="657">
        <v>169</v>
      </c>
      <c r="AFO93" s="956"/>
      <c r="AFP93" s="957"/>
      <c r="AFQ93" s="958">
        <f t="shared" si="37"/>
        <v>5.3516666666666675</v>
      </c>
      <c r="AFR93" s="959"/>
      <c r="AFT93" s="947"/>
      <c r="AFU93" s="947"/>
      <c r="AFV93" s="947"/>
      <c r="AFW93" s="947"/>
      <c r="AFX93" s="656">
        <v>229</v>
      </c>
      <c r="AFY93" s="956"/>
      <c r="AFZ93" s="957"/>
      <c r="AGA93" s="958"/>
      <c r="AGB93" s="959"/>
      <c r="AGD93" s="947"/>
      <c r="AGE93" s="947"/>
      <c r="AGF93" s="947"/>
      <c r="AGG93" s="947"/>
      <c r="AGH93" s="656">
        <v>289</v>
      </c>
      <c r="AGI93" s="956"/>
      <c r="AGJ93" s="957"/>
      <c r="AGK93" s="958"/>
      <c r="AGL93" s="959"/>
      <c r="AIM93" s="214" t="s">
        <v>899</v>
      </c>
      <c r="AIN93" s="147" t="s">
        <v>442</v>
      </c>
      <c r="AIO93" s="148"/>
      <c r="AIP93" s="219"/>
      <c r="AIQ93" s="87"/>
      <c r="AIR93" s="87"/>
      <c r="AIS93" s="87"/>
      <c r="AIT93" s="87"/>
      <c r="AIU93" s="87"/>
      <c r="AIV93" s="87"/>
      <c r="AIW93" s="219"/>
      <c r="AIX93" s="85" t="s">
        <v>467</v>
      </c>
      <c r="AIY93" s="757" t="s">
        <v>461</v>
      </c>
      <c r="AIZ93" s="973"/>
      <c r="AJA93" s="1275" t="s">
        <v>994</v>
      </c>
      <c r="AJB93" s="1276"/>
      <c r="AJC93" s="1277"/>
      <c r="AJD93" s="822" t="s">
        <v>473</v>
      </c>
      <c r="AJE93" s="822"/>
      <c r="AJF93" s="822"/>
      <c r="AJG93" s="823"/>
      <c r="AJT93" s="144"/>
      <c r="AJU93" s="144"/>
      <c r="AJV93" s="144"/>
      <c r="AJW93" s="144"/>
      <c r="AJX93" s="144"/>
      <c r="AJY93" s="144"/>
      <c r="AJZ93" s="144"/>
      <c r="AKA93" s="144"/>
      <c r="AKB93" s="144"/>
    </row>
    <row r="94" spans="14:964" ht="48" customHeight="1" thickBot="1">
      <c r="DD94" s="144"/>
      <c r="DE94" s="144"/>
      <c r="DF94" s="144"/>
      <c r="DG94" s="144"/>
      <c r="DH94" s="144"/>
      <c r="DI94" s="144"/>
      <c r="DJ94" s="144"/>
      <c r="DK94" s="144"/>
      <c r="DL94" s="144"/>
      <c r="DM94" s="144"/>
      <c r="DN94" s="144"/>
      <c r="DZ94" s="777" t="s">
        <v>752</v>
      </c>
      <c r="EA94" s="778"/>
      <c r="EB94" s="779"/>
      <c r="EC94" s="85" t="s">
        <v>839</v>
      </c>
      <c r="ED94" s="665" t="s">
        <v>442</v>
      </c>
      <c r="EE94" s="666"/>
      <c r="EF94" s="239"/>
      <c r="EG94" s="87"/>
      <c r="EH94" s="87"/>
      <c r="EI94" s="87"/>
      <c r="EJ94" s="87"/>
      <c r="EK94" s="87"/>
      <c r="EL94" s="87"/>
      <c r="EM94" s="239"/>
      <c r="EN94" s="85" t="s">
        <v>467</v>
      </c>
      <c r="EO94" s="757" t="s">
        <v>461</v>
      </c>
      <c r="EP94" s="758"/>
      <c r="EQ94" s="819" t="s">
        <v>126</v>
      </c>
      <c r="ER94" s="820"/>
      <c r="ES94" s="675" t="s">
        <v>731</v>
      </c>
      <c r="ET94" s="676"/>
      <c r="EU94" s="769" t="s">
        <v>473</v>
      </c>
      <c r="EV94" s="769"/>
      <c r="EW94" s="769"/>
      <c r="EX94" s="769"/>
      <c r="EY94" s="769"/>
      <c r="GC94" s="6"/>
      <c r="GD94" s="3"/>
      <c r="GE94" s="3"/>
      <c r="JR94" s="144"/>
      <c r="LO94" s="144"/>
      <c r="LP94" s="144"/>
      <c r="LQ94" s="144"/>
      <c r="LR94" s="144"/>
      <c r="LS94" s="144"/>
      <c r="LT94" s="144"/>
      <c r="LU94" s="144"/>
      <c r="LV94" s="144"/>
      <c r="LW94" s="144"/>
      <c r="PJ94" s="798"/>
      <c r="PK94" s="799"/>
      <c r="PL94" s="800"/>
      <c r="PM94" s="827"/>
      <c r="PN94" s="1636"/>
      <c r="PO94" s="1637"/>
      <c r="PP94" s="1637"/>
      <c r="PQ94" s="1637"/>
      <c r="PR94" s="1637"/>
      <c r="PS94" s="1637"/>
      <c r="PT94" s="1637"/>
      <c r="PU94" s="1637"/>
      <c r="PV94" s="1637"/>
      <c r="PW94" s="1637"/>
      <c r="PX94" s="1637"/>
      <c r="PY94" s="1637"/>
      <c r="PZ94" s="1638"/>
      <c r="QA94" s="925"/>
      <c r="QB94" s="926"/>
      <c r="QC94" s="851"/>
      <c r="QD94" s="852"/>
      <c r="QE94" s="713"/>
      <c r="QF94" s="954"/>
      <c r="QG94" s="955"/>
      <c r="QH94" s="747"/>
      <c r="QP94" s="144"/>
      <c r="QQ94" s="144"/>
      <c r="QR94" s="144"/>
      <c r="QS94" s="144"/>
      <c r="QT94" s="144"/>
      <c r="QU94" s="144"/>
      <c r="RC94" s="369">
        <v>76</v>
      </c>
      <c r="RD94" s="668">
        <v>7.5999999999999998E-2</v>
      </c>
      <c r="RE94" s="669"/>
      <c r="RF94" s="670">
        <f t="shared" si="30"/>
        <v>8.960943811194678</v>
      </c>
      <c r="RG94" s="670"/>
      <c r="RH94" s="670"/>
      <c r="RI94" s="670"/>
      <c r="RJ94" s="698">
        <f t="shared" si="69"/>
        <v>30</v>
      </c>
      <c r="RK94" s="699"/>
      <c r="RL94" s="726"/>
      <c r="RM94" s="670">
        <f t="shared" si="70"/>
        <v>9.1494449814111238</v>
      </c>
      <c r="RN94" s="670"/>
      <c r="RO94" s="670"/>
      <c r="RP94" s="670"/>
      <c r="RQ94" s="670"/>
      <c r="RR94" s="670"/>
      <c r="RS94" s="671">
        <f t="shared" si="64"/>
        <v>1.560804663639157</v>
      </c>
      <c r="RT94" s="671"/>
      <c r="RU94" s="671"/>
      <c r="RV94" s="671"/>
      <c r="RW94" s="671"/>
      <c r="RX94" s="671"/>
      <c r="RY94" s="681">
        <f t="shared" si="71"/>
        <v>9.2816191834133637</v>
      </c>
      <c r="RZ94" s="681"/>
      <c r="SA94" s="681"/>
      <c r="SB94" s="681"/>
      <c r="SC94" s="681">
        <f>'Вывод расчетов'!$AQ$6/RY94</f>
        <v>40.941132413520656</v>
      </c>
      <c r="SD94" s="681"/>
      <c r="SE94" s="681"/>
      <c r="SF94" s="681"/>
      <c r="SG94" s="867">
        <f t="shared" si="72"/>
        <v>0.98575957498467071</v>
      </c>
      <c r="SH94" s="867"/>
      <c r="SI94" s="867"/>
      <c r="SJ94" s="867"/>
      <c r="SK94" s="865">
        <f t="shared" si="73"/>
        <v>0.16816081685708237</v>
      </c>
      <c r="SL94" s="865"/>
      <c r="SM94" s="865"/>
      <c r="SN94" s="865"/>
      <c r="SO94" s="692">
        <f t="shared" si="80"/>
        <v>40.708435728474491</v>
      </c>
      <c r="SP94" s="693"/>
      <c r="SQ94" s="693"/>
      <c r="SR94" s="693"/>
      <c r="SS94" s="694"/>
      <c r="ST94" s="668">
        <f t="shared" si="78"/>
        <v>17.8667710317076</v>
      </c>
      <c r="SU94" s="678"/>
      <c r="SV94" s="678"/>
      <c r="SW94" s="678"/>
      <c r="SX94" s="678"/>
      <c r="SY94" s="669"/>
      <c r="SZ94" s="682">
        <f t="shared" si="74"/>
        <v>44.456700806051771</v>
      </c>
      <c r="TA94" s="683"/>
      <c r="TB94" s="683"/>
      <c r="TC94" s="683"/>
      <c r="TD94" s="683"/>
      <c r="TE94" s="684"/>
      <c r="TF94" s="682">
        <f>'Вывод расчетов'!$XC$174*SC94</f>
        <v>41.59314525818791</v>
      </c>
      <c r="TG94" s="683"/>
      <c r="TH94" s="684"/>
      <c r="TI94" s="681">
        <f t="shared" si="79"/>
        <v>46.407616730460916</v>
      </c>
      <c r="TJ94" s="681"/>
      <c r="TK94" s="681"/>
      <c r="TL94" s="681"/>
      <c r="TM94" s="685">
        <f t="shared" si="75"/>
        <v>1.1001397413512435</v>
      </c>
      <c r="TN94" s="686"/>
      <c r="TO94" s="686"/>
      <c r="TP94" s="687"/>
      <c r="TQ94" s="688">
        <f t="shared" si="76"/>
        <v>3.4245877819730546</v>
      </c>
      <c r="TR94" s="688"/>
      <c r="TS94" s="688"/>
      <c r="TT94" s="688"/>
      <c r="TU94" s="689">
        <f t="shared" si="77"/>
        <v>0.31207605008918043</v>
      </c>
      <c r="TV94" s="690"/>
      <c r="TW94" s="690"/>
      <c r="TX94" s="690"/>
      <c r="TY94" s="690"/>
      <c r="TZ94" s="691"/>
      <c r="UA94" s="679">
        <v>7.5999999999999998E-2</v>
      </c>
      <c r="UB94" s="680"/>
      <c r="UC94" s="650">
        <v>0.76</v>
      </c>
      <c r="UD94" s="866">
        <f t="shared" si="65"/>
        <v>5.7170903892408926</v>
      </c>
      <c r="UE94" s="866"/>
      <c r="UF94" s="866"/>
      <c r="UG94" s="866"/>
      <c r="UH94" s="866"/>
      <c r="UI94" s="866"/>
      <c r="UJ94" s="866"/>
      <c r="UK94" s="681">
        <f t="shared" si="66"/>
        <v>40.690526341220021</v>
      </c>
      <c r="UL94" s="681"/>
      <c r="UM94" s="681"/>
      <c r="UN94" s="681"/>
      <c r="UO94" s="816">
        <f t="shared" si="67"/>
        <v>0.87680706763188887</v>
      </c>
      <c r="UP94" s="816"/>
      <c r="UQ94" s="816"/>
      <c r="UR94" s="816"/>
      <c r="US94" s="866">
        <f t="shared" si="68"/>
        <v>0.91568728651436415</v>
      </c>
      <c r="UT94" s="866"/>
      <c r="UU94" s="866"/>
      <c r="UV94" s="866"/>
      <c r="UW94" s="866"/>
      <c r="XO94" s="827"/>
      <c r="XP94" s="709" t="s">
        <v>1594</v>
      </c>
      <c r="XQ94" s="709"/>
      <c r="XR94" s="963">
        <f>$YC$84</f>
        <v>1.0001214510051786</v>
      </c>
      <c r="XS94" s="964"/>
      <c r="XT94" s="943"/>
      <c r="XU94" s="944"/>
      <c r="XV94" s="944"/>
      <c r="XW94" s="944"/>
      <c r="XX94" s="944"/>
      <c r="XY94" s="944"/>
      <c r="XZ94" s="944"/>
      <c r="YA94" s="944"/>
      <c r="YB94" s="1004"/>
      <c r="YC94" s="765"/>
      <c r="YD94" s="766"/>
      <c r="YE94" s="897"/>
      <c r="YF94" s="898"/>
      <c r="YG94" s="1086"/>
      <c r="YH94" s="994"/>
      <c r="YI94" s="994"/>
      <c r="YJ94" s="994"/>
      <c r="YK94" s="1086"/>
      <c r="YL94" s="892"/>
      <c r="YM94" s="893"/>
      <c r="YN94" s="893"/>
      <c r="YO94" s="893"/>
      <c r="YP94" s="893"/>
      <c r="YQ94" s="893"/>
      <c r="YR94" s="894"/>
      <c r="YZ94" s="144"/>
      <c r="ZA94" s="144"/>
      <c r="AAD94" s="947"/>
      <c r="AAE94" s="947"/>
      <c r="AAF94" s="947"/>
      <c r="AAG94" s="947"/>
      <c r="AAH94" s="535">
        <v>21</v>
      </c>
      <c r="AAI94" s="956"/>
      <c r="AAJ94" s="957"/>
      <c r="AAK94" s="958">
        <f t="shared" si="59"/>
        <v>0.28000000000000003</v>
      </c>
      <c r="AAL94" s="959"/>
      <c r="AAN94" s="947"/>
      <c r="AAO94" s="947"/>
      <c r="AAP94" s="947"/>
      <c r="AAQ94" s="947"/>
      <c r="AAR94" s="535">
        <v>81</v>
      </c>
      <c r="AAS94" s="956"/>
      <c r="AAT94" s="957"/>
      <c r="AAU94" s="958">
        <f t="shared" si="60"/>
        <v>1.08</v>
      </c>
      <c r="AAV94" s="959"/>
      <c r="AAX94" s="947"/>
      <c r="AAY94" s="947"/>
      <c r="AAZ94" s="947"/>
      <c r="ABA94" s="947"/>
      <c r="ABB94" s="535">
        <v>141</v>
      </c>
      <c r="ABC94" s="956"/>
      <c r="ABD94" s="957"/>
      <c r="ABE94" s="958">
        <f t="shared" si="61"/>
        <v>1.8800000000000001</v>
      </c>
      <c r="ABF94" s="959"/>
      <c r="ABH94" s="947"/>
      <c r="ABI94" s="947"/>
      <c r="ABJ94" s="947"/>
      <c r="ABK94" s="947"/>
      <c r="ABL94" s="537">
        <v>201</v>
      </c>
      <c r="ABM94" s="956"/>
      <c r="ABN94" s="957"/>
      <c r="ABO94" s="958">
        <f t="shared" si="62"/>
        <v>2.68</v>
      </c>
      <c r="ABP94" s="959"/>
      <c r="ABR94" s="947"/>
      <c r="ABS94" s="947"/>
      <c r="ABT94" s="947"/>
      <c r="ABU94" s="947"/>
      <c r="ABV94" s="537">
        <v>261</v>
      </c>
      <c r="ABW94" s="956"/>
      <c r="ABX94" s="957"/>
      <c r="ABY94" s="958">
        <f t="shared" si="63"/>
        <v>3.4800000000000004</v>
      </c>
      <c r="ABZ94" s="959"/>
      <c r="ACK94" s="144"/>
      <c r="ACL94" s="144"/>
      <c r="ADB94" s="1037"/>
      <c r="ADC94" s="1038"/>
      <c r="ADD94" s="1029"/>
      <c r="ADE94" s="1030"/>
      <c r="ADF94" s="1030"/>
      <c r="ADG94" s="1030"/>
      <c r="ADH94" s="1030"/>
      <c r="ADI94" s="1031"/>
      <c r="ADJ94" s="1032"/>
      <c r="ADK94" s="1032"/>
      <c r="ADL94" s="1033"/>
      <c r="ADM94" s="1033"/>
      <c r="ADN94" s="1033"/>
      <c r="ADO94" s="1033"/>
      <c r="ADP94" s="1033"/>
      <c r="ADQ94" s="1033"/>
      <c r="ADR94" s="1033"/>
      <c r="ADS94" s="1033"/>
      <c r="ADT94" s="1033"/>
      <c r="ADU94" s="1033"/>
      <c r="ADV94" s="1033"/>
      <c r="ADW94" s="1033"/>
      <c r="ADX94" s="1049"/>
      <c r="ADY94" s="1049"/>
      <c r="ADZ94" s="1049"/>
      <c r="AEA94" s="1049"/>
      <c r="AEB94" s="1049"/>
      <c r="AEC94" s="1049"/>
      <c r="AED94" s="1049"/>
      <c r="AEE94" s="1049"/>
      <c r="AEF94" s="1049"/>
      <c r="AEG94" s="1049"/>
      <c r="AEH94" s="1049"/>
      <c r="AEI94" s="172"/>
      <c r="AEJ94" s="172"/>
      <c r="AEK94" s="177"/>
      <c r="AEP94" s="947"/>
      <c r="AEQ94" s="947"/>
      <c r="AER94" s="947"/>
      <c r="AES94" s="947"/>
      <c r="AET94" s="657">
        <v>50</v>
      </c>
      <c r="AEU94" s="956"/>
      <c r="AEV94" s="957"/>
      <c r="AEW94" s="958">
        <f t="shared" si="35"/>
        <v>1.5833333333333335</v>
      </c>
      <c r="AEX94" s="959"/>
      <c r="AEZ94" s="947"/>
      <c r="AFA94" s="947"/>
      <c r="AFB94" s="947"/>
      <c r="AFC94" s="947"/>
      <c r="AFD94" s="657">
        <v>110</v>
      </c>
      <c r="AFE94" s="956"/>
      <c r="AFF94" s="957"/>
      <c r="AFG94" s="958">
        <f t="shared" si="36"/>
        <v>3.4833333333333338</v>
      </c>
      <c r="AFH94" s="959"/>
      <c r="AFJ94" s="947"/>
      <c r="AFK94" s="947"/>
      <c r="AFL94" s="947"/>
      <c r="AFM94" s="947"/>
      <c r="AFN94" s="657">
        <v>170</v>
      </c>
      <c r="AFO94" s="956"/>
      <c r="AFP94" s="957"/>
      <c r="AFQ94" s="958">
        <f t="shared" si="37"/>
        <v>5.3833333333333337</v>
      </c>
      <c r="AFR94" s="959"/>
      <c r="AFT94" s="947"/>
      <c r="AFU94" s="947"/>
      <c r="AFV94" s="947"/>
      <c r="AFW94" s="947"/>
      <c r="AFX94" s="656">
        <v>230</v>
      </c>
      <c r="AFY94" s="956"/>
      <c r="AFZ94" s="957"/>
      <c r="AGA94" s="958"/>
      <c r="AGB94" s="959"/>
      <c r="AGD94" s="947"/>
      <c r="AGE94" s="947"/>
      <c r="AGF94" s="947"/>
      <c r="AGG94" s="947"/>
      <c r="AGH94" s="656">
        <v>290</v>
      </c>
      <c r="AGI94" s="956"/>
      <c r="AGJ94" s="957"/>
      <c r="AGK94" s="958"/>
      <c r="AGL94" s="959"/>
      <c r="AIM94" s="767"/>
      <c r="AIN94" s="727" t="s">
        <v>997</v>
      </c>
      <c r="AIO94" s="727"/>
      <c r="AIP94" s="727"/>
      <c r="AIQ94" s="727"/>
      <c r="AIR94" s="727"/>
      <c r="AIS94" s="727"/>
      <c r="AIT94" s="727"/>
      <c r="AIU94" s="727"/>
      <c r="AIV94" s="727"/>
      <c r="AIW94" s="727"/>
      <c r="AIX94" s="727"/>
      <c r="AIY94" s="727"/>
      <c r="AIZ94" s="728"/>
      <c r="AJA94" s="1278"/>
      <c r="AJB94" s="1279"/>
      <c r="AJC94" s="1280"/>
      <c r="AJD94" s="712"/>
      <c r="AJE94" s="740" t="s">
        <v>974</v>
      </c>
      <c r="AJF94" s="742"/>
      <c r="AJG94" s="746"/>
      <c r="AJT94" s="144"/>
      <c r="AJU94" s="144"/>
      <c r="AJV94" s="144"/>
      <c r="AJW94" s="144"/>
      <c r="AJX94" s="144"/>
      <c r="AJY94" s="144"/>
      <c r="AJZ94" s="144"/>
      <c r="AKA94" s="144"/>
      <c r="AKB94" s="144"/>
    </row>
    <row r="95" spans="14:964" ht="48" customHeight="1" thickBot="1">
      <c r="BX95" s="825"/>
      <c r="BY95" s="665" t="s">
        <v>38</v>
      </c>
      <c r="BZ95" s="666"/>
      <c r="CA95" s="146"/>
      <c r="CB95" s="696" t="s">
        <v>1780</v>
      </c>
      <c r="CC95" s="720"/>
      <c r="CD95" s="697"/>
      <c r="CE95" s="721">
        <f>$CO$100</f>
        <v>185000000000</v>
      </c>
      <c r="CF95" s="722"/>
      <c r="CG95" s="723"/>
      <c r="CH95" s="146"/>
      <c r="CI95" s="85" t="s">
        <v>467</v>
      </c>
      <c r="CJ95" s="757" t="s">
        <v>461</v>
      </c>
      <c r="CK95" s="758"/>
      <c r="CL95" s="774" t="s">
        <v>126</v>
      </c>
      <c r="CM95" s="775"/>
      <c r="CN95" s="776"/>
      <c r="CO95" s="675" t="s">
        <v>731</v>
      </c>
      <c r="CP95" s="676"/>
      <c r="CQ95" s="821" t="s">
        <v>473</v>
      </c>
      <c r="CR95" s="822"/>
      <c r="CS95" s="822"/>
      <c r="CT95" s="823"/>
      <c r="CU95" s="769" t="s">
        <v>462</v>
      </c>
      <c r="CV95" s="769"/>
      <c r="CW95" s="769"/>
      <c r="CX95" s="769"/>
      <c r="DD95" s="144"/>
      <c r="DE95" s="144"/>
      <c r="DF95" s="144"/>
      <c r="DG95" s="144"/>
      <c r="DH95" s="144"/>
      <c r="DI95" s="144"/>
      <c r="DJ95" s="144"/>
      <c r="DK95" s="144"/>
      <c r="DL95" s="144"/>
      <c r="DM95" s="144"/>
      <c r="DN95" s="144"/>
      <c r="DZ95" s="780"/>
      <c r="EA95" s="781"/>
      <c r="EB95" s="782"/>
      <c r="EC95" s="214" t="s">
        <v>899</v>
      </c>
      <c r="ED95" s="816"/>
      <c r="EE95" s="816"/>
      <c r="EF95" s="816"/>
      <c r="EG95" s="816"/>
      <c r="EH95" s="816"/>
      <c r="EI95" s="816"/>
      <c r="EJ95" s="816"/>
      <c r="EK95" s="816"/>
      <c r="EL95" s="816"/>
      <c r="EM95" s="816"/>
      <c r="EN95" s="816"/>
      <c r="EO95" s="816"/>
      <c r="EP95" s="816"/>
      <c r="EQ95" s="1087">
        <f>ROUND(EN91,1)</f>
        <v>10.1</v>
      </c>
      <c r="ER95" s="1006"/>
      <c r="ES95" s="759" t="s">
        <v>50</v>
      </c>
      <c r="ET95" s="760"/>
      <c r="EU95" s="712"/>
      <c r="EV95" s="740" t="s">
        <v>1081</v>
      </c>
      <c r="EW95" s="741"/>
      <c r="EX95" s="742"/>
      <c r="EY95" s="746"/>
      <c r="GF95" s="85" t="s">
        <v>839</v>
      </c>
      <c r="GG95" s="665" t="s">
        <v>442</v>
      </c>
      <c r="GH95" s="667"/>
      <c r="GI95" s="260"/>
      <c r="GJ95" s="87"/>
      <c r="GK95" s="87"/>
      <c r="GL95" s="87"/>
      <c r="GM95" s="87"/>
      <c r="GN95" s="87"/>
      <c r="GO95" s="87"/>
      <c r="GP95" s="150"/>
      <c r="GQ95" s="85" t="s">
        <v>467</v>
      </c>
      <c r="GR95" s="757" t="s">
        <v>461</v>
      </c>
      <c r="GS95" s="758"/>
      <c r="GT95" s="1130" t="s">
        <v>126</v>
      </c>
      <c r="GU95" s="1131"/>
      <c r="GV95" s="675" t="s">
        <v>731</v>
      </c>
      <c r="GW95" s="676"/>
      <c r="GX95" s="821" t="s">
        <v>473</v>
      </c>
      <c r="GY95" s="822"/>
      <c r="GZ95" s="822"/>
      <c r="HA95" s="822"/>
      <c r="HB95" s="823"/>
      <c r="HC95" s="769" t="s">
        <v>462</v>
      </c>
      <c r="HD95" s="769"/>
      <c r="HE95" s="769"/>
      <c r="HF95" s="769"/>
      <c r="HG95" s="769"/>
      <c r="HH95" s="769"/>
      <c r="HI95" s="769"/>
      <c r="HQ95" s="777" t="s">
        <v>752</v>
      </c>
      <c r="HR95" s="778"/>
      <c r="HS95" s="779"/>
      <c r="HT95" s="85" t="s">
        <v>839</v>
      </c>
      <c r="HU95" s="665" t="s">
        <v>442</v>
      </c>
      <c r="HV95" s="667"/>
      <c r="HW95" s="239"/>
      <c r="HX95" s="87"/>
      <c r="HY95" s="87"/>
      <c r="HZ95" s="87"/>
      <c r="IA95" s="87"/>
      <c r="IB95" s="87"/>
      <c r="IC95" s="87"/>
      <c r="ID95" s="239"/>
      <c r="IE95" s="85" t="s">
        <v>467</v>
      </c>
      <c r="IF95" s="757" t="s">
        <v>461</v>
      </c>
      <c r="IG95" s="758"/>
      <c r="IH95" s="819" t="s">
        <v>126</v>
      </c>
      <c r="II95" s="820"/>
      <c r="IJ95" s="675" t="s">
        <v>731</v>
      </c>
      <c r="IK95" s="676"/>
      <c r="IL95" s="821" t="s">
        <v>473</v>
      </c>
      <c r="IM95" s="822"/>
      <c r="IN95" s="822"/>
      <c r="IO95" s="823"/>
      <c r="IR95" s="214" t="s">
        <v>899</v>
      </c>
      <c r="IS95" s="665" t="s">
        <v>442</v>
      </c>
      <c r="IT95" s="667"/>
      <c r="IU95" s="156"/>
      <c r="IV95" s="344" t="s">
        <v>1226</v>
      </c>
      <c r="IW95" s="1074">
        <f>$JF$140</f>
        <v>38.212500000000006</v>
      </c>
      <c r="IX95" s="1074"/>
      <c r="IY95" s="343"/>
      <c r="IZ95" s="87"/>
      <c r="JA95" s="87"/>
      <c r="JB95" s="156"/>
      <c r="JC95" s="85" t="s">
        <v>467</v>
      </c>
      <c r="JD95" s="757" t="s">
        <v>461</v>
      </c>
      <c r="JE95" s="758"/>
      <c r="JF95" s="819" t="s">
        <v>126</v>
      </c>
      <c r="JG95" s="820"/>
      <c r="JH95" s="675" t="s">
        <v>731</v>
      </c>
      <c r="JI95" s="676"/>
      <c r="JJ95" s="821" t="s">
        <v>473</v>
      </c>
      <c r="JK95" s="822"/>
      <c r="JL95" s="822"/>
      <c r="JM95" s="823"/>
      <c r="JN95" s="821" t="s">
        <v>462</v>
      </c>
      <c r="JO95" s="822"/>
      <c r="JP95" s="823"/>
      <c r="LO95" s="144"/>
      <c r="LP95" s="144"/>
      <c r="LQ95" s="144"/>
      <c r="LR95" s="144"/>
      <c r="LS95" s="144"/>
      <c r="LT95" s="144"/>
      <c r="LU95" s="144"/>
      <c r="LV95" s="144"/>
      <c r="LW95" s="144"/>
      <c r="MB95" s="213"/>
      <c r="MC95" s="665" t="s">
        <v>911</v>
      </c>
      <c r="MD95" s="666"/>
      <c r="ME95" s="213"/>
      <c r="MF95" s="685" t="s">
        <v>91</v>
      </c>
      <c r="MG95" s="686"/>
      <c r="MH95" s="686"/>
      <c r="MI95" s="686"/>
      <c r="MJ95" s="686"/>
      <c r="MK95" s="686"/>
      <c r="ML95" s="686"/>
      <c r="MM95" s="686"/>
      <c r="MN95" s="686"/>
      <c r="MO95" s="686"/>
      <c r="MP95" s="687"/>
      <c r="MQ95" s="213"/>
      <c r="QP95" s="144"/>
      <c r="QQ95" s="144"/>
      <c r="QR95" s="144"/>
      <c r="QS95" s="144"/>
      <c r="QT95" s="144"/>
      <c r="QU95" s="144"/>
      <c r="RC95" s="369">
        <v>77</v>
      </c>
      <c r="RD95" s="668">
        <v>7.6999999999999999E-2</v>
      </c>
      <c r="RE95" s="669"/>
      <c r="RF95" s="670">
        <f t="shared" ref="RF95:RF118" si="81">($RH$14*$RH$15)/RD95</f>
        <v>8.8445679175427987</v>
      </c>
      <c r="RG95" s="670"/>
      <c r="RH95" s="670"/>
      <c r="RI95" s="670"/>
      <c r="RJ95" s="698">
        <f t="shared" si="69"/>
        <v>30</v>
      </c>
      <c r="RK95" s="699"/>
      <c r="RL95" s="726"/>
      <c r="RM95" s="670">
        <f t="shared" si="70"/>
        <v>9.0330690877592446</v>
      </c>
      <c r="RN95" s="670"/>
      <c r="RO95" s="670"/>
      <c r="RP95" s="670"/>
      <c r="RQ95" s="670"/>
      <c r="RR95" s="670"/>
      <c r="RS95" s="671">
        <f t="shared" si="64"/>
        <v>1.560804663639157</v>
      </c>
      <c r="RT95" s="671"/>
      <c r="RU95" s="671"/>
      <c r="RV95" s="671"/>
      <c r="RW95" s="671"/>
      <c r="RX95" s="671"/>
      <c r="RY95" s="681">
        <f t="shared" si="71"/>
        <v>9.1669214211898513</v>
      </c>
      <c r="RZ95" s="681"/>
      <c r="SA95" s="681"/>
      <c r="SB95" s="681"/>
      <c r="SC95" s="681">
        <f>'Вывод расчетов'!$AQ$6/RY95</f>
        <v>41.453393406603091</v>
      </c>
      <c r="SD95" s="681"/>
      <c r="SE95" s="681"/>
      <c r="SF95" s="681"/>
      <c r="SG95" s="867">
        <f t="shared" si="72"/>
        <v>0.98539833306291902</v>
      </c>
      <c r="SH95" s="867"/>
      <c r="SI95" s="867"/>
      <c r="SJ95" s="867"/>
      <c r="SK95" s="865">
        <f t="shared" si="73"/>
        <v>0.17026486777024943</v>
      </c>
      <c r="SL95" s="865"/>
      <c r="SM95" s="865"/>
      <c r="SN95" s="865"/>
      <c r="SO95" s="692">
        <f t="shared" si="80"/>
        <v>41.198427203799334</v>
      </c>
      <c r="SP95" s="693"/>
      <c r="SQ95" s="693"/>
      <c r="SR95" s="693"/>
      <c r="SS95" s="694"/>
      <c r="ST95" s="668">
        <f t="shared" si="78"/>
        <v>18.040133308999401</v>
      </c>
      <c r="SU95" s="678"/>
      <c r="SV95" s="678"/>
      <c r="SW95" s="678"/>
      <c r="SX95" s="678"/>
      <c r="SY95" s="669"/>
      <c r="SZ95" s="682">
        <f t="shared" si="74"/>
        <v>44.975068803429558</v>
      </c>
      <c r="TA95" s="683"/>
      <c r="TB95" s="683"/>
      <c r="TC95" s="683"/>
      <c r="TD95" s="683"/>
      <c r="TE95" s="684"/>
      <c r="TF95" s="682">
        <f>'Вывод расчетов'!$XC$174*SC95</f>
        <v>42.113564324279622</v>
      </c>
      <c r="TG95" s="683"/>
      <c r="TH95" s="684"/>
      <c r="TI95" s="681">
        <f t="shared" si="79"/>
        <v>46.966207012331239</v>
      </c>
      <c r="TJ95" s="681"/>
      <c r="TK95" s="681"/>
      <c r="TL95" s="681"/>
      <c r="TM95" s="685">
        <f t="shared" si="75"/>
        <v>1.1259447137769671</v>
      </c>
      <c r="TN95" s="686"/>
      <c r="TO95" s="686"/>
      <c r="TP95" s="687"/>
      <c r="TQ95" s="688">
        <f t="shared" si="76"/>
        <v>3.5108217254729732</v>
      </c>
      <c r="TR95" s="688"/>
      <c r="TS95" s="688"/>
      <c r="TT95" s="688"/>
      <c r="TU95" s="689">
        <f t="shared" si="77"/>
        <v>0.31939613277012135</v>
      </c>
      <c r="TV95" s="690"/>
      <c r="TW95" s="690"/>
      <c r="TX95" s="690"/>
      <c r="TY95" s="690"/>
      <c r="TZ95" s="691"/>
      <c r="UA95" s="679">
        <v>7.6999999999999999E-2</v>
      </c>
      <c r="UB95" s="680"/>
      <c r="UC95" s="650">
        <v>0.77</v>
      </c>
      <c r="UD95" s="866">
        <f t="shared" si="65"/>
        <v>5.836449387847475</v>
      </c>
      <c r="UE95" s="866"/>
      <c r="UF95" s="866"/>
      <c r="UG95" s="866"/>
      <c r="UH95" s="866"/>
      <c r="UI95" s="866"/>
      <c r="UJ95" s="866"/>
      <c r="UK95" s="681">
        <f t="shared" si="66"/>
        <v>41.129757624483766</v>
      </c>
      <c r="UL95" s="681"/>
      <c r="UM95" s="681"/>
      <c r="UN95" s="681"/>
      <c r="UO95" s="816">
        <f t="shared" si="67"/>
        <v>0.87573087632315971</v>
      </c>
      <c r="UP95" s="816"/>
      <c r="UQ95" s="816"/>
      <c r="UR95" s="816"/>
      <c r="US95" s="866">
        <f t="shared" si="68"/>
        <v>0.91602810845856364</v>
      </c>
      <c r="UT95" s="866"/>
      <c r="UU95" s="866"/>
      <c r="UV95" s="866"/>
      <c r="UW95" s="866"/>
      <c r="WA95" s="144"/>
      <c r="WB95" s="144"/>
      <c r="WC95" s="144"/>
      <c r="WD95" s="144"/>
      <c r="WE95" s="144"/>
      <c r="WF95" s="144"/>
      <c r="WG95" s="144"/>
      <c r="WH95" s="144"/>
      <c r="WI95" s="144"/>
      <c r="WJ95" s="144"/>
      <c r="WK95" s="144"/>
      <c r="WL95" s="144"/>
      <c r="WM95" s="144"/>
      <c r="WN95" s="144"/>
      <c r="WO95" s="144"/>
      <c r="WP95" s="144"/>
      <c r="WQ95" s="144"/>
      <c r="WR95" s="144"/>
      <c r="WS95" s="144"/>
      <c r="WT95" s="144"/>
      <c r="WU95" s="144"/>
      <c r="WV95" s="144"/>
      <c r="WW95" s="144"/>
      <c r="WX95" s="144"/>
      <c r="WY95" s="144"/>
      <c r="WZ95" s="144"/>
      <c r="XA95" s="144"/>
      <c r="XB95" s="144"/>
      <c r="YZ95" s="144"/>
      <c r="ZA95" s="144"/>
      <c r="AAD95" s="947"/>
      <c r="AAE95" s="947"/>
      <c r="AAF95" s="947"/>
      <c r="AAG95" s="947"/>
      <c r="AAH95" s="535">
        <v>22</v>
      </c>
      <c r="AAI95" s="956"/>
      <c r="AAJ95" s="957"/>
      <c r="AAK95" s="958">
        <f t="shared" si="59"/>
        <v>0.29333333333333333</v>
      </c>
      <c r="AAL95" s="959"/>
      <c r="AAN95" s="947"/>
      <c r="AAO95" s="947"/>
      <c r="AAP95" s="947"/>
      <c r="AAQ95" s="947"/>
      <c r="AAR95" s="535">
        <v>82</v>
      </c>
      <c r="AAS95" s="956"/>
      <c r="AAT95" s="957"/>
      <c r="AAU95" s="958">
        <f t="shared" si="60"/>
        <v>1.0933333333333335</v>
      </c>
      <c r="AAV95" s="959"/>
      <c r="AAX95" s="947"/>
      <c r="AAY95" s="947"/>
      <c r="AAZ95" s="947"/>
      <c r="ABA95" s="947"/>
      <c r="ABB95" s="535">
        <v>142</v>
      </c>
      <c r="ABC95" s="956"/>
      <c r="ABD95" s="957"/>
      <c r="ABE95" s="958">
        <f t="shared" si="61"/>
        <v>1.8933333333333335</v>
      </c>
      <c r="ABF95" s="959"/>
      <c r="ABH95" s="947"/>
      <c r="ABI95" s="947"/>
      <c r="ABJ95" s="947"/>
      <c r="ABK95" s="947"/>
      <c r="ABL95" s="537">
        <v>202</v>
      </c>
      <c r="ABM95" s="956"/>
      <c r="ABN95" s="957"/>
      <c r="ABO95" s="958">
        <f t="shared" si="62"/>
        <v>2.6933333333333334</v>
      </c>
      <c r="ABP95" s="959"/>
      <c r="ABR95" s="947"/>
      <c r="ABS95" s="947"/>
      <c r="ABT95" s="947"/>
      <c r="ABU95" s="947"/>
      <c r="ABV95" s="537">
        <v>262</v>
      </c>
      <c r="ABW95" s="956"/>
      <c r="ABX95" s="957"/>
      <c r="ABY95" s="958">
        <f t="shared" si="63"/>
        <v>3.4933333333333336</v>
      </c>
      <c r="ABZ95" s="959"/>
      <c r="ACK95" s="144"/>
      <c r="ACL95" s="144"/>
      <c r="ADB95" s="1035">
        <v>23</v>
      </c>
      <c r="ADC95" s="1036"/>
      <c r="ADD95" s="863" t="s">
        <v>1478</v>
      </c>
      <c r="ADE95" s="863"/>
      <c r="ADF95" s="863"/>
      <c r="ADG95" s="863"/>
      <c r="ADH95" s="677">
        <f>$GW$69</f>
        <v>1.5</v>
      </c>
      <c r="ADI95" s="677"/>
      <c r="ADJ95" s="1032" t="s">
        <v>762</v>
      </c>
      <c r="ADK95" s="1032"/>
      <c r="ADL95" s="1033"/>
      <c r="ADM95" s="1033"/>
      <c r="ADN95" s="1033"/>
      <c r="ADO95" s="1033"/>
      <c r="ADP95" s="1033"/>
      <c r="ADQ95" s="1033"/>
      <c r="ADR95" s="1033"/>
      <c r="ADS95" s="1033"/>
      <c r="ADT95" s="1033"/>
      <c r="ADU95" s="1033"/>
      <c r="ADV95" s="1033"/>
      <c r="ADW95" s="1033"/>
      <c r="ADX95" s="1049"/>
      <c r="ADY95" s="1049"/>
      <c r="ADZ95" s="1049"/>
      <c r="AEA95" s="1049"/>
      <c r="AEB95" s="1049"/>
      <c r="AEC95" s="1049"/>
      <c r="AED95" s="1049"/>
      <c r="AEE95" s="1049"/>
      <c r="AEF95" s="1049"/>
      <c r="AEG95" s="1049"/>
      <c r="AEH95" s="1049"/>
      <c r="AEI95" s="172"/>
      <c r="AEJ95" s="172"/>
      <c r="AEK95" s="177"/>
      <c r="AEP95" s="947"/>
      <c r="AEQ95" s="947"/>
      <c r="AER95" s="947"/>
      <c r="AES95" s="947"/>
      <c r="AET95" s="657">
        <v>51</v>
      </c>
      <c r="AEU95" s="956"/>
      <c r="AEV95" s="957"/>
      <c r="AEW95" s="958">
        <f t="shared" si="35"/>
        <v>1.6150000000000002</v>
      </c>
      <c r="AEX95" s="959"/>
      <c r="AEZ95" s="947"/>
      <c r="AFA95" s="947"/>
      <c r="AFB95" s="947"/>
      <c r="AFC95" s="947"/>
      <c r="AFD95" s="657">
        <v>111</v>
      </c>
      <c r="AFE95" s="956"/>
      <c r="AFF95" s="957"/>
      <c r="AFG95" s="958">
        <f t="shared" si="36"/>
        <v>3.5150000000000001</v>
      </c>
      <c r="AFH95" s="959"/>
      <c r="AFJ95" s="947"/>
      <c r="AFK95" s="947"/>
      <c r="AFL95" s="947"/>
      <c r="AFM95" s="947"/>
      <c r="AFN95" s="657">
        <v>171</v>
      </c>
      <c r="AFO95" s="956"/>
      <c r="AFP95" s="957"/>
      <c r="AFQ95" s="958">
        <f t="shared" si="37"/>
        <v>5.415</v>
      </c>
      <c r="AFR95" s="959"/>
      <c r="AFT95" s="947"/>
      <c r="AFU95" s="947"/>
      <c r="AFV95" s="947"/>
      <c r="AFW95" s="947"/>
      <c r="AFX95" s="656">
        <v>231</v>
      </c>
      <c r="AFY95" s="956"/>
      <c r="AFZ95" s="957"/>
      <c r="AGA95" s="958"/>
      <c r="AGB95" s="959"/>
      <c r="AGD95" s="947"/>
      <c r="AGE95" s="947"/>
      <c r="AGF95" s="947"/>
      <c r="AGG95" s="947"/>
      <c r="AGH95" s="656">
        <v>291</v>
      </c>
      <c r="AGI95" s="956"/>
      <c r="AGJ95" s="957"/>
      <c r="AGK95" s="958"/>
      <c r="AGL95" s="959"/>
      <c r="AIM95" s="767"/>
      <c r="AIN95" s="727"/>
      <c r="AIO95" s="727"/>
      <c r="AIP95" s="727"/>
      <c r="AIQ95" s="727"/>
      <c r="AIR95" s="727"/>
      <c r="AIS95" s="727"/>
      <c r="AIT95" s="727"/>
      <c r="AIU95" s="727"/>
      <c r="AIV95" s="727"/>
      <c r="AIW95" s="727"/>
      <c r="AIX95" s="727"/>
      <c r="AIY95" s="727"/>
      <c r="AIZ95" s="728"/>
      <c r="AJA95" s="1278"/>
      <c r="AJB95" s="1279"/>
      <c r="AJC95" s="1280"/>
      <c r="AJD95" s="713"/>
      <c r="AJE95" s="743"/>
      <c r="AJF95" s="745"/>
      <c r="AJG95" s="747"/>
      <c r="AJT95" s="144"/>
      <c r="AJU95" s="144"/>
      <c r="AJV95" s="144"/>
      <c r="AJW95" s="144"/>
      <c r="AJX95" s="144"/>
      <c r="AJY95" s="144"/>
      <c r="AJZ95" s="144"/>
      <c r="AKA95" s="144"/>
      <c r="AKB95" s="144"/>
    </row>
    <row r="96" spans="14:964" ht="48" customHeight="1" thickBot="1">
      <c r="BP96" s="144"/>
      <c r="BQ96" s="144"/>
      <c r="BR96" s="144"/>
      <c r="BS96" s="144"/>
      <c r="BT96" s="55"/>
      <c r="BU96" s="55"/>
      <c r="BV96" s="55"/>
      <c r="BW96" s="55"/>
      <c r="BX96" s="826"/>
      <c r="BY96" s="731" t="s">
        <v>44</v>
      </c>
      <c r="BZ96" s="732"/>
      <c r="CA96" s="732"/>
      <c r="CB96" s="807"/>
      <c r="CC96" s="807"/>
      <c r="CD96" s="807"/>
      <c r="CE96" s="807"/>
      <c r="CF96" s="807"/>
      <c r="CG96" s="807"/>
      <c r="CH96" s="732"/>
      <c r="CI96" s="732"/>
      <c r="CJ96" s="732"/>
      <c r="CK96" s="733"/>
      <c r="CL96" s="801">
        <f>CE95/CL72/1000000</f>
        <v>4.8645569372727282</v>
      </c>
      <c r="CM96" s="802"/>
      <c r="CN96" s="803"/>
      <c r="CO96" s="759" t="s">
        <v>1787</v>
      </c>
      <c r="CP96" s="760"/>
      <c r="CQ96" s="712"/>
      <c r="CR96" s="1297" t="s">
        <v>1789</v>
      </c>
      <c r="CS96" s="1298"/>
      <c r="CT96" s="746"/>
      <c r="CU96" s="767"/>
      <c r="CV96" s="767"/>
      <c r="CW96" s="767"/>
      <c r="CX96" s="767"/>
      <c r="DD96" s="144"/>
      <c r="DE96" s="144"/>
      <c r="DF96" s="144"/>
      <c r="DG96" s="144"/>
      <c r="DH96" s="144"/>
      <c r="DI96" s="144"/>
      <c r="DJ96" s="144"/>
      <c r="DK96" s="144"/>
      <c r="DL96" s="144"/>
      <c r="DM96" s="144"/>
      <c r="DN96" s="144"/>
      <c r="DZ96" s="783"/>
      <c r="EA96" s="784"/>
      <c r="EB96" s="785"/>
      <c r="EC96" s="240" t="s">
        <v>703</v>
      </c>
      <c r="ED96" s="818"/>
      <c r="EE96" s="818"/>
      <c r="EF96" s="818"/>
      <c r="EG96" s="818"/>
      <c r="EH96" s="818"/>
      <c r="EI96" s="818"/>
      <c r="EJ96" s="818"/>
      <c r="EK96" s="818"/>
      <c r="EL96" s="818"/>
      <c r="EM96" s="818"/>
      <c r="EN96" s="818"/>
      <c r="EO96" s="818"/>
      <c r="EP96" s="818"/>
      <c r="EQ96" s="1089"/>
      <c r="ER96" s="708"/>
      <c r="ES96" s="761"/>
      <c r="ET96" s="762"/>
      <c r="EU96" s="713"/>
      <c r="EV96" s="743"/>
      <c r="EW96" s="744"/>
      <c r="EX96" s="745"/>
      <c r="EY96" s="747"/>
      <c r="GC96" s="6"/>
      <c r="GD96" s="3"/>
      <c r="GE96" s="3"/>
      <c r="GF96" s="825"/>
      <c r="GG96" s="673" t="s">
        <v>1185</v>
      </c>
      <c r="GH96" s="674"/>
      <c r="GI96" s="1074">
        <f>$IH$88</f>
        <v>4.8</v>
      </c>
      <c r="GJ96" s="1074"/>
      <c r="GK96" s="940" t="s">
        <v>1228</v>
      </c>
      <c r="GL96" s="940"/>
      <c r="GM96" s="940"/>
      <c r="GN96" s="940"/>
      <c r="GO96" s="940"/>
      <c r="GP96" s="940"/>
      <c r="GQ96" s="940"/>
      <c r="GR96" s="940"/>
      <c r="GS96" s="1003"/>
      <c r="GT96" s="1087">
        <f>(GI96-GI97)*(GI98/(2*3.14))</f>
        <v>4.6178343949044587</v>
      </c>
      <c r="GU96" s="1006"/>
      <c r="GV96" s="1203" t="s">
        <v>50</v>
      </c>
      <c r="GW96" s="1063"/>
      <c r="GX96" s="714"/>
      <c r="GY96" s="740" t="s">
        <v>1213</v>
      </c>
      <c r="GZ96" s="741"/>
      <c r="HA96" s="742"/>
      <c r="HB96" s="746"/>
      <c r="HC96" s="767"/>
      <c r="HD96" s="767"/>
      <c r="HE96" s="767"/>
      <c r="HF96" s="767"/>
      <c r="HG96" s="767"/>
      <c r="HH96" s="767"/>
      <c r="HI96" s="767"/>
      <c r="HQ96" s="780"/>
      <c r="HR96" s="781"/>
      <c r="HS96" s="782"/>
      <c r="HT96" s="214" t="s">
        <v>899</v>
      </c>
      <c r="HU96" s="816"/>
      <c r="HV96" s="816"/>
      <c r="HW96" s="816"/>
      <c r="HX96" s="816"/>
      <c r="HY96" s="816"/>
      <c r="HZ96" s="816"/>
      <c r="IA96" s="816"/>
      <c r="IB96" s="816"/>
      <c r="IC96" s="816"/>
      <c r="ID96" s="816"/>
      <c r="IE96" s="816"/>
      <c r="IF96" s="816"/>
      <c r="IG96" s="816"/>
      <c r="IH96" s="752">
        <f>ROUND(GT96,1)</f>
        <v>4.5999999999999996</v>
      </c>
      <c r="II96" s="753"/>
      <c r="IJ96" s="759" t="s">
        <v>50</v>
      </c>
      <c r="IK96" s="760"/>
      <c r="IL96" s="714"/>
      <c r="IM96" s="740" t="s">
        <v>876</v>
      </c>
      <c r="IN96" s="742"/>
      <c r="IO96" s="746"/>
      <c r="IR96" s="825"/>
      <c r="IS96" s="700" t="s">
        <v>82</v>
      </c>
      <c r="IT96" s="701"/>
      <c r="IU96" s="701"/>
      <c r="IV96" s="701"/>
      <c r="IW96" s="701"/>
      <c r="IX96" s="701"/>
      <c r="IY96" s="701"/>
      <c r="IZ96" s="701"/>
      <c r="JA96" s="701"/>
      <c r="JB96" s="701"/>
      <c r="JC96" s="701"/>
      <c r="JD96" s="701"/>
      <c r="JE96" s="702"/>
      <c r="JF96" s="752">
        <f>2*IW95</f>
        <v>76.425000000000011</v>
      </c>
      <c r="JG96" s="753"/>
      <c r="JH96" s="759" t="s">
        <v>50</v>
      </c>
      <c r="JI96" s="760"/>
      <c r="JJ96" s="712"/>
      <c r="JK96" s="740" t="s">
        <v>895</v>
      </c>
      <c r="JL96" s="742"/>
      <c r="JM96" s="746"/>
      <c r="JN96" s="919"/>
      <c r="JO96" s="840"/>
      <c r="JP96" s="920"/>
      <c r="LO96" s="144"/>
      <c r="LP96" s="144"/>
      <c r="LQ96" s="144"/>
      <c r="LR96" s="144"/>
      <c r="LS96" s="144"/>
      <c r="LT96" s="144"/>
      <c r="LU96" s="144"/>
      <c r="LV96" s="144"/>
      <c r="LW96" s="144"/>
      <c r="PL96" s="504"/>
      <c r="PM96" s="665" t="s">
        <v>1658</v>
      </c>
      <c r="PN96" s="667"/>
      <c r="PO96" s="504"/>
      <c r="PP96" s="685" t="s">
        <v>1667</v>
      </c>
      <c r="PQ96" s="686"/>
      <c r="PR96" s="686"/>
      <c r="PS96" s="686"/>
      <c r="PT96" s="686"/>
      <c r="PU96" s="686"/>
      <c r="PV96" s="686"/>
      <c r="PW96" s="686"/>
      <c r="PX96" s="686"/>
      <c r="PY96" s="686"/>
      <c r="PZ96" s="687"/>
      <c r="QA96" s="504"/>
      <c r="QP96" s="144"/>
      <c r="QQ96" s="144"/>
      <c r="QR96" s="144"/>
      <c r="QS96" s="144"/>
      <c r="QT96" s="144"/>
      <c r="QU96" s="144"/>
      <c r="RC96" s="369">
        <v>78</v>
      </c>
      <c r="RD96" s="668">
        <v>7.8E-2</v>
      </c>
      <c r="RE96" s="669"/>
      <c r="RF96" s="670">
        <f t="shared" si="81"/>
        <v>8.7311760211640443</v>
      </c>
      <c r="RG96" s="670"/>
      <c r="RH96" s="670"/>
      <c r="RI96" s="670"/>
      <c r="RJ96" s="698">
        <f t="shared" si="69"/>
        <v>30</v>
      </c>
      <c r="RK96" s="699"/>
      <c r="RL96" s="726"/>
      <c r="RM96" s="670">
        <f t="shared" si="70"/>
        <v>8.9196771913804902</v>
      </c>
      <c r="RN96" s="670"/>
      <c r="RO96" s="670"/>
      <c r="RP96" s="670"/>
      <c r="RQ96" s="670"/>
      <c r="RR96" s="670"/>
      <c r="RS96" s="671">
        <f t="shared" si="64"/>
        <v>1.560804663639157</v>
      </c>
      <c r="RT96" s="671"/>
      <c r="RU96" s="671"/>
      <c r="RV96" s="671"/>
      <c r="RW96" s="671"/>
      <c r="RX96" s="671"/>
      <c r="RY96" s="681">
        <f t="shared" si="71"/>
        <v>9.0552058174550112</v>
      </c>
      <c r="RZ96" s="681"/>
      <c r="SA96" s="681"/>
      <c r="SB96" s="681"/>
      <c r="SC96" s="681">
        <f>'Вывод расчетов'!$AQ$6/RY96</f>
        <v>41.964810923182306</v>
      </c>
      <c r="SD96" s="681"/>
      <c r="SE96" s="681"/>
      <c r="SF96" s="681"/>
      <c r="SG96" s="867">
        <f t="shared" si="72"/>
        <v>0.98503307061080014</v>
      </c>
      <c r="SH96" s="867"/>
      <c r="SI96" s="867"/>
      <c r="SJ96" s="867"/>
      <c r="SK96" s="865">
        <f t="shared" si="73"/>
        <v>0.17236545420431151</v>
      </c>
      <c r="SL96" s="865"/>
      <c r="SM96" s="865"/>
      <c r="SN96" s="865"/>
      <c r="SO96" s="692">
        <f t="shared" si="80"/>
        <v>41.687049002395163</v>
      </c>
      <c r="SP96" s="693"/>
      <c r="SQ96" s="693"/>
      <c r="SR96" s="693"/>
      <c r="SS96" s="694"/>
      <c r="ST96" s="668">
        <f t="shared" si="78"/>
        <v>18.215360457368366</v>
      </c>
      <c r="SU96" s="678"/>
      <c r="SV96" s="678"/>
      <c r="SW96" s="678"/>
      <c r="SX96" s="678"/>
      <c r="SY96" s="669"/>
      <c r="SZ96" s="682">
        <f t="shared" si="74"/>
        <v>45.492960017127423</v>
      </c>
      <c r="TA96" s="683"/>
      <c r="TB96" s="683"/>
      <c r="TC96" s="683"/>
      <c r="TD96" s="683"/>
      <c r="TE96" s="684"/>
      <c r="TF96" s="682">
        <f>'Вывод расчетов'!$XC$174*SC96</f>
        <v>42.633126480983329</v>
      </c>
      <c r="TG96" s="683"/>
      <c r="TH96" s="684"/>
      <c r="TI96" s="681">
        <f t="shared" si="79"/>
        <v>47.523235862730488</v>
      </c>
      <c r="TJ96" s="681"/>
      <c r="TK96" s="681"/>
      <c r="TL96" s="681"/>
      <c r="TM96" s="685">
        <f t="shared" si="75"/>
        <v>1.1520246823796512</v>
      </c>
      <c r="TN96" s="686"/>
      <c r="TO96" s="686"/>
      <c r="TP96" s="687"/>
      <c r="TQ96" s="688">
        <f t="shared" si="76"/>
        <v>3.5979832939995995</v>
      </c>
      <c r="TR96" s="688"/>
      <c r="TS96" s="688"/>
      <c r="TT96" s="688"/>
      <c r="TU96" s="689">
        <f t="shared" si="77"/>
        <v>0.32679422346901643</v>
      </c>
      <c r="TV96" s="690"/>
      <c r="TW96" s="690"/>
      <c r="TX96" s="690"/>
      <c r="TY96" s="690"/>
      <c r="TZ96" s="691"/>
      <c r="UA96" s="756">
        <v>7.8E-2</v>
      </c>
      <c r="UB96" s="756"/>
      <c r="UC96" s="650">
        <v>0.78</v>
      </c>
      <c r="UD96" s="866">
        <f t="shared" si="65"/>
        <v>5.9570890156756802</v>
      </c>
      <c r="UE96" s="866"/>
      <c r="UF96" s="866"/>
      <c r="UG96" s="866"/>
      <c r="UH96" s="866"/>
      <c r="UI96" s="866"/>
      <c r="UJ96" s="866"/>
      <c r="UK96" s="681">
        <f t="shared" si="66"/>
        <v>41.56614684705481</v>
      </c>
      <c r="UL96" s="681"/>
      <c r="UM96" s="681"/>
      <c r="UN96" s="681"/>
      <c r="UO96" s="816">
        <f t="shared" si="67"/>
        <v>0.8746489184178754</v>
      </c>
      <c r="UP96" s="816"/>
      <c r="UQ96" s="816"/>
      <c r="UR96" s="816"/>
      <c r="US96" s="866">
        <f t="shared" si="68"/>
        <v>0.9163406598889281</v>
      </c>
      <c r="UT96" s="866"/>
      <c r="UU96" s="866"/>
      <c r="UV96" s="866"/>
      <c r="UW96" s="866"/>
      <c r="WA96" s="144"/>
      <c r="WB96" s="144"/>
      <c r="WC96" s="144"/>
      <c r="WD96" s="144"/>
      <c r="WE96" s="144"/>
      <c r="WF96" s="144"/>
      <c r="WG96" s="144"/>
      <c r="WH96" s="144"/>
      <c r="WI96" s="144"/>
      <c r="WJ96" s="144"/>
      <c r="WK96" s="144"/>
      <c r="WL96" s="144"/>
      <c r="WM96" s="144"/>
      <c r="WN96" s="144"/>
      <c r="WO96" s="144"/>
      <c r="WP96" s="144"/>
      <c r="WQ96" s="144"/>
      <c r="WR96" s="144"/>
      <c r="WS96" s="144"/>
      <c r="WT96" s="144"/>
      <c r="WU96" s="144"/>
      <c r="WV96" s="144"/>
      <c r="WW96" s="144"/>
      <c r="WX96" s="144"/>
      <c r="WY96" s="144"/>
      <c r="WZ96" s="144"/>
      <c r="XA96" s="144"/>
      <c r="XB96" s="144"/>
      <c r="XQ96" s="825"/>
      <c r="XR96" s="1651" t="s">
        <v>931</v>
      </c>
      <c r="XS96" s="1652"/>
      <c r="XT96" s="825"/>
      <c r="XU96" s="939" t="s">
        <v>1542</v>
      </c>
      <c r="XV96" s="940"/>
      <c r="XW96" s="940"/>
      <c r="XX96" s="940"/>
      <c r="XY96" s="940"/>
      <c r="XZ96" s="940"/>
      <c r="YA96" s="940"/>
      <c r="YB96" s="940"/>
      <c r="YC96" s="940"/>
      <c r="YD96" s="940"/>
      <c r="YE96" s="1237"/>
      <c r="YF96" s="825"/>
      <c r="AAD96" s="947"/>
      <c r="AAE96" s="947"/>
      <c r="AAF96" s="947"/>
      <c r="AAG96" s="947"/>
      <c r="AAH96" s="535">
        <v>23</v>
      </c>
      <c r="AAI96" s="956"/>
      <c r="AAJ96" s="957"/>
      <c r="AAK96" s="958">
        <f t="shared" si="59"/>
        <v>0.3066666666666667</v>
      </c>
      <c r="AAL96" s="959"/>
      <c r="AAN96" s="947"/>
      <c r="AAO96" s="947"/>
      <c r="AAP96" s="947"/>
      <c r="AAQ96" s="947"/>
      <c r="AAR96" s="535">
        <v>83</v>
      </c>
      <c r="AAS96" s="956"/>
      <c r="AAT96" s="957"/>
      <c r="AAU96" s="958">
        <f t="shared" si="60"/>
        <v>1.1066666666666667</v>
      </c>
      <c r="AAV96" s="959"/>
      <c r="AAX96" s="947"/>
      <c r="AAY96" s="947"/>
      <c r="AAZ96" s="947"/>
      <c r="ABA96" s="947"/>
      <c r="ABB96" s="535">
        <v>143</v>
      </c>
      <c r="ABC96" s="956"/>
      <c r="ABD96" s="957"/>
      <c r="ABE96" s="958">
        <f t="shared" si="61"/>
        <v>1.9066666666666667</v>
      </c>
      <c r="ABF96" s="959"/>
      <c r="ABH96" s="947"/>
      <c r="ABI96" s="947"/>
      <c r="ABJ96" s="947"/>
      <c r="ABK96" s="947"/>
      <c r="ABL96" s="537">
        <v>203</v>
      </c>
      <c r="ABM96" s="956"/>
      <c r="ABN96" s="957"/>
      <c r="ABO96" s="958">
        <f t="shared" si="62"/>
        <v>2.706666666666667</v>
      </c>
      <c r="ABP96" s="959"/>
      <c r="ABR96" s="947"/>
      <c r="ABS96" s="947"/>
      <c r="ABT96" s="947"/>
      <c r="ABU96" s="947"/>
      <c r="ABV96" s="537">
        <v>263</v>
      </c>
      <c r="ABW96" s="956"/>
      <c r="ABX96" s="957"/>
      <c r="ABY96" s="958">
        <f t="shared" si="63"/>
        <v>3.5066666666666668</v>
      </c>
      <c r="ABZ96" s="959"/>
      <c r="ACK96" s="144"/>
      <c r="ACL96" s="144"/>
      <c r="ADB96" s="1037"/>
      <c r="ADC96" s="1038"/>
      <c r="ADD96" s="863" t="s">
        <v>1191</v>
      </c>
      <c r="ADE96" s="863"/>
      <c r="ADF96" s="863"/>
      <c r="ADG96" s="863"/>
      <c r="ADH96" s="677">
        <f>$GW$73</f>
        <v>0.5</v>
      </c>
      <c r="ADI96" s="677"/>
      <c r="ADJ96" s="1032"/>
      <c r="ADK96" s="1032"/>
      <c r="ADL96" s="1033"/>
      <c r="ADM96" s="1033"/>
      <c r="ADN96" s="1033"/>
      <c r="ADO96" s="1033"/>
      <c r="ADP96" s="1033"/>
      <c r="ADQ96" s="1033"/>
      <c r="ADR96" s="1033"/>
      <c r="ADS96" s="1033"/>
      <c r="ADT96" s="1033"/>
      <c r="ADU96" s="1033"/>
      <c r="ADV96" s="1033"/>
      <c r="ADW96" s="1033"/>
      <c r="ADX96" s="1049"/>
      <c r="ADY96" s="1049"/>
      <c r="ADZ96" s="1049"/>
      <c r="AEA96" s="1049"/>
      <c r="AEB96" s="1049"/>
      <c r="AEC96" s="1049"/>
      <c r="AED96" s="1049"/>
      <c r="AEE96" s="1049"/>
      <c r="AEF96" s="1049"/>
      <c r="AEG96" s="1049"/>
      <c r="AEH96" s="1049"/>
      <c r="AEI96" s="172"/>
      <c r="AEJ96" s="172"/>
      <c r="AEK96" s="177"/>
      <c r="AEP96" s="947"/>
      <c r="AEQ96" s="947"/>
      <c r="AER96" s="947"/>
      <c r="AES96" s="947"/>
      <c r="AET96" s="657">
        <v>52</v>
      </c>
      <c r="AEU96" s="956"/>
      <c r="AEV96" s="957"/>
      <c r="AEW96" s="958">
        <f t="shared" si="35"/>
        <v>1.6466666666666667</v>
      </c>
      <c r="AEX96" s="959"/>
      <c r="AEZ96" s="947"/>
      <c r="AFA96" s="947"/>
      <c r="AFB96" s="947"/>
      <c r="AFC96" s="947"/>
      <c r="AFD96" s="657">
        <v>112</v>
      </c>
      <c r="AFE96" s="956"/>
      <c r="AFF96" s="957"/>
      <c r="AFG96" s="958">
        <f t="shared" si="36"/>
        <v>3.5466666666666669</v>
      </c>
      <c r="AFH96" s="959"/>
      <c r="AFJ96" s="947"/>
      <c r="AFK96" s="947"/>
      <c r="AFL96" s="947"/>
      <c r="AFM96" s="947"/>
      <c r="AFN96" s="657">
        <v>172</v>
      </c>
      <c r="AFO96" s="956"/>
      <c r="AFP96" s="957"/>
      <c r="AFQ96" s="958">
        <f t="shared" si="37"/>
        <v>5.4466666666666672</v>
      </c>
      <c r="AFR96" s="959"/>
      <c r="AFT96" s="947"/>
      <c r="AFU96" s="947"/>
      <c r="AFV96" s="947"/>
      <c r="AFW96" s="947"/>
      <c r="AFX96" s="657">
        <v>232</v>
      </c>
      <c r="AFY96" s="956"/>
      <c r="AFZ96" s="957"/>
      <c r="AGA96" s="958"/>
      <c r="AGB96" s="959"/>
      <c r="AGD96" s="947"/>
      <c r="AGE96" s="947"/>
      <c r="AGF96" s="947"/>
      <c r="AGG96" s="947"/>
      <c r="AGH96" s="656">
        <v>292</v>
      </c>
      <c r="AGI96" s="956"/>
      <c r="AGJ96" s="957"/>
      <c r="AGK96" s="958"/>
      <c r="AGL96" s="959"/>
      <c r="AIM96" s="768"/>
      <c r="AIN96" s="729"/>
      <c r="AIO96" s="729"/>
      <c r="AIP96" s="729"/>
      <c r="AIQ96" s="729"/>
      <c r="AIR96" s="729"/>
      <c r="AIS96" s="729"/>
      <c r="AIT96" s="729"/>
      <c r="AIU96" s="729"/>
      <c r="AIV96" s="729"/>
      <c r="AIW96" s="729"/>
      <c r="AIX96" s="729"/>
      <c r="AIY96" s="729"/>
      <c r="AIZ96" s="730"/>
      <c r="AJA96" s="1281"/>
      <c r="AJB96" s="1282"/>
      <c r="AJC96" s="1283"/>
      <c r="AJD96" s="221"/>
      <c r="AJE96" s="222"/>
      <c r="AJF96" s="222"/>
      <c r="AJG96" s="223"/>
      <c r="AJT96" s="144"/>
      <c r="AJU96" s="144"/>
      <c r="AJV96" s="144"/>
      <c r="AJW96" s="144"/>
      <c r="AJX96" s="144"/>
      <c r="AJY96" s="144"/>
      <c r="AJZ96" s="144"/>
      <c r="AKA96" s="144"/>
      <c r="AKB96" s="144"/>
    </row>
    <row r="97" spans="68:947" ht="48" customHeight="1" thickBot="1">
      <c r="BP97" s="144"/>
      <c r="BQ97" s="144"/>
      <c r="BR97" s="144"/>
      <c r="BS97" s="144"/>
      <c r="BT97" s="55"/>
      <c r="BX97" s="827"/>
      <c r="BY97" s="734"/>
      <c r="BZ97" s="735"/>
      <c r="CA97" s="735"/>
      <c r="CB97" s="735"/>
      <c r="CC97" s="735"/>
      <c r="CD97" s="735"/>
      <c r="CE97" s="735"/>
      <c r="CF97" s="735"/>
      <c r="CG97" s="735"/>
      <c r="CH97" s="735"/>
      <c r="CI97" s="735"/>
      <c r="CJ97" s="735"/>
      <c r="CK97" s="736"/>
      <c r="CL97" s="804"/>
      <c r="CM97" s="805"/>
      <c r="CN97" s="806"/>
      <c r="CO97" s="761"/>
      <c r="CP97" s="762"/>
      <c r="CQ97" s="713"/>
      <c r="CR97" s="1299"/>
      <c r="CS97" s="1300"/>
      <c r="CT97" s="747"/>
      <c r="CU97" s="768"/>
      <c r="CV97" s="768"/>
      <c r="CW97" s="768"/>
      <c r="CX97" s="768"/>
      <c r="DD97" s="144"/>
      <c r="DE97" s="144"/>
      <c r="DF97" s="144"/>
      <c r="DG97" s="144"/>
      <c r="DH97" s="144"/>
      <c r="DI97" s="144"/>
      <c r="DJ97" s="144"/>
      <c r="DK97" s="144"/>
      <c r="DL97" s="144"/>
      <c r="DM97" s="144"/>
      <c r="DN97" s="144"/>
      <c r="GF97" s="826"/>
      <c r="GG97" s="673" t="s">
        <v>1201</v>
      </c>
      <c r="GH97" s="674"/>
      <c r="GI97" s="756">
        <f>$IH$92</f>
        <v>4.3</v>
      </c>
      <c r="GJ97" s="756"/>
      <c r="GK97" s="942"/>
      <c r="GL97" s="942"/>
      <c r="GM97" s="942"/>
      <c r="GN97" s="942"/>
      <c r="GO97" s="942"/>
      <c r="GP97" s="942"/>
      <c r="GQ97" s="942"/>
      <c r="GR97" s="942"/>
      <c r="GS97" s="1011"/>
      <c r="GT97" s="1089"/>
      <c r="GU97" s="708"/>
      <c r="GV97" s="1204"/>
      <c r="GW97" s="1065"/>
      <c r="GX97" s="715"/>
      <c r="GY97" s="743"/>
      <c r="GZ97" s="744"/>
      <c r="HA97" s="745"/>
      <c r="HB97" s="747"/>
      <c r="HC97" s="767"/>
      <c r="HD97" s="767"/>
      <c r="HE97" s="767"/>
      <c r="HF97" s="767"/>
      <c r="HG97" s="767"/>
      <c r="HH97" s="767"/>
      <c r="HI97" s="767"/>
      <c r="HQ97" s="783"/>
      <c r="HR97" s="784"/>
      <c r="HS97" s="785"/>
      <c r="HT97" s="240" t="s">
        <v>703</v>
      </c>
      <c r="HU97" s="818"/>
      <c r="HV97" s="818"/>
      <c r="HW97" s="818"/>
      <c r="HX97" s="818"/>
      <c r="HY97" s="818"/>
      <c r="HZ97" s="818"/>
      <c r="IA97" s="818"/>
      <c r="IB97" s="818"/>
      <c r="IC97" s="818"/>
      <c r="ID97" s="818"/>
      <c r="IE97" s="818"/>
      <c r="IF97" s="818"/>
      <c r="IG97" s="818"/>
      <c r="IH97" s="754"/>
      <c r="II97" s="755"/>
      <c r="IJ97" s="761"/>
      <c r="IK97" s="762"/>
      <c r="IL97" s="715"/>
      <c r="IM97" s="743"/>
      <c r="IN97" s="745"/>
      <c r="IO97" s="747"/>
      <c r="IR97" s="827"/>
      <c r="IS97" s="706"/>
      <c r="IT97" s="707"/>
      <c r="IU97" s="707"/>
      <c r="IV97" s="707"/>
      <c r="IW97" s="707"/>
      <c r="IX97" s="707"/>
      <c r="IY97" s="707"/>
      <c r="IZ97" s="707"/>
      <c r="JA97" s="707"/>
      <c r="JB97" s="707"/>
      <c r="JC97" s="707"/>
      <c r="JD97" s="707"/>
      <c r="JE97" s="708"/>
      <c r="JF97" s="754"/>
      <c r="JG97" s="755"/>
      <c r="JH97" s="761"/>
      <c r="JI97" s="762"/>
      <c r="JJ97" s="713"/>
      <c r="JK97" s="743"/>
      <c r="JL97" s="745"/>
      <c r="JM97" s="747"/>
      <c r="JN97" s="892"/>
      <c r="JO97" s="893"/>
      <c r="JP97" s="894"/>
      <c r="LO97" s="144"/>
      <c r="LP97" s="144"/>
      <c r="LQ97" s="144"/>
      <c r="LR97" s="144"/>
      <c r="LS97" s="144"/>
      <c r="LT97" s="144"/>
      <c r="LU97" s="144"/>
      <c r="LV97" s="144"/>
      <c r="LW97" s="144"/>
      <c r="LZ97" s="825"/>
      <c r="MA97" s="147" t="s">
        <v>442</v>
      </c>
      <c r="MB97" s="148"/>
      <c r="MC97" s="385"/>
      <c r="MD97" s="386"/>
      <c r="ME97" s="863" t="s">
        <v>1373</v>
      </c>
      <c r="MF97" s="863"/>
      <c r="MG97" s="756">
        <f>$MQ$164</f>
        <v>1.42</v>
      </c>
      <c r="MH97" s="756"/>
      <c r="MI97" s="385"/>
      <c r="MJ97" s="386"/>
      <c r="MK97" s="85" t="s">
        <v>467</v>
      </c>
      <c r="ML97" s="757" t="s">
        <v>461</v>
      </c>
      <c r="MM97" s="899"/>
      <c r="MN97" s="1130" t="s">
        <v>126</v>
      </c>
      <c r="MO97" s="1131"/>
      <c r="MP97" s="675" t="s">
        <v>731</v>
      </c>
      <c r="MQ97" s="676"/>
      <c r="MR97" s="821" t="s">
        <v>473</v>
      </c>
      <c r="MS97" s="822"/>
      <c r="MT97" s="822"/>
      <c r="MU97" s="823"/>
      <c r="QR97" s="144"/>
      <c r="QS97" s="144"/>
      <c r="QT97" s="144"/>
      <c r="QU97" s="144"/>
      <c r="RC97" s="369">
        <v>79</v>
      </c>
      <c r="RD97" s="668">
        <v>7.9000000000000001E-2</v>
      </c>
      <c r="RE97" s="669"/>
      <c r="RF97" s="670">
        <f t="shared" si="81"/>
        <v>8.6206548057062715</v>
      </c>
      <c r="RG97" s="670"/>
      <c r="RH97" s="670"/>
      <c r="RI97" s="670"/>
      <c r="RJ97" s="698">
        <f t="shared" si="69"/>
        <v>30</v>
      </c>
      <c r="RK97" s="699"/>
      <c r="RL97" s="726"/>
      <c r="RM97" s="670">
        <f t="shared" si="70"/>
        <v>8.8091559759227174</v>
      </c>
      <c r="RN97" s="670"/>
      <c r="RO97" s="670"/>
      <c r="RP97" s="670"/>
      <c r="RQ97" s="670"/>
      <c r="RR97" s="670"/>
      <c r="RS97" s="671">
        <f t="shared" si="64"/>
        <v>1.560804663639157</v>
      </c>
      <c r="RT97" s="671"/>
      <c r="RU97" s="671"/>
      <c r="RV97" s="671"/>
      <c r="RW97" s="671"/>
      <c r="RX97" s="671"/>
      <c r="RY97" s="681">
        <f t="shared" si="71"/>
        <v>8.946359047465771</v>
      </c>
      <c r="RZ97" s="681"/>
      <c r="SA97" s="681"/>
      <c r="SB97" s="681"/>
      <c r="SC97" s="681">
        <f>'Вывод расчетов'!$AQ$6/RY97</f>
        <v>42.47537998238986</v>
      </c>
      <c r="SD97" s="681"/>
      <c r="SE97" s="681"/>
      <c r="SF97" s="681"/>
      <c r="SG97" s="867">
        <f t="shared" si="72"/>
        <v>0.98466380895120464</v>
      </c>
      <c r="SH97" s="867"/>
      <c r="SI97" s="867"/>
      <c r="SJ97" s="867"/>
      <c r="SK97" s="865">
        <f t="shared" si="73"/>
        <v>0.17446255570094574</v>
      </c>
      <c r="SL97" s="865"/>
      <c r="SM97" s="865"/>
      <c r="SN97" s="865"/>
      <c r="SO97" s="692">
        <f t="shared" si="80"/>
        <v>42.174291881240997</v>
      </c>
      <c r="SP97" s="693"/>
      <c r="SQ97" s="693"/>
      <c r="SR97" s="693"/>
      <c r="SS97" s="694"/>
      <c r="ST97" s="668">
        <f t="shared" si="78"/>
        <v>18.392440108092522</v>
      </c>
      <c r="SU97" s="678"/>
      <c r="SV97" s="678"/>
      <c r="SW97" s="678"/>
      <c r="SX97" s="678"/>
      <c r="SY97" s="669"/>
      <c r="SZ97" s="682">
        <f t="shared" si="74"/>
        <v>46.010354799913038</v>
      </c>
      <c r="TA97" s="683"/>
      <c r="TB97" s="683"/>
      <c r="TC97" s="683"/>
      <c r="TD97" s="683"/>
      <c r="TE97" s="684"/>
      <c r="TF97" s="682">
        <f>'Вывод расчетов'!$XC$174*SC97</f>
        <v>43.151826668107198</v>
      </c>
      <c r="TG97" s="683"/>
      <c r="TH97" s="684"/>
      <c r="TI97" s="681">
        <f t="shared" si="79"/>
        <v>48.078692744614742</v>
      </c>
      <c r="TJ97" s="681"/>
      <c r="TK97" s="681"/>
      <c r="TL97" s="681"/>
      <c r="TM97" s="685">
        <f t="shared" si="75"/>
        <v>1.1783778161045908</v>
      </c>
      <c r="TN97" s="686"/>
      <c r="TO97" s="686"/>
      <c r="TP97" s="687"/>
      <c r="TQ97" s="688">
        <f t="shared" si="76"/>
        <v>3.6860663350975749</v>
      </c>
      <c r="TR97" s="688"/>
      <c r="TS97" s="688"/>
      <c r="TT97" s="688"/>
      <c r="TU97" s="689">
        <f t="shared" si="77"/>
        <v>0.33426980277156015</v>
      </c>
      <c r="TV97" s="690"/>
      <c r="TW97" s="690"/>
      <c r="TX97" s="690"/>
      <c r="TY97" s="690"/>
      <c r="TZ97" s="691"/>
      <c r="UA97" s="679">
        <v>7.9000000000000001E-2</v>
      </c>
      <c r="UB97" s="680"/>
      <c r="UC97" s="650">
        <v>0.79</v>
      </c>
      <c r="UD97" s="866">
        <f t="shared" si="65"/>
        <v>6.0790007698011399</v>
      </c>
      <c r="UE97" s="866"/>
      <c r="UF97" s="866"/>
      <c r="UG97" s="866"/>
      <c r="UH97" s="866"/>
      <c r="UI97" s="866"/>
      <c r="UJ97" s="866"/>
      <c r="UK97" s="681">
        <f t="shared" si="66"/>
        <v>41.999691974813601</v>
      </c>
      <c r="UL97" s="681"/>
      <c r="UM97" s="681"/>
      <c r="UN97" s="681"/>
      <c r="UO97" s="816">
        <f t="shared" si="67"/>
        <v>0.87356143807628706</v>
      </c>
      <c r="UP97" s="816"/>
      <c r="UQ97" s="816"/>
      <c r="UR97" s="816"/>
      <c r="US97" s="866">
        <f t="shared" si="68"/>
        <v>0.91662609568315501</v>
      </c>
      <c r="UT97" s="866"/>
      <c r="UU97" s="866"/>
      <c r="UV97" s="866"/>
      <c r="UW97" s="866"/>
      <c r="WA97" s="144"/>
      <c r="WB97" s="144"/>
      <c r="WC97" s="144"/>
      <c r="WD97" s="144"/>
      <c r="WE97" s="144"/>
      <c r="WF97" s="144"/>
      <c r="WG97" s="144"/>
      <c r="WH97" s="144"/>
      <c r="WI97" s="144"/>
      <c r="WJ97" s="144"/>
      <c r="WK97" s="144"/>
      <c r="WL97" s="144"/>
      <c r="WM97" s="144"/>
      <c r="WN97" s="144"/>
      <c r="WO97" s="144"/>
      <c r="WP97" s="144"/>
      <c r="WQ97" s="144"/>
      <c r="WR97" s="144"/>
      <c r="WS97" s="144"/>
      <c r="WT97" s="144"/>
      <c r="WU97" s="144"/>
      <c r="WV97" s="144"/>
      <c r="WW97" s="144"/>
      <c r="WX97" s="144"/>
      <c r="WY97" s="144"/>
      <c r="WZ97" s="144"/>
      <c r="XA97" s="144"/>
      <c r="XB97" s="144"/>
      <c r="XQ97" s="1304"/>
      <c r="XR97" s="1653"/>
      <c r="XS97" s="1654"/>
      <c r="XT97" s="1304"/>
      <c r="XU97" s="967"/>
      <c r="XV97" s="968"/>
      <c r="XW97" s="968"/>
      <c r="XX97" s="968"/>
      <c r="XY97" s="968"/>
      <c r="XZ97" s="968"/>
      <c r="YA97" s="968"/>
      <c r="YB97" s="968"/>
      <c r="YC97" s="968"/>
      <c r="YD97" s="968"/>
      <c r="YE97" s="969"/>
      <c r="YF97" s="1304"/>
      <c r="AAD97" s="947"/>
      <c r="AAE97" s="947"/>
      <c r="AAF97" s="947"/>
      <c r="AAG97" s="947"/>
      <c r="AAH97" s="535">
        <v>24</v>
      </c>
      <c r="AAI97" s="956"/>
      <c r="AAJ97" s="957"/>
      <c r="AAK97" s="958">
        <f t="shared" si="59"/>
        <v>0.32</v>
      </c>
      <c r="AAL97" s="959"/>
      <c r="AAN97" s="947"/>
      <c r="AAO97" s="947"/>
      <c r="AAP97" s="947"/>
      <c r="AAQ97" s="947"/>
      <c r="AAR97" s="535">
        <v>84</v>
      </c>
      <c r="AAS97" s="956"/>
      <c r="AAT97" s="957"/>
      <c r="AAU97" s="958">
        <f t="shared" si="60"/>
        <v>1.1200000000000001</v>
      </c>
      <c r="AAV97" s="959"/>
      <c r="AAX97" s="947"/>
      <c r="AAY97" s="947"/>
      <c r="AAZ97" s="947"/>
      <c r="ABA97" s="947"/>
      <c r="ABB97" s="535">
        <v>144</v>
      </c>
      <c r="ABC97" s="956"/>
      <c r="ABD97" s="957"/>
      <c r="ABE97" s="958">
        <f t="shared" si="61"/>
        <v>1.9200000000000002</v>
      </c>
      <c r="ABF97" s="959"/>
      <c r="ABH97" s="947"/>
      <c r="ABI97" s="947"/>
      <c r="ABJ97" s="947"/>
      <c r="ABK97" s="947"/>
      <c r="ABL97" s="537">
        <v>204</v>
      </c>
      <c r="ABM97" s="956"/>
      <c r="ABN97" s="957"/>
      <c r="ABO97" s="958">
        <f t="shared" si="62"/>
        <v>2.72</v>
      </c>
      <c r="ABP97" s="959"/>
      <c r="ABR97" s="947"/>
      <c r="ABS97" s="947"/>
      <c r="ABT97" s="947"/>
      <c r="ABU97" s="947"/>
      <c r="ABV97" s="537">
        <v>264</v>
      </c>
      <c r="ABW97" s="956"/>
      <c r="ABX97" s="957"/>
      <c r="ABY97" s="958">
        <f t="shared" si="63"/>
        <v>3.52</v>
      </c>
      <c r="ABZ97" s="959"/>
      <c r="ACK97" s="144"/>
      <c r="ACL97" s="144"/>
      <c r="ADB97" s="1037"/>
      <c r="ADC97" s="1038"/>
      <c r="ADD97" s="857"/>
      <c r="ADE97" s="1015"/>
      <c r="ADF97" s="1015"/>
      <c r="ADG97" s="1015"/>
      <c r="ADH97" s="1015"/>
      <c r="ADI97" s="858"/>
      <c r="ADJ97" s="1032"/>
      <c r="ADK97" s="1032"/>
      <c r="ADL97" s="1033"/>
      <c r="ADM97" s="1033"/>
      <c r="ADN97" s="1033"/>
      <c r="ADO97" s="1033"/>
      <c r="ADP97" s="1033"/>
      <c r="ADQ97" s="1033"/>
      <c r="ADR97" s="1033"/>
      <c r="ADS97" s="1033"/>
      <c r="ADT97" s="1033"/>
      <c r="ADU97" s="1033"/>
      <c r="ADV97" s="1033"/>
      <c r="ADW97" s="1033"/>
      <c r="ADX97" s="1049"/>
      <c r="ADY97" s="1049"/>
      <c r="ADZ97" s="1049"/>
      <c r="AEA97" s="1049"/>
      <c r="AEB97" s="1049"/>
      <c r="AEC97" s="1049"/>
      <c r="AED97" s="1049"/>
      <c r="AEE97" s="1049"/>
      <c r="AEF97" s="1049"/>
      <c r="AEG97" s="1049"/>
      <c r="AEH97" s="1049"/>
      <c r="AEI97" s="172"/>
      <c r="AEJ97" s="172"/>
      <c r="AEK97" s="177"/>
      <c r="AEP97" s="947"/>
      <c r="AEQ97" s="947"/>
      <c r="AER97" s="947"/>
      <c r="AES97" s="947"/>
      <c r="AET97" s="657">
        <v>53</v>
      </c>
      <c r="AEU97" s="956"/>
      <c r="AEV97" s="957"/>
      <c r="AEW97" s="958">
        <f t="shared" si="35"/>
        <v>1.6783333333333335</v>
      </c>
      <c r="AEX97" s="959"/>
      <c r="AEZ97" s="947"/>
      <c r="AFA97" s="947"/>
      <c r="AFB97" s="947"/>
      <c r="AFC97" s="947"/>
      <c r="AFD97" s="657">
        <v>113</v>
      </c>
      <c r="AFE97" s="956"/>
      <c r="AFF97" s="957"/>
      <c r="AFG97" s="958">
        <f t="shared" si="36"/>
        <v>3.5783333333333336</v>
      </c>
      <c r="AFH97" s="959"/>
      <c r="AFJ97" s="947"/>
      <c r="AFK97" s="947"/>
      <c r="AFL97" s="947"/>
      <c r="AFM97" s="947"/>
      <c r="AFN97" s="657">
        <v>173</v>
      </c>
      <c r="AFO97" s="956"/>
      <c r="AFP97" s="957"/>
      <c r="AFQ97" s="958">
        <f t="shared" si="37"/>
        <v>5.4783333333333335</v>
      </c>
      <c r="AFR97" s="959"/>
      <c r="AFT97" s="947"/>
      <c r="AFU97" s="947"/>
      <c r="AFV97" s="947"/>
      <c r="AFW97" s="947"/>
      <c r="AFX97" s="657">
        <v>233</v>
      </c>
      <c r="AFY97" s="956"/>
      <c r="AFZ97" s="957"/>
      <c r="AGA97" s="958"/>
      <c r="AGB97" s="959"/>
      <c r="AGD97" s="947"/>
      <c r="AGE97" s="947"/>
      <c r="AGF97" s="947"/>
      <c r="AGG97" s="947"/>
      <c r="AGH97" s="656">
        <v>293</v>
      </c>
      <c r="AGI97" s="956"/>
      <c r="AGJ97" s="957"/>
      <c r="AGK97" s="958"/>
      <c r="AGL97" s="959"/>
    </row>
    <row r="98" spans="68:947" ht="48" customHeight="1" thickBot="1">
      <c r="BP98" s="144"/>
      <c r="BQ98" s="144"/>
      <c r="BR98" s="144"/>
      <c r="BS98" s="144"/>
      <c r="BT98" s="55"/>
      <c r="DD98" s="144"/>
      <c r="DE98" s="144"/>
      <c r="DF98" s="144"/>
      <c r="DG98" s="144"/>
      <c r="DH98" s="144"/>
      <c r="DI98" s="144"/>
      <c r="DJ98" s="144"/>
      <c r="DK98" s="144"/>
      <c r="DL98" s="144"/>
      <c r="DM98" s="144"/>
      <c r="DN98" s="144"/>
      <c r="DZ98" s="85" t="s">
        <v>1815</v>
      </c>
      <c r="EA98" s="665" t="s">
        <v>442</v>
      </c>
      <c r="EB98" s="666"/>
      <c r="EC98" s="152"/>
      <c r="ED98" s="87"/>
      <c r="EE98" s="87"/>
      <c r="EF98" s="87"/>
      <c r="EG98" s="87"/>
      <c r="EH98" s="87"/>
      <c r="EI98" s="87"/>
      <c r="EJ98" s="152"/>
      <c r="EK98" s="85" t="s">
        <v>467</v>
      </c>
      <c r="EL98" s="757" t="s">
        <v>461</v>
      </c>
      <c r="EM98" s="758"/>
      <c r="EN98" s="819" t="s">
        <v>126</v>
      </c>
      <c r="EO98" s="820"/>
      <c r="EP98" s="675" t="s">
        <v>731</v>
      </c>
      <c r="EQ98" s="676"/>
      <c r="ER98" s="769" t="s">
        <v>473</v>
      </c>
      <c r="ES98" s="769"/>
      <c r="ET98" s="769"/>
      <c r="EU98" s="769"/>
      <c r="EV98" s="769"/>
      <c r="EW98" s="769" t="s">
        <v>462</v>
      </c>
      <c r="EX98" s="769"/>
      <c r="EY98" s="769"/>
      <c r="EZ98" s="769"/>
      <c r="FA98" s="769"/>
      <c r="FB98" s="769"/>
      <c r="GF98" s="827"/>
      <c r="GG98" s="949" t="s">
        <v>1180</v>
      </c>
      <c r="GH98" s="962"/>
      <c r="GI98" s="738">
        <f>$GW$24</f>
        <v>58</v>
      </c>
      <c r="GJ98" s="738"/>
      <c r="GK98" s="944"/>
      <c r="GL98" s="944"/>
      <c r="GM98" s="944"/>
      <c r="GN98" s="944"/>
      <c r="GO98" s="944"/>
      <c r="GP98" s="944"/>
      <c r="GQ98" s="944"/>
      <c r="GR98" s="944"/>
      <c r="GS98" s="1004"/>
      <c r="GT98" s="1022"/>
      <c r="GU98" s="1023"/>
      <c r="GV98" s="1023"/>
      <c r="GW98" s="1023"/>
      <c r="GX98" s="1023"/>
      <c r="GY98" s="1023"/>
      <c r="GZ98" s="1023"/>
      <c r="HA98" s="1023"/>
      <c r="HB98" s="1024"/>
      <c r="HC98" s="768"/>
      <c r="HD98" s="768"/>
      <c r="HE98" s="768"/>
      <c r="HF98" s="768"/>
      <c r="HG98" s="768"/>
      <c r="HH98" s="768"/>
      <c r="HI98" s="768"/>
      <c r="LO98" s="144"/>
      <c r="LP98" s="144"/>
      <c r="LQ98" s="144"/>
      <c r="LR98" s="144"/>
      <c r="LS98" s="144"/>
      <c r="LT98" s="144"/>
      <c r="LU98" s="144"/>
      <c r="LV98" s="144"/>
      <c r="LW98" s="144"/>
      <c r="LZ98" s="826"/>
      <c r="MA98" s="863" t="s">
        <v>1370</v>
      </c>
      <c r="MB98" s="863"/>
      <c r="MC98" s="724">
        <f>$AQ$7</f>
        <v>50</v>
      </c>
      <c r="MD98" s="724"/>
      <c r="ME98" s="863" t="s">
        <v>1374</v>
      </c>
      <c r="MF98" s="863"/>
      <c r="MG98" s="756">
        <f>$MO$137</f>
        <v>1.2479077065077948</v>
      </c>
      <c r="MH98" s="756"/>
      <c r="MI98" s="939" t="s">
        <v>91</v>
      </c>
      <c r="MJ98" s="940"/>
      <c r="MK98" s="940"/>
      <c r="ML98" s="940"/>
      <c r="MM98" s="1003"/>
      <c r="MN98" s="763">
        <f>15.8*(AQ7/100)*((CL68/100)^2)*(AW82/(AW12*CL36))*(MQ164+MO137+MN142)</f>
        <v>0.55105560251025065</v>
      </c>
      <c r="MO98" s="764"/>
      <c r="MP98" s="895" t="s">
        <v>415</v>
      </c>
      <c r="MQ98" s="896"/>
      <c r="MR98" s="714"/>
      <c r="MS98" s="952" t="s">
        <v>1467</v>
      </c>
      <c r="MT98" s="953"/>
      <c r="MU98" s="746"/>
      <c r="MX98" s="144"/>
      <c r="MY98" s="144"/>
      <c r="MZ98" s="144"/>
      <c r="NA98" s="144"/>
      <c r="NB98" s="144"/>
      <c r="NC98" s="144"/>
      <c r="PJ98" s="825"/>
      <c r="PK98" s="695" t="s">
        <v>442</v>
      </c>
      <c r="PL98" s="695"/>
      <c r="PM98" s="510"/>
      <c r="PN98" s="548" t="s">
        <v>1720</v>
      </c>
      <c r="PO98" s="724">
        <f>$AQ$5</f>
        <v>3000</v>
      </c>
      <c r="PP98" s="724"/>
      <c r="PQ98" s="87"/>
      <c r="PR98" s="87"/>
      <c r="PS98" s="87"/>
      <c r="PT98" s="510"/>
      <c r="PU98" s="85" t="s">
        <v>467</v>
      </c>
      <c r="PV98" s="757" t="s">
        <v>461</v>
      </c>
      <c r="PW98" s="758"/>
      <c r="PX98" s="819" t="s">
        <v>126</v>
      </c>
      <c r="PY98" s="820"/>
      <c r="PZ98" s="675" t="s">
        <v>731</v>
      </c>
      <c r="QA98" s="676"/>
      <c r="QB98" s="821" t="s">
        <v>473</v>
      </c>
      <c r="QC98" s="822"/>
      <c r="QD98" s="822"/>
      <c r="QE98" s="822"/>
      <c r="QF98" s="823"/>
      <c r="QG98" s="821" t="s">
        <v>462</v>
      </c>
      <c r="QH98" s="822"/>
      <c r="QI98" s="822"/>
      <c r="QJ98" s="822"/>
      <c r="QK98" s="822"/>
      <c r="QL98" s="822"/>
      <c r="QM98" s="822"/>
      <c r="QN98" s="822"/>
      <c r="QO98" s="822"/>
      <c r="QP98" s="822"/>
      <c r="QQ98" s="822"/>
      <c r="QR98" s="823"/>
      <c r="QS98" s="144"/>
      <c r="QT98" s="144"/>
      <c r="QU98" s="144"/>
      <c r="RC98" s="369">
        <v>80</v>
      </c>
      <c r="RD98" s="668">
        <v>0.08</v>
      </c>
      <c r="RE98" s="669"/>
      <c r="RF98" s="670">
        <f t="shared" si="81"/>
        <v>8.5128966206349439</v>
      </c>
      <c r="RG98" s="670"/>
      <c r="RH98" s="670"/>
      <c r="RI98" s="670"/>
      <c r="RJ98" s="698">
        <f t="shared" si="69"/>
        <v>30</v>
      </c>
      <c r="RK98" s="699"/>
      <c r="RL98" s="726"/>
      <c r="RM98" s="670">
        <f t="shared" si="70"/>
        <v>8.7013977908513898</v>
      </c>
      <c r="RN98" s="670"/>
      <c r="RO98" s="670"/>
      <c r="RP98" s="670"/>
      <c r="RQ98" s="670"/>
      <c r="RR98" s="670"/>
      <c r="RS98" s="671">
        <f t="shared" si="64"/>
        <v>1.560804663639157</v>
      </c>
      <c r="RT98" s="671"/>
      <c r="RU98" s="671"/>
      <c r="RV98" s="671"/>
      <c r="RW98" s="671"/>
      <c r="RX98" s="671"/>
      <c r="RY98" s="681">
        <f t="shared" si="71"/>
        <v>8.840273452369626</v>
      </c>
      <c r="RZ98" s="681"/>
      <c r="SA98" s="681"/>
      <c r="SB98" s="681"/>
      <c r="SC98" s="681">
        <f>'Вывод расчетов'!$AQ$6/RY98</f>
        <v>42.985095658793384</v>
      </c>
      <c r="SD98" s="681"/>
      <c r="SE98" s="681"/>
      <c r="SF98" s="681"/>
      <c r="SG98" s="867">
        <f t="shared" si="72"/>
        <v>0.98429056948673788</v>
      </c>
      <c r="SH98" s="867"/>
      <c r="SI98" s="867"/>
      <c r="SJ98" s="867"/>
      <c r="SK98" s="865">
        <f t="shared" si="73"/>
        <v>0.17655615202952629</v>
      </c>
      <c r="SL98" s="865"/>
      <c r="SM98" s="865"/>
      <c r="SN98" s="865"/>
      <c r="SO98" s="692">
        <f t="shared" si="80"/>
        <v>42.660146726566893</v>
      </c>
      <c r="SP98" s="693"/>
      <c r="SQ98" s="693"/>
      <c r="SR98" s="693"/>
      <c r="SS98" s="694"/>
      <c r="ST98" s="668">
        <f t="shared" si="78"/>
        <v>18.57135984613365</v>
      </c>
      <c r="SU98" s="678"/>
      <c r="SV98" s="678"/>
      <c r="SW98" s="678"/>
      <c r="SX98" s="678"/>
      <c r="SY98" s="669"/>
      <c r="SZ98" s="682">
        <f t="shared" si="74"/>
        <v>46.527234231864689</v>
      </c>
      <c r="TA98" s="683"/>
      <c r="TB98" s="683"/>
      <c r="TC98" s="683"/>
      <c r="TD98" s="683"/>
      <c r="TE98" s="684"/>
      <c r="TF98" s="682">
        <f>'Вывод расчетов'!$XC$174*SC98</f>
        <v>43.669659881778294</v>
      </c>
      <c r="TG98" s="683"/>
      <c r="TH98" s="684"/>
      <c r="TI98" s="681">
        <f t="shared" si="79"/>
        <v>48.632567268286259</v>
      </c>
      <c r="TJ98" s="681"/>
      <c r="TK98" s="681"/>
      <c r="TL98" s="681"/>
      <c r="TM98" s="685">
        <f t="shared" si="75"/>
        <v>1.2050022771043745</v>
      </c>
      <c r="TN98" s="686"/>
      <c r="TO98" s="686"/>
      <c r="TP98" s="687"/>
      <c r="TQ98" s="688">
        <f t="shared" si="76"/>
        <v>3.7750646732728934</v>
      </c>
      <c r="TR98" s="688"/>
      <c r="TS98" s="688"/>
      <c r="TT98" s="688"/>
      <c r="TU98" s="689">
        <f t="shared" si="77"/>
        <v>0.34182234933656341</v>
      </c>
      <c r="TV98" s="690"/>
      <c r="TW98" s="690"/>
      <c r="TX98" s="690"/>
      <c r="TY98" s="690"/>
      <c r="TZ98" s="691"/>
      <c r="UA98" s="679">
        <v>0.08</v>
      </c>
      <c r="UB98" s="680"/>
      <c r="UC98" s="650">
        <v>0.8</v>
      </c>
      <c r="UD98" s="866">
        <f t="shared" si="65"/>
        <v>6.2021761155412456</v>
      </c>
      <c r="UE98" s="866"/>
      <c r="UF98" s="866"/>
      <c r="UG98" s="866"/>
      <c r="UH98" s="866"/>
      <c r="UI98" s="866"/>
      <c r="UJ98" s="866"/>
      <c r="UK98" s="681">
        <f t="shared" si="66"/>
        <v>42.430391152745017</v>
      </c>
      <c r="UL98" s="681"/>
      <c r="UM98" s="681"/>
      <c r="UN98" s="681"/>
      <c r="UO98" s="816">
        <f t="shared" si="67"/>
        <v>0.87246866731656714</v>
      </c>
      <c r="UP98" s="816"/>
      <c r="UQ98" s="816"/>
      <c r="UR98" s="816"/>
      <c r="US98" s="866">
        <f t="shared" si="68"/>
        <v>0.91688550653953593</v>
      </c>
      <c r="UT98" s="866"/>
      <c r="UU98" s="866"/>
      <c r="UV98" s="866"/>
      <c r="UW98" s="866"/>
      <c r="WA98" s="144"/>
      <c r="WB98" s="144"/>
      <c r="WC98" s="144"/>
      <c r="WD98" s="144"/>
      <c r="WE98" s="144"/>
      <c r="WF98" s="144"/>
      <c r="WG98" s="144"/>
      <c r="WH98" s="144"/>
      <c r="WI98" s="144"/>
      <c r="WJ98" s="144"/>
      <c r="WK98" s="144"/>
      <c r="WL98" s="144"/>
      <c r="WM98" s="144"/>
      <c r="WN98" s="144"/>
      <c r="WO98" s="144"/>
      <c r="WP98" s="144"/>
      <c r="WQ98" s="144"/>
      <c r="WR98" s="144"/>
      <c r="WS98" s="144"/>
      <c r="WT98" s="144"/>
      <c r="WU98" s="144"/>
      <c r="WV98" s="144"/>
      <c r="WW98" s="144"/>
      <c r="WX98" s="144"/>
      <c r="WY98" s="144"/>
      <c r="WZ98" s="144"/>
      <c r="XA98" s="144"/>
      <c r="XB98" s="144"/>
      <c r="AAD98" s="947"/>
      <c r="AAE98" s="947"/>
      <c r="AAF98" s="947"/>
      <c r="AAG98" s="947"/>
      <c r="AAH98" s="535">
        <v>25</v>
      </c>
      <c r="AAI98" s="956"/>
      <c r="AAJ98" s="957"/>
      <c r="AAK98" s="958">
        <f t="shared" si="59"/>
        <v>0.33333333333333337</v>
      </c>
      <c r="AAL98" s="959"/>
      <c r="AAN98" s="947"/>
      <c r="AAO98" s="947"/>
      <c r="AAP98" s="947"/>
      <c r="AAQ98" s="947"/>
      <c r="AAR98" s="535">
        <v>85</v>
      </c>
      <c r="AAS98" s="956"/>
      <c r="AAT98" s="957"/>
      <c r="AAU98" s="958">
        <f t="shared" si="60"/>
        <v>1.1333333333333333</v>
      </c>
      <c r="AAV98" s="959"/>
      <c r="AAX98" s="947"/>
      <c r="AAY98" s="947"/>
      <c r="AAZ98" s="947"/>
      <c r="ABA98" s="947"/>
      <c r="ABB98" s="535">
        <v>145</v>
      </c>
      <c r="ABC98" s="956"/>
      <c r="ABD98" s="957"/>
      <c r="ABE98" s="958">
        <f t="shared" si="61"/>
        <v>1.9333333333333333</v>
      </c>
      <c r="ABF98" s="959"/>
      <c r="ABH98" s="947"/>
      <c r="ABI98" s="947"/>
      <c r="ABJ98" s="947"/>
      <c r="ABK98" s="947"/>
      <c r="ABL98" s="537">
        <v>205</v>
      </c>
      <c r="ABM98" s="956"/>
      <c r="ABN98" s="957"/>
      <c r="ABO98" s="958">
        <f t="shared" si="62"/>
        <v>2.7333333333333334</v>
      </c>
      <c r="ABP98" s="959"/>
      <c r="ABR98" s="947"/>
      <c r="ABS98" s="947"/>
      <c r="ABT98" s="947"/>
      <c r="ABU98" s="947"/>
      <c r="ABV98" s="537">
        <v>265</v>
      </c>
      <c r="ABW98" s="956"/>
      <c r="ABX98" s="957"/>
      <c r="ABY98" s="958">
        <f t="shared" si="63"/>
        <v>3.5333333333333337</v>
      </c>
      <c r="ABZ98" s="959"/>
      <c r="ACK98" s="144"/>
      <c r="ACL98" s="144"/>
      <c r="ADB98" s="1037"/>
      <c r="ADC98" s="1038"/>
      <c r="ADD98" s="861"/>
      <c r="ADE98" s="1017"/>
      <c r="ADF98" s="1017"/>
      <c r="ADG98" s="1017"/>
      <c r="ADH98" s="1017"/>
      <c r="ADI98" s="862"/>
      <c r="ADJ98" s="1032"/>
      <c r="ADK98" s="1032"/>
      <c r="ADL98" s="1033"/>
      <c r="ADM98" s="1033"/>
      <c r="ADN98" s="1033"/>
      <c r="ADO98" s="1033"/>
      <c r="ADP98" s="1033"/>
      <c r="ADQ98" s="1033"/>
      <c r="ADR98" s="1033"/>
      <c r="ADS98" s="1033"/>
      <c r="ADT98" s="1033"/>
      <c r="ADU98" s="1033"/>
      <c r="ADV98" s="1033"/>
      <c r="ADW98" s="1033"/>
      <c r="ADX98" s="1049"/>
      <c r="ADY98" s="1049"/>
      <c r="ADZ98" s="1049"/>
      <c r="AEA98" s="1049"/>
      <c r="AEB98" s="1049"/>
      <c r="AEC98" s="1049"/>
      <c r="AED98" s="1049"/>
      <c r="AEE98" s="1049"/>
      <c r="AEF98" s="1049"/>
      <c r="AEG98" s="1049"/>
      <c r="AEH98" s="1049"/>
      <c r="AEI98" s="172"/>
      <c r="AEJ98" s="172"/>
      <c r="AEK98" s="177"/>
      <c r="AEP98" s="947"/>
      <c r="AEQ98" s="947"/>
      <c r="AER98" s="947"/>
      <c r="AES98" s="947"/>
      <c r="AET98" s="657">
        <v>54</v>
      </c>
      <c r="AEU98" s="956"/>
      <c r="AEV98" s="957"/>
      <c r="AEW98" s="958">
        <f t="shared" si="35"/>
        <v>1.7100000000000002</v>
      </c>
      <c r="AEX98" s="959"/>
      <c r="AEZ98" s="947"/>
      <c r="AFA98" s="947"/>
      <c r="AFB98" s="947"/>
      <c r="AFC98" s="947"/>
      <c r="AFD98" s="657">
        <v>114</v>
      </c>
      <c r="AFE98" s="956"/>
      <c r="AFF98" s="957"/>
      <c r="AFG98" s="958">
        <f t="shared" si="36"/>
        <v>3.6100000000000003</v>
      </c>
      <c r="AFH98" s="959"/>
      <c r="AFJ98" s="947"/>
      <c r="AFK98" s="947"/>
      <c r="AFL98" s="947"/>
      <c r="AFM98" s="947"/>
      <c r="AFN98" s="657">
        <v>174</v>
      </c>
      <c r="AFO98" s="956"/>
      <c r="AFP98" s="957"/>
      <c r="AFQ98" s="958">
        <f t="shared" si="37"/>
        <v>5.5100000000000007</v>
      </c>
      <c r="AFR98" s="959"/>
      <c r="AFT98" s="947"/>
      <c r="AFU98" s="947"/>
      <c r="AFV98" s="947"/>
      <c r="AFW98" s="947"/>
      <c r="AFX98" s="657">
        <v>234</v>
      </c>
      <c r="AFY98" s="956"/>
      <c r="AFZ98" s="957"/>
      <c r="AGA98" s="958"/>
      <c r="AGB98" s="959"/>
      <c r="AGD98" s="947"/>
      <c r="AGE98" s="947"/>
      <c r="AGF98" s="947"/>
      <c r="AGG98" s="947"/>
      <c r="AGH98" s="656">
        <v>294</v>
      </c>
      <c r="AGI98" s="956"/>
      <c r="AGJ98" s="957"/>
      <c r="AGK98" s="958"/>
      <c r="AGL98" s="959"/>
      <c r="AIM98" s="825"/>
      <c r="AIN98" s="665" t="s">
        <v>442</v>
      </c>
      <c r="AIO98" s="666"/>
      <c r="AIP98" s="156"/>
      <c r="AIQ98" s="87"/>
      <c r="AIR98" s="87"/>
      <c r="AIS98" s="87"/>
      <c r="AIT98" s="87"/>
      <c r="AIU98" s="87"/>
      <c r="AIV98" s="87"/>
      <c r="AIW98" s="156"/>
      <c r="AIX98" s="85" t="s">
        <v>467</v>
      </c>
      <c r="AIY98" s="757" t="s">
        <v>461</v>
      </c>
      <c r="AIZ98" s="899"/>
      <c r="AJA98" s="1130" t="s">
        <v>126</v>
      </c>
      <c r="AJB98" s="1131"/>
      <c r="AJC98" s="675" t="s">
        <v>731</v>
      </c>
      <c r="AJD98" s="676"/>
      <c r="AJE98" s="821" t="s">
        <v>473</v>
      </c>
      <c r="AJF98" s="822"/>
      <c r="AJG98" s="822"/>
      <c r="AJH98" s="823"/>
    </row>
    <row r="99" spans="68:947" ht="48" customHeight="1" thickBot="1">
      <c r="BP99" s="144"/>
      <c r="BQ99" s="144"/>
      <c r="BR99" s="144"/>
      <c r="BS99" s="144"/>
      <c r="BT99" s="55"/>
      <c r="BX99" s="792" t="s">
        <v>1079</v>
      </c>
      <c r="BY99" s="793"/>
      <c r="BZ99" s="794"/>
      <c r="CA99" s="825"/>
      <c r="CB99" s="665" t="s">
        <v>39</v>
      </c>
      <c r="CC99" s="666"/>
      <c r="CD99" s="146"/>
      <c r="CE99" s="87"/>
      <c r="CF99" s="87"/>
      <c r="CG99" s="87"/>
      <c r="CH99" s="87"/>
      <c r="CI99" s="149"/>
      <c r="CJ99" s="84" t="s">
        <v>729</v>
      </c>
      <c r="CK99" s="146"/>
      <c r="CL99" s="85" t="s">
        <v>467</v>
      </c>
      <c r="CM99" s="757" t="s">
        <v>461</v>
      </c>
      <c r="CN99" s="758"/>
      <c r="CO99" s="774" t="s">
        <v>126</v>
      </c>
      <c r="CP99" s="775"/>
      <c r="CQ99" s="776"/>
      <c r="CR99" s="675" t="s">
        <v>731</v>
      </c>
      <c r="CS99" s="676"/>
      <c r="CT99" s="821" t="s">
        <v>473</v>
      </c>
      <c r="CU99" s="822"/>
      <c r="CV99" s="822"/>
      <c r="CW99" s="823"/>
      <c r="DD99" s="144"/>
      <c r="DE99" s="144"/>
      <c r="DF99" s="144"/>
      <c r="DG99" s="144"/>
      <c r="DH99" s="144"/>
      <c r="DI99" s="144"/>
      <c r="DJ99" s="144"/>
      <c r="DK99" s="144"/>
      <c r="DL99" s="144"/>
      <c r="DM99" s="144"/>
      <c r="DN99" s="144"/>
      <c r="DZ99" s="825"/>
      <c r="EA99" s="770" t="s">
        <v>1208</v>
      </c>
      <c r="EB99" s="770"/>
      <c r="EC99" s="770"/>
      <c r="ED99" s="770"/>
      <c r="EE99" s="770"/>
      <c r="EF99" s="770"/>
      <c r="EG99" s="770"/>
      <c r="EH99" s="770"/>
      <c r="EI99" s="770"/>
      <c r="EJ99" s="770"/>
      <c r="EK99" s="770"/>
      <c r="EL99" s="770"/>
      <c r="EM99" s="771"/>
      <c r="EN99" s="763">
        <f>EN71-EQ54</f>
        <v>14.421707563485572</v>
      </c>
      <c r="EO99" s="764"/>
      <c r="EP99" s="759" t="s">
        <v>50</v>
      </c>
      <c r="EQ99" s="760"/>
      <c r="ER99" s="712"/>
      <c r="ES99" s="740" t="s">
        <v>1080</v>
      </c>
      <c r="ET99" s="741"/>
      <c r="EU99" s="742"/>
      <c r="EV99" s="746"/>
      <c r="EW99" s="767"/>
      <c r="EX99" s="767"/>
      <c r="EY99" s="767"/>
      <c r="EZ99" s="767"/>
      <c r="FA99" s="767"/>
      <c r="FB99" s="767"/>
      <c r="IR99" s="825"/>
      <c r="IS99" s="665" t="s">
        <v>442</v>
      </c>
      <c r="IT99" s="667"/>
      <c r="IU99" s="156"/>
      <c r="IV99" s="87"/>
      <c r="IW99" s="87"/>
      <c r="IX99" s="87"/>
      <c r="IY99" s="87"/>
      <c r="IZ99" s="87"/>
      <c r="JA99" s="87"/>
      <c r="JB99" s="156"/>
      <c r="JC99" s="85" t="s">
        <v>467</v>
      </c>
      <c r="JD99" s="757" t="s">
        <v>461</v>
      </c>
      <c r="JE99" s="899"/>
      <c r="JF99" s="1130" t="s">
        <v>126</v>
      </c>
      <c r="JG99" s="1131"/>
      <c r="JH99" s="675" t="s">
        <v>731</v>
      </c>
      <c r="JI99" s="676"/>
      <c r="JJ99" s="821" t="s">
        <v>473</v>
      </c>
      <c r="JK99" s="822"/>
      <c r="JL99" s="822"/>
      <c r="JM99" s="823"/>
      <c r="JN99" s="821" t="s">
        <v>921</v>
      </c>
      <c r="JO99" s="822"/>
      <c r="JP99" s="823"/>
      <c r="LO99" s="144"/>
      <c r="LP99" s="144"/>
      <c r="LQ99" s="144"/>
      <c r="LR99" s="144"/>
      <c r="LS99" s="144"/>
      <c r="LT99" s="144"/>
      <c r="LU99" s="144"/>
      <c r="LV99" s="144"/>
      <c r="LW99" s="144"/>
      <c r="LZ99" s="826"/>
      <c r="MA99" s="863" t="s">
        <v>1178</v>
      </c>
      <c r="MB99" s="863"/>
      <c r="MC99" s="724">
        <f>$CL$68</f>
        <v>104.5</v>
      </c>
      <c r="MD99" s="724"/>
      <c r="ME99" s="863" t="s">
        <v>1375</v>
      </c>
      <c r="MF99" s="863"/>
      <c r="MG99" s="756">
        <f>$MN$142</f>
        <v>0.12738425053916749</v>
      </c>
      <c r="MH99" s="756"/>
      <c r="MI99" s="941"/>
      <c r="MJ99" s="942"/>
      <c r="MK99" s="942"/>
      <c r="ML99" s="942"/>
      <c r="MM99" s="1011"/>
      <c r="MN99" s="1604"/>
      <c r="MO99" s="1605"/>
      <c r="MP99" s="897"/>
      <c r="MQ99" s="898"/>
      <c r="MR99" s="715"/>
      <c r="MS99" s="954"/>
      <c r="MT99" s="955"/>
      <c r="MU99" s="747"/>
      <c r="MX99" s="144"/>
      <c r="MY99" s="144"/>
      <c r="MZ99" s="144"/>
      <c r="NA99" s="144"/>
      <c r="NB99" s="144"/>
      <c r="NC99" s="144"/>
      <c r="ND99" s="144"/>
      <c r="PJ99" s="826"/>
      <c r="PK99" s="696" t="s">
        <v>1747</v>
      </c>
      <c r="PL99" s="720"/>
      <c r="PM99" s="697"/>
      <c r="PN99" s="739">
        <f>$PX$109</f>
        <v>2.2252741586294955</v>
      </c>
      <c r="PO99" s="739"/>
      <c r="PP99" s="939" t="s">
        <v>136</v>
      </c>
      <c r="PQ99" s="940"/>
      <c r="PR99" s="940"/>
      <c r="PS99" s="940"/>
      <c r="PT99" s="940"/>
      <c r="PU99" s="940"/>
      <c r="PV99" s="940"/>
      <c r="PW99" s="1003"/>
      <c r="PX99" s="763">
        <f>0.11*(((PN101*PO98/1000)*PN100)^2)*PN99</f>
        <v>32.963920879898673</v>
      </c>
      <c r="PY99" s="764"/>
      <c r="PZ99" s="759" t="s">
        <v>3</v>
      </c>
      <c r="QA99" s="760"/>
      <c r="QB99" s="712"/>
      <c r="QC99" s="952" t="s">
        <v>1724</v>
      </c>
      <c r="QD99" s="1151"/>
      <c r="QE99" s="953"/>
      <c r="QF99" s="746"/>
      <c r="QG99" s="919"/>
      <c r="QH99" s="840"/>
      <c r="QI99" s="840"/>
      <c r="QJ99" s="840"/>
      <c r="QK99" s="840"/>
      <c r="QL99" s="840"/>
      <c r="QM99" s="840"/>
      <c r="QN99" s="840"/>
      <c r="QO99" s="840"/>
      <c r="QP99" s="840"/>
      <c r="QQ99" s="840"/>
      <c r="QR99" s="920"/>
      <c r="QS99" s="144"/>
      <c r="QT99" s="144"/>
      <c r="QU99" s="144"/>
      <c r="RC99" s="369">
        <v>81</v>
      </c>
      <c r="RD99" s="668">
        <v>8.1000000000000003E-2</v>
      </c>
      <c r="RE99" s="669"/>
      <c r="RF99" s="670">
        <f t="shared" si="81"/>
        <v>8.4077991314913021</v>
      </c>
      <c r="RG99" s="670"/>
      <c r="RH99" s="670"/>
      <c r="RI99" s="670"/>
      <c r="RJ99" s="698">
        <f t="shared" si="69"/>
        <v>30</v>
      </c>
      <c r="RK99" s="699"/>
      <c r="RL99" s="726"/>
      <c r="RM99" s="670">
        <f t="shared" si="70"/>
        <v>8.5963003017077479</v>
      </c>
      <c r="RN99" s="670"/>
      <c r="RO99" s="670"/>
      <c r="RP99" s="670"/>
      <c r="RQ99" s="670"/>
      <c r="RR99" s="670"/>
      <c r="RS99" s="671">
        <f t="shared" si="64"/>
        <v>1.560804663639157</v>
      </c>
      <c r="RT99" s="671"/>
      <c r="RU99" s="671"/>
      <c r="RV99" s="671"/>
      <c r="RW99" s="671"/>
      <c r="RX99" s="671"/>
      <c r="RY99" s="681">
        <f t="shared" si="71"/>
        <v>8.7368466894628778</v>
      </c>
      <c r="RZ99" s="681"/>
      <c r="SA99" s="681"/>
      <c r="SB99" s="681"/>
      <c r="SC99" s="681">
        <f>'Вывод расчетов'!$AQ$6/RY99</f>
        <v>43.493953082443475</v>
      </c>
      <c r="SD99" s="681"/>
      <c r="SE99" s="681"/>
      <c r="SF99" s="681"/>
      <c r="SG99" s="867">
        <f t="shared" si="72"/>
        <v>0.98391337369755649</v>
      </c>
      <c r="SH99" s="867"/>
      <c r="SI99" s="867"/>
      <c r="SJ99" s="867"/>
      <c r="SK99" s="865">
        <f t="shared" si="73"/>
        <v>0.17864622318731702</v>
      </c>
      <c r="SL99" s="865"/>
      <c r="SM99" s="865"/>
      <c r="SN99" s="865"/>
      <c r="SO99" s="692">
        <f t="shared" si="80"/>
        <v>43.144604553921447</v>
      </c>
      <c r="SP99" s="693"/>
      <c r="SQ99" s="693"/>
      <c r="SR99" s="693"/>
      <c r="SS99" s="694"/>
      <c r="ST99" s="668">
        <f t="shared" si="78"/>
        <v>18.752107211660885</v>
      </c>
      <c r="SU99" s="678"/>
      <c r="SV99" s="678"/>
      <c r="SW99" s="678"/>
      <c r="SX99" s="678"/>
      <c r="SY99" s="669"/>
      <c r="SZ99" s="682">
        <f t="shared" si="74"/>
        <v>47.043580082641284</v>
      </c>
      <c r="TA99" s="683"/>
      <c r="TB99" s="683"/>
      <c r="TC99" s="683"/>
      <c r="TD99" s="683"/>
      <c r="TE99" s="684"/>
      <c r="TF99" s="682">
        <f>'Вывод расчетов'!$XC$174*SC99</f>
        <v>44.186621174490263</v>
      </c>
      <c r="TG99" s="683"/>
      <c r="TH99" s="684"/>
      <c r="TI99" s="681">
        <f t="shared" si="79"/>
        <v>49.184849191470448</v>
      </c>
      <c r="TJ99" s="681"/>
      <c r="TK99" s="681"/>
      <c r="TL99" s="681"/>
      <c r="TM99" s="685">
        <f t="shared" si="75"/>
        <v>1.2318962209640141</v>
      </c>
      <c r="TN99" s="686"/>
      <c r="TO99" s="686"/>
      <c r="TP99" s="687"/>
      <c r="TQ99" s="688">
        <f t="shared" si="76"/>
        <v>3.8649721107507697</v>
      </c>
      <c r="TR99" s="688"/>
      <c r="TS99" s="688"/>
      <c r="TT99" s="688"/>
      <c r="TU99" s="689">
        <f t="shared" si="77"/>
        <v>0.34945133995981636</v>
      </c>
      <c r="TV99" s="690"/>
      <c r="TW99" s="690"/>
      <c r="TX99" s="690"/>
      <c r="TY99" s="690"/>
      <c r="TZ99" s="691"/>
      <c r="UA99" s="756">
        <v>8.1000000000000003E-2</v>
      </c>
      <c r="UB99" s="756"/>
      <c r="UC99" s="650">
        <v>0.81</v>
      </c>
      <c r="UD99" s="866">
        <f t="shared" si="65"/>
        <v>6.3266064875020129</v>
      </c>
      <c r="UE99" s="866"/>
      <c r="UF99" s="866"/>
      <c r="UG99" s="866"/>
      <c r="UH99" s="866"/>
      <c r="UI99" s="866"/>
      <c r="UJ99" s="866"/>
      <c r="UK99" s="681">
        <f t="shared" si="66"/>
        <v>42.858242703968436</v>
      </c>
      <c r="UL99" s="681"/>
      <c r="UM99" s="681"/>
      <c r="UN99" s="681"/>
      <c r="UO99" s="816">
        <f t="shared" si="67"/>
        <v>0.87137082675859534</v>
      </c>
      <c r="UP99" s="816"/>
      <c r="UQ99" s="816"/>
      <c r="UR99" s="816"/>
      <c r="US99" s="866">
        <f t="shared" si="68"/>
        <v>0.91711992323138414</v>
      </c>
      <c r="UT99" s="866"/>
      <c r="UU99" s="866"/>
      <c r="UV99" s="866"/>
      <c r="UW99" s="866"/>
      <c r="WA99" s="144"/>
      <c r="WB99" s="144"/>
      <c r="WC99" s="144"/>
      <c r="WD99" s="144"/>
      <c r="WE99" s="144"/>
      <c r="WF99" s="144"/>
      <c r="WG99" s="144"/>
      <c r="WH99" s="144"/>
      <c r="WI99" s="144"/>
      <c r="WJ99" s="144"/>
      <c r="WK99" s="144"/>
      <c r="WL99" s="144"/>
      <c r="WM99" s="144"/>
      <c r="WN99" s="144"/>
      <c r="WO99" s="144"/>
      <c r="WP99" s="144"/>
      <c r="WQ99" s="144"/>
      <c r="WR99" s="144"/>
      <c r="WS99" s="144"/>
      <c r="WT99" s="144"/>
      <c r="WU99" s="144"/>
      <c r="WV99" s="144"/>
      <c r="WW99" s="144"/>
      <c r="WX99" s="144"/>
      <c r="WY99" s="144"/>
      <c r="WZ99" s="144"/>
      <c r="XA99" s="144"/>
      <c r="XB99" s="144"/>
      <c r="XO99" s="825"/>
      <c r="XP99" s="665" t="s">
        <v>442</v>
      </c>
      <c r="XQ99" s="666"/>
      <c r="XR99" s="450"/>
      <c r="XS99" s="87"/>
      <c r="XT99" s="87"/>
      <c r="XU99" s="87"/>
      <c r="XV99" s="87"/>
      <c r="XW99" s="87"/>
      <c r="XX99" s="87"/>
      <c r="XY99" s="450"/>
      <c r="XZ99" s="85" t="s">
        <v>467</v>
      </c>
      <c r="YA99" s="757" t="s">
        <v>461</v>
      </c>
      <c r="YB99" s="758"/>
      <c r="YC99" s="819" t="s">
        <v>126</v>
      </c>
      <c r="YD99" s="820"/>
      <c r="YE99" s="675" t="s">
        <v>731</v>
      </c>
      <c r="YF99" s="1094"/>
      <c r="YG99" s="769" t="s">
        <v>473</v>
      </c>
      <c r="YH99" s="769"/>
      <c r="YI99" s="769"/>
      <c r="YJ99" s="769"/>
      <c r="YK99" s="769"/>
      <c r="YL99" s="769" t="s">
        <v>462</v>
      </c>
      <c r="YM99" s="769"/>
      <c r="YN99" s="769"/>
      <c r="YO99" s="769"/>
      <c r="YP99" s="769"/>
      <c r="YQ99" s="769"/>
      <c r="YR99" s="769"/>
      <c r="AAD99" s="947"/>
      <c r="AAE99" s="947"/>
      <c r="AAF99" s="947"/>
      <c r="AAG99" s="947"/>
      <c r="AAH99" s="535">
        <v>26</v>
      </c>
      <c r="AAI99" s="956"/>
      <c r="AAJ99" s="957"/>
      <c r="AAK99" s="958">
        <f t="shared" si="59"/>
        <v>0.34666666666666668</v>
      </c>
      <c r="AAL99" s="959"/>
      <c r="AAN99" s="947"/>
      <c r="AAO99" s="947"/>
      <c r="AAP99" s="947"/>
      <c r="AAQ99" s="947"/>
      <c r="AAR99" s="535">
        <v>86</v>
      </c>
      <c r="AAS99" s="956"/>
      <c r="AAT99" s="957"/>
      <c r="AAU99" s="958">
        <f t="shared" si="60"/>
        <v>1.1466666666666667</v>
      </c>
      <c r="AAV99" s="959"/>
      <c r="AAX99" s="947"/>
      <c r="AAY99" s="947"/>
      <c r="AAZ99" s="947"/>
      <c r="ABA99" s="947"/>
      <c r="ABB99" s="535">
        <v>146</v>
      </c>
      <c r="ABC99" s="956"/>
      <c r="ABD99" s="957"/>
      <c r="ABE99" s="958">
        <f t="shared" si="61"/>
        <v>1.9466666666666668</v>
      </c>
      <c r="ABF99" s="959"/>
      <c r="ABH99" s="947"/>
      <c r="ABI99" s="947"/>
      <c r="ABJ99" s="947"/>
      <c r="ABK99" s="947"/>
      <c r="ABL99" s="537">
        <v>206</v>
      </c>
      <c r="ABM99" s="956"/>
      <c r="ABN99" s="957"/>
      <c r="ABO99" s="958">
        <f t="shared" si="62"/>
        <v>2.746666666666667</v>
      </c>
      <c r="ABP99" s="959"/>
      <c r="ABR99" s="947"/>
      <c r="ABS99" s="947"/>
      <c r="ABT99" s="947"/>
      <c r="ABU99" s="947"/>
      <c r="ABV99" s="537">
        <v>266</v>
      </c>
      <c r="ABW99" s="956"/>
      <c r="ABX99" s="957"/>
      <c r="ABY99" s="958">
        <f t="shared" si="63"/>
        <v>3.5466666666666669</v>
      </c>
      <c r="ABZ99" s="959"/>
      <c r="ACK99" s="144"/>
      <c r="ACL99" s="144"/>
      <c r="ADB99" s="1033">
        <v>24</v>
      </c>
      <c r="ADC99" s="1033"/>
      <c r="ADD99" s="857"/>
      <c r="ADE99" s="1015"/>
      <c r="ADF99" s="1015"/>
      <c r="ADG99" s="1015"/>
      <c r="ADH99" s="1015"/>
      <c r="ADI99" s="858"/>
      <c r="ADJ99" s="1070" t="s">
        <v>762</v>
      </c>
      <c r="ADK99" s="1070"/>
      <c r="ADL99" s="1034"/>
      <c r="ADM99" s="1034"/>
      <c r="ADN99" s="1034"/>
      <c r="ADO99" s="1034"/>
      <c r="ADP99" s="1034"/>
      <c r="ADQ99" s="1034"/>
      <c r="ADR99" s="1034"/>
      <c r="ADS99" s="1034"/>
      <c r="ADT99" s="1034"/>
      <c r="ADU99" s="1034"/>
      <c r="ADV99" s="1034"/>
      <c r="ADW99" s="1034"/>
      <c r="ADX99" s="181"/>
      <c r="ADY99" s="182"/>
      <c r="ADZ99" s="182"/>
      <c r="AEA99" s="182"/>
      <c r="AEB99" s="182"/>
      <c r="AEC99" s="182"/>
      <c r="AED99" s="182"/>
      <c r="AEE99" s="185"/>
      <c r="AEF99" s="172"/>
      <c r="AEG99" s="172"/>
      <c r="AEH99" s="172"/>
      <c r="AEI99" s="172"/>
      <c r="AEJ99" s="172"/>
      <c r="AEK99" s="177"/>
      <c r="AEP99" s="947"/>
      <c r="AEQ99" s="947"/>
      <c r="AER99" s="947"/>
      <c r="AES99" s="947"/>
      <c r="AET99" s="657">
        <v>55</v>
      </c>
      <c r="AEU99" s="956"/>
      <c r="AEV99" s="957"/>
      <c r="AEW99" s="958">
        <f t="shared" si="35"/>
        <v>1.7416666666666669</v>
      </c>
      <c r="AEX99" s="959"/>
      <c r="AEZ99" s="947"/>
      <c r="AFA99" s="947"/>
      <c r="AFB99" s="947"/>
      <c r="AFC99" s="947"/>
      <c r="AFD99" s="657">
        <v>115</v>
      </c>
      <c r="AFE99" s="956"/>
      <c r="AFF99" s="957"/>
      <c r="AFG99" s="958">
        <f t="shared" si="36"/>
        <v>3.6416666666666671</v>
      </c>
      <c r="AFH99" s="959"/>
      <c r="AFJ99" s="947"/>
      <c r="AFK99" s="947"/>
      <c r="AFL99" s="947"/>
      <c r="AFM99" s="947"/>
      <c r="AFN99" s="657">
        <v>175</v>
      </c>
      <c r="AFO99" s="956"/>
      <c r="AFP99" s="957"/>
      <c r="AFQ99" s="958">
        <f t="shared" si="37"/>
        <v>5.541666666666667</v>
      </c>
      <c r="AFR99" s="959"/>
      <c r="AFT99" s="947"/>
      <c r="AFU99" s="947"/>
      <c r="AFV99" s="947"/>
      <c r="AFW99" s="947"/>
      <c r="AFX99" s="657">
        <v>235</v>
      </c>
      <c r="AFY99" s="956"/>
      <c r="AFZ99" s="957"/>
      <c r="AGA99" s="958"/>
      <c r="AGB99" s="959"/>
      <c r="AGD99" s="947"/>
      <c r="AGE99" s="947"/>
      <c r="AGF99" s="947"/>
      <c r="AGG99" s="947"/>
      <c r="AGH99" s="656">
        <v>295</v>
      </c>
      <c r="AGI99" s="956"/>
      <c r="AGJ99" s="957"/>
      <c r="AGK99" s="958"/>
      <c r="AGL99" s="959"/>
      <c r="AIM99" s="826"/>
      <c r="AIN99" s="816" t="s">
        <v>163</v>
      </c>
      <c r="AIO99" s="816"/>
      <c r="AIP99" s="816"/>
      <c r="AIQ99" s="816"/>
      <c r="AIR99" s="816"/>
      <c r="AIS99" s="816"/>
      <c r="AIT99" s="816"/>
      <c r="AIU99" s="816"/>
      <c r="AIV99" s="816"/>
      <c r="AIW99" s="816"/>
      <c r="AIX99" s="816"/>
      <c r="AIY99" s="816"/>
      <c r="AIZ99" s="816"/>
      <c r="AJA99" s="763">
        <f>(AJD22*AJA88)/(2*3.14*AW34*AJA103)</f>
        <v>7.2701426905807027</v>
      </c>
      <c r="AJB99" s="764"/>
      <c r="AJC99" s="1319" t="s">
        <v>1007</v>
      </c>
      <c r="AJD99" s="1157"/>
      <c r="AJE99" s="714"/>
      <c r="AJF99" s="716" t="s">
        <v>983</v>
      </c>
      <c r="AJG99" s="717"/>
      <c r="AJH99" s="746"/>
    </row>
    <row r="100" spans="68:947" ht="48" customHeight="1" thickBot="1">
      <c r="BP100" s="144"/>
      <c r="BQ100" s="144"/>
      <c r="BR100" s="144"/>
      <c r="BS100" s="144"/>
      <c r="BT100" s="55"/>
      <c r="BX100" s="795"/>
      <c r="BY100" s="796"/>
      <c r="BZ100" s="797"/>
      <c r="CA100" s="826"/>
      <c r="CB100" s="731" t="s">
        <v>45</v>
      </c>
      <c r="CC100" s="732"/>
      <c r="CD100" s="732"/>
      <c r="CE100" s="732"/>
      <c r="CF100" s="732"/>
      <c r="CG100" s="732"/>
      <c r="CH100" s="732"/>
      <c r="CI100" s="732"/>
      <c r="CJ100" s="732"/>
      <c r="CK100" s="732"/>
      <c r="CL100" s="732"/>
      <c r="CM100" s="732"/>
      <c r="CN100" s="733"/>
      <c r="CO100" s="786">
        <f>185*10^9</f>
        <v>185000000000</v>
      </c>
      <c r="CP100" s="787"/>
      <c r="CQ100" s="788"/>
      <c r="CR100" s="759" t="s">
        <v>797</v>
      </c>
      <c r="CS100" s="760"/>
      <c r="CT100" s="712"/>
      <c r="CU100" s="1249" t="s">
        <v>1295</v>
      </c>
      <c r="CV100" s="953"/>
      <c r="CW100" s="746"/>
      <c r="DD100" s="144"/>
      <c r="DE100" s="144"/>
      <c r="DF100" s="144"/>
      <c r="DG100" s="144"/>
      <c r="DH100" s="144"/>
      <c r="DI100" s="144"/>
      <c r="DJ100" s="144"/>
      <c r="DK100" s="144"/>
      <c r="DL100" s="144"/>
      <c r="DM100" s="144"/>
      <c r="DN100" s="144"/>
      <c r="DZ100" s="827"/>
      <c r="EA100" s="772"/>
      <c r="EB100" s="772"/>
      <c r="EC100" s="772"/>
      <c r="ED100" s="772"/>
      <c r="EE100" s="772"/>
      <c r="EF100" s="772"/>
      <c r="EG100" s="772"/>
      <c r="EH100" s="772"/>
      <c r="EI100" s="772"/>
      <c r="EJ100" s="772"/>
      <c r="EK100" s="772"/>
      <c r="EL100" s="772"/>
      <c r="EM100" s="773"/>
      <c r="EN100" s="765"/>
      <c r="EO100" s="766"/>
      <c r="EP100" s="761"/>
      <c r="EQ100" s="762"/>
      <c r="ER100" s="713"/>
      <c r="ES100" s="743"/>
      <c r="ET100" s="744"/>
      <c r="EU100" s="745"/>
      <c r="EV100" s="747"/>
      <c r="EW100" s="768"/>
      <c r="EX100" s="768"/>
      <c r="EY100" s="768"/>
      <c r="EZ100" s="768"/>
      <c r="FA100" s="768"/>
      <c r="FB100" s="768"/>
      <c r="GC100" s="7"/>
      <c r="GD100" s="4"/>
      <c r="GE100" s="4"/>
      <c r="GF100" s="85" t="s">
        <v>839</v>
      </c>
      <c r="GG100" s="665" t="s">
        <v>442</v>
      </c>
      <c r="GH100" s="667"/>
      <c r="GI100" s="260"/>
      <c r="GJ100" s="1375"/>
      <c r="GK100" s="1376"/>
      <c r="GL100" s="261"/>
      <c r="GM100" s="756"/>
      <c r="GN100" s="756"/>
      <c r="GO100" s="262"/>
      <c r="GP100" s="150"/>
      <c r="GQ100" s="85" t="s">
        <v>467</v>
      </c>
      <c r="GR100" s="757" t="s">
        <v>461</v>
      </c>
      <c r="GS100" s="758"/>
      <c r="GT100" s="1130" t="s">
        <v>126</v>
      </c>
      <c r="GU100" s="1131"/>
      <c r="GV100" s="675" t="s">
        <v>731</v>
      </c>
      <c r="GW100" s="676"/>
      <c r="GX100" s="821" t="s">
        <v>473</v>
      </c>
      <c r="GY100" s="822"/>
      <c r="GZ100" s="822"/>
      <c r="HA100" s="822"/>
      <c r="HB100" s="823"/>
      <c r="HC100" s="769" t="s">
        <v>462</v>
      </c>
      <c r="HD100" s="769"/>
      <c r="HE100" s="769"/>
      <c r="HF100" s="769"/>
      <c r="HG100" s="769"/>
      <c r="HH100" s="769"/>
      <c r="HI100" s="769"/>
      <c r="HJ100" s="769"/>
      <c r="HK100" s="769"/>
      <c r="HL100" s="769"/>
      <c r="HM100" s="769"/>
      <c r="HN100" s="769"/>
      <c r="HO100" s="769"/>
      <c r="IR100" s="826"/>
      <c r="IS100" s="700" t="s">
        <v>894</v>
      </c>
      <c r="IT100" s="701"/>
      <c r="IU100" s="701"/>
      <c r="IV100" s="701"/>
      <c r="IW100" s="701"/>
      <c r="IX100" s="701"/>
      <c r="IY100" s="701"/>
      <c r="IZ100" s="701"/>
      <c r="JA100" s="701"/>
      <c r="JB100" s="701"/>
      <c r="JC100" s="701"/>
      <c r="JD100" s="701"/>
      <c r="JE100" s="702"/>
      <c r="JF100" s="752">
        <f>JF91</f>
        <v>49.90637499999999</v>
      </c>
      <c r="JG100" s="753"/>
      <c r="JH100" s="759" t="s">
        <v>50</v>
      </c>
      <c r="JI100" s="760"/>
      <c r="JJ100" s="714"/>
      <c r="JK100" s="740" t="s">
        <v>895</v>
      </c>
      <c r="JL100" s="742"/>
      <c r="JM100" s="746"/>
      <c r="JN100" s="1066" t="s">
        <v>920</v>
      </c>
      <c r="JO100" s="1111"/>
      <c r="JP100" s="1067"/>
      <c r="LO100" s="144"/>
      <c r="LP100" s="144"/>
      <c r="LQ100" s="144"/>
      <c r="LR100" s="144"/>
      <c r="LS100" s="144"/>
      <c r="LT100" s="144"/>
      <c r="LU100" s="144"/>
      <c r="LV100" s="144"/>
      <c r="LW100" s="144"/>
      <c r="LZ100" s="826"/>
      <c r="MA100" s="863" t="s">
        <v>1128</v>
      </c>
      <c r="MB100" s="863"/>
      <c r="MC100" s="739">
        <f>$AZ$86</f>
        <v>0.13</v>
      </c>
      <c r="MD100" s="739"/>
      <c r="ME100" s="1200"/>
      <c r="MF100" s="1201"/>
      <c r="MG100" s="1201"/>
      <c r="MH100" s="1201"/>
      <c r="MI100" s="1629" t="s">
        <v>462</v>
      </c>
      <c r="MJ100" s="1630"/>
      <c r="MK100" s="1630"/>
      <c r="ML100" s="1630"/>
      <c r="MM100" s="1630"/>
      <c r="MN100" s="1630"/>
      <c r="MO100" s="1630"/>
      <c r="MP100" s="1630"/>
      <c r="MQ100" s="1630"/>
      <c r="MR100" s="1631"/>
      <c r="MS100" s="1631"/>
      <c r="MT100" s="1631"/>
      <c r="MU100" s="1632"/>
      <c r="MX100" s="144"/>
      <c r="MY100" s="144"/>
      <c r="MZ100" s="144"/>
      <c r="NA100" s="144"/>
      <c r="NB100" s="144"/>
      <c r="PJ100" s="826"/>
      <c r="PK100" s="696" t="s">
        <v>1748</v>
      </c>
      <c r="PL100" s="720"/>
      <c r="PM100" s="697"/>
      <c r="PN100" s="739">
        <f>$PX$104</f>
        <v>0.11721849256636206</v>
      </c>
      <c r="PO100" s="739"/>
      <c r="PP100" s="941"/>
      <c r="PQ100" s="942"/>
      <c r="PR100" s="942"/>
      <c r="PS100" s="942"/>
      <c r="PT100" s="942"/>
      <c r="PU100" s="942"/>
      <c r="PV100" s="942"/>
      <c r="PW100" s="1011"/>
      <c r="PX100" s="765"/>
      <c r="PY100" s="766"/>
      <c r="PZ100" s="761"/>
      <c r="QA100" s="762"/>
      <c r="QB100" s="713"/>
      <c r="QC100" s="954"/>
      <c r="QD100" s="1152"/>
      <c r="QE100" s="955"/>
      <c r="QF100" s="747"/>
      <c r="QG100" s="890"/>
      <c r="QH100" s="841"/>
      <c r="QI100" s="841"/>
      <c r="QJ100" s="841"/>
      <c r="QK100" s="841"/>
      <c r="QL100" s="841"/>
      <c r="QM100" s="841"/>
      <c r="QN100" s="841"/>
      <c r="QO100" s="841"/>
      <c r="QP100" s="841"/>
      <c r="QQ100" s="841"/>
      <c r="QR100" s="891"/>
      <c r="QS100" s="144"/>
      <c r="QT100" s="144"/>
      <c r="QU100" s="144"/>
      <c r="RC100" s="369">
        <v>82</v>
      </c>
      <c r="RD100" s="668">
        <v>8.2000000000000003E-2</v>
      </c>
      <c r="RE100" s="669"/>
      <c r="RF100" s="670">
        <f t="shared" si="81"/>
        <v>8.3052649957414086</v>
      </c>
      <c r="RG100" s="670"/>
      <c r="RH100" s="670"/>
      <c r="RI100" s="670"/>
      <c r="RJ100" s="698">
        <f t="shared" si="69"/>
        <v>30</v>
      </c>
      <c r="RK100" s="699"/>
      <c r="RL100" s="726"/>
      <c r="RM100" s="670">
        <f t="shared" si="70"/>
        <v>8.4937661659578545</v>
      </c>
      <c r="RN100" s="670"/>
      <c r="RO100" s="670"/>
      <c r="RP100" s="670"/>
      <c r="RQ100" s="670"/>
      <c r="RR100" s="670"/>
      <c r="RS100" s="671">
        <f t="shared" si="64"/>
        <v>1.560804663639157</v>
      </c>
      <c r="RT100" s="671"/>
      <c r="RU100" s="671"/>
      <c r="RV100" s="671"/>
      <c r="RW100" s="671"/>
      <c r="RX100" s="671"/>
      <c r="RY100" s="681">
        <f t="shared" si="71"/>
        <v>8.6359814080397452</v>
      </c>
      <c r="RZ100" s="681"/>
      <c r="SA100" s="681"/>
      <c r="SB100" s="681"/>
      <c r="SC100" s="681">
        <f>'Вывод расчетов'!$AQ$6/RY100</f>
        <v>44.001947438913611</v>
      </c>
      <c r="SD100" s="681"/>
      <c r="SE100" s="681"/>
      <c r="SF100" s="681"/>
      <c r="SG100" s="867">
        <f t="shared" si="72"/>
        <v>0.98353224313921128</v>
      </c>
      <c r="SH100" s="867"/>
      <c r="SI100" s="867"/>
      <c r="SJ100" s="867"/>
      <c r="SK100" s="865">
        <f t="shared" si="73"/>
        <v>0.18073274939963532</v>
      </c>
      <c r="SL100" s="865"/>
      <c r="SM100" s="865"/>
      <c r="SN100" s="865"/>
      <c r="SO100" s="692">
        <f t="shared" si="80"/>
        <v>43.627656508219623</v>
      </c>
      <c r="SP100" s="693"/>
      <c r="SQ100" s="693"/>
      <c r="SR100" s="693"/>
      <c r="SS100" s="694"/>
      <c r="ST100" s="668">
        <f t="shared" si="78"/>
        <v>18.934669701569092</v>
      </c>
      <c r="SU100" s="678"/>
      <c r="SV100" s="678"/>
      <c r="SW100" s="678"/>
      <c r="SX100" s="678"/>
      <c r="SY100" s="669"/>
      <c r="SZ100" s="682">
        <f t="shared" si="74"/>
        <v>47.559374776238563</v>
      </c>
      <c r="TA100" s="683"/>
      <c r="TB100" s="683"/>
      <c r="TC100" s="683"/>
      <c r="TD100" s="683"/>
      <c r="TE100" s="684"/>
      <c r="TF100" s="682">
        <f>'Вывод расчетов'!$XC$174*SC100</f>
        <v>44.702705655143859</v>
      </c>
      <c r="TG100" s="683"/>
      <c r="TH100" s="684"/>
      <c r="TI100" s="681">
        <f t="shared" si="79"/>
        <v>49.735528419370368</v>
      </c>
      <c r="TJ100" s="681"/>
      <c r="TK100" s="681"/>
      <c r="TL100" s="681"/>
      <c r="TM100" s="685">
        <f t="shared" si="75"/>
        <v>1.2590577969253027</v>
      </c>
      <c r="TN100" s="686"/>
      <c r="TO100" s="686"/>
      <c r="TP100" s="687"/>
      <c r="TQ100" s="688">
        <f t="shared" si="76"/>
        <v>3.9557824282309109</v>
      </c>
      <c r="TR100" s="688"/>
      <c r="TS100" s="688"/>
      <c r="TT100" s="688"/>
      <c r="TU100" s="689">
        <f t="shared" si="77"/>
        <v>0.35715624963773146</v>
      </c>
      <c r="TV100" s="690"/>
      <c r="TW100" s="690"/>
      <c r="TX100" s="690"/>
      <c r="TY100" s="690"/>
      <c r="TZ100" s="691"/>
      <c r="UA100" s="679">
        <v>8.2000000000000003E-2</v>
      </c>
      <c r="UB100" s="680"/>
      <c r="UC100" s="650">
        <v>0.82</v>
      </c>
      <c r="UD100" s="866">
        <f t="shared" si="65"/>
        <v>6.4522832906213585</v>
      </c>
      <c r="UE100" s="866"/>
      <c r="UF100" s="866"/>
      <c r="UG100" s="866"/>
      <c r="UH100" s="866"/>
      <c r="UI100" s="866"/>
      <c r="UJ100" s="866"/>
      <c r="UK100" s="681">
        <f t="shared" si="66"/>
        <v>43.283245128749009</v>
      </c>
      <c r="UL100" s="681"/>
      <c r="UM100" s="681"/>
      <c r="UN100" s="681"/>
      <c r="UO100" s="816">
        <f t="shared" si="67"/>
        <v>0.87026812631373585</v>
      </c>
      <c r="UP100" s="816"/>
      <c r="UQ100" s="816"/>
      <c r="UR100" s="816"/>
      <c r="US100" s="866">
        <f t="shared" si="68"/>
        <v>0.91733032054106622</v>
      </c>
      <c r="UT100" s="866"/>
      <c r="UU100" s="866"/>
      <c r="UV100" s="866"/>
      <c r="UW100" s="866"/>
      <c r="WA100" s="15"/>
      <c r="WB100" s="15"/>
      <c r="XO100" s="826"/>
      <c r="XP100" s="863" t="s">
        <v>1391</v>
      </c>
      <c r="XQ100" s="863"/>
      <c r="XR100" s="756">
        <f>$MQ$200</f>
        <v>4.8197321291167521</v>
      </c>
      <c r="XS100" s="756"/>
      <c r="XT100" s="939" t="s">
        <v>1543</v>
      </c>
      <c r="XU100" s="940"/>
      <c r="XV100" s="940"/>
      <c r="XW100" s="940"/>
      <c r="XX100" s="940"/>
      <c r="XY100" s="940"/>
      <c r="XZ100" s="940"/>
      <c r="YA100" s="940"/>
      <c r="YB100" s="1003"/>
      <c r="YC100" s="763">
        <f>XR100*(1-XR101)</f>
        <v>0.72295981936751297</v>
      </c>
      <c r="YD100" s="764"/>
      <c r="YE100" s="849" t="s">
        <v>762</v>
      </c>
      <c r="YF100" s="850"/>
      <c r="YG100" s="978"/>
      <c r="YH100" s="1109" t="s">
        <v>1610</v>
      </c>
      <c r="YI100" s="1109"/>
      <c r="YJ100" s="1109"/>
      <c r="YK100" s="1085"/>
      <c r="YL100" s="767"/>
      <c r="YM100" s="767"/>
      <c r="YN100" s="767"/>
      <c r="YO100" s="767"/>
      <c r="YP100" s="767"/>
      <c r="YQ100" s="767"/>
      <c r="YR100" s="767"/>
      <c r="AAD100" s="947"/>
      <c r="AAE100" s="947"/>
      <c r="AAF100" s="947"/>
      <c r="AAG100" s="947"/>
      <c r="AAH100" s="535">
        <v>27</v>
      </c>
      <c r="AAI100" s="956"/>
      <c r="AAJ100" s="957"/>
      <c r="AAK100" s="958">
        <f t="shared" si="59"/>
        <v>0.36000000000000004</v>
      </c>
      <c r="AAL100" s="959"/>
      <c r="AAN100" s="947"/>
      <c r="AAO100" s="947"/>
      <c r="AAP100" s="947"/>
      <c r="AAQ100" s="947"/>
      <c r="AAR100" s="535">
        <v>87</v>
      </c>
      <c r="AAS100" s="956"/>
      <c r="AAT100" s="957"/>
      <c r="AAU100" s="958">
        <f t="shared" si="60"/>
        <v>1.1600000000000001</v>
      </c>
      <c r="AAV100" s="959"/>
      <c r="AAX100" s="947"/>
      <c r="AAY100" s="947"/>
      <c r="AAZ100" s="947"/>
      <c r="ABA100" s="947"/>
      <c r="ABB100" s="535">
        <v>147</v>
      </c>
      <c r="ABC100" s="956"/>
      <c r="ABD100" s="957"/>
      <c r="ABE100" s="958">
        <f t="shared" si="61"/>
        <v>1.9600000000000002</v>
      </c>
      <c r="ABF100" s="959"/>
      <c r="ABH100" s="947"/>
      <c r="ABI100" s="947"/>
      <c r="ABJ100" s="947"/>
      <c r="ABK100" s="947"/>
      <c r="ABL100" s="537">
        <v>207</v>
      </c>
      <c r="ABM100" s="956"/>
      <c r="ABN100" s="957"/>
      <c r="ABO100" s="958">
        <f t="shared" si="62"/>
        <v>2.7600000000000002</v>
      </c>
      <c r="ABP100" s="959"/>
      <c r="ABR100" s="947"/>
      <c r="ABS100" s="947"/>
      <c r="ABT100" s="947"/>
      <c r="ABU100" s="947"/>
      <c r="ABV100" s="537">
        <v>267</v>
      </c>
      <c r="ABW100" s="956"/>
      <c r="ABX100" s="957"/>
      <c r="ABY100" s="958">
        <f t="shared" si="63"/>
        <v>3.56</v>
      </c>
      <c r="ABZ100" s="959"/>
      <c r="ACK100" s="144"/>
      <c r="ACL100" s="144"/>
      <c r="ACU100" s="144"/>
      <c r="ACV100" s="144"/>
      <c r="ACW100" s="144"/>
      <c r="ACX100" s="144"/>
      <c r="ACY100" s="144"/>
      <c r="ACZ100" s="144"/>
      <c r="ADB100" s="1033"/>
      <c r="ADC100" s="1033"/>
      <c r="ADD100" s="861"/>
      <c r="ADE100" s="1017"/>
      <c r="ADF100" s="1017"/>
      <c r="ADG100" s="1017"/>
      <c r="ADH100" s="1017"/>
      <c r="ADI100" s="862"/>
      <c r="ADJ100" s="1070"/>
      <c r="ADK100" s="1070"/>
      <c r="ADL100" s="1034"/>
      <c r="ADM100" s="1034"/>
      <c r="ADN100" s="1034"/>
      <c r="ADO100" s="1034"/>
      <c r="ADP100" s="1034"/>
      <c r="ADQ100" s="1034"/>
      <c r="ADR100" s="1034"/>
      <c r="ADS100" s="1034"/>
      <c r="ADT100" s="1034"/>
      <c r="ADU100" s="1034"/>
      <c r="ADV100" s="1034"/>
      <c r="ADW100" s="1034"/>
      <c r="ADX100" s="183"/>
      <c r="ADY100" s="184"/>
      <c r="ADZ100" s="184"/>
      <c r="AEA100" s="184"/>
      <c r="AEB100" s="184"/>
      <c r="AEC100" s="184"/>
      <c r="AED100" s="184"/>
      <c r="AEE100" s="186"/>
      <c r="AEF100" s="172"/>
      <c r="AEG100" s="172"/>
      <c r="AEH100" s="172"/>
      <c r="AEI100" s="172"/>
      <c r="AEJ100" s="172"/>
      <c r="AEK100" s="177"/>
      <c r="AEP100" s="947"/>
      <c r="AEQ100" s="947"/>
      <c r="AER100" s="947"/>
      <c r="AES100" s="947"/>
      <c r="AET100" s="657">
        <v>56</v>
      </c>
      <c r="AEU100" s="956"/>
      <c r="AEV100" s="957"/>
      <c r="AEW100" s="958">
        <f t="shared" si="35"/>
        <v>1.7733333333333334</v>
      </c>
      <c r="AEX100" s="959"/>
      <c r="AEZ100" s="947"/>
      <c r="AFA100" s="947"/>
      <c r="AFB100" s="947"/>
      <c r="AFC100" s="947"/>
      <c r="AFD100" s="657">
        <v>116</v>
      </c>
      <c r="AFE100" s="956"/>
      <c r="AFF100" s="957"/>
      <c r="AFG100" s="958">
        <f t="shared" si="36"/>
        <v>3.6733333333333338</v>
      </c>
      <c r="AFH100" s="959"/>
      <c r="AFJ100" s="947"/>
      <c r="AFK100" s="947"/>
      <c r="AFL100" s="947"/>
      <c r="AFM100" s="947"/>
      <c r="AFN100" s="657">
        <v>176</v>
      </c>
      <c r="AFO100" s="956"/>
      <c r="AFP100" s="957"/>
      <c r="AFQ100" s="958">
        <f t="shared" si="37"/>
        <v>5.5733333333333341</v>
      </c>
      <c r="AFR100" s="959"/>
      <c r="AFT100" s="947"/>
      <c r="AFU100" s="947"/>
      <c r="AFV100" s="947"/>
      <c r="AFW100" s="947"/>
      <c r="AFX100" s="657">
        <v>236</v>
      </c>
      <c r="AFY100" s="956"/>
      <c r="AFZ100" s="957"/>
      <c r="AGA100" s="958"/>
      <c r="AGB100" s="959"/>
      <c r="AGD100" s="947"/>
      <c r="AGE100" s="947"/>
      <c r="AGF100" s="947"/>
      <c r="AGG100" s="947"/>
      <c r="AGH100" s="656">
        <v>296</v>
      </c>
      <c r="AGI100" s="956"/>
      <c r="AGJ100" s="957"/>
      <c r="AGK100" s="958"/>
      <c r="AGL100" s="959"/>
      <c r="AIM100" s="827"/>
      <c r="AIN100" s="818"/>
      <c r="AIO100" s="818"/>
      <c r="AIP100" s="818"/>
      <c r="AIQ100" s="818"/>
      <c r="AIR100" s="818"/>
      <c r="AIS100" s="818"/>
      <c r="AIT100" s="818"/>
      <c r="AIU100" s="818"/>
      <c r="AIV100" s="818"/>
      <c r="AIW100" s="818"/>
      <c r="AIX100" s="818"/>
      <c r="AIY100" s="818"/>
      <c r="AIZ100" s="818"/>
      <c r="AJA100" s="765"/>
      <c r="AJB100" s="766"/>
      <c r="AJC100" s="1320"/>
      <c r="AJD100" s="1159"/>
      <c r="AJE100" s="715"/>
      <c r="AJF100" s="718"/>
      <c r="AJG100" s="719"/>
      <c r="AJH100" s="747"/>
    </row>
    <row r="101" spans="68:947" ht="48" customHeight="1" thickBot="1">
      <c r="BP101" s="144"/>
      <c r="BQ101" s="144"/>
      <c r="BR101" s="144"/>
      <c r="BS101" s="144"/>
      <c r="BT101" s="55"/>
      <c r="BX101" s="798"/>
      <c r="BY101" s="799"/>
      <c r="BZ101" s="800"/>
      <c r="CA101" s="827"/>
      <c r="CB101" s="734"/>
      <c r="CC101" s="735"/>
      <c r="CD101" s="735"/>
      <c r="CE101" s="735"/>
      <c r="CF101" s="735"/>
      <c r="CG101" s="735"/>
      <c r="CH101" s="735"/>
      <c r="CI101" s="735"/>
      <c r="CJ101" s="735"/>
      <c r="CK101" s="735"/>
      <c r="CL101" s="735"/>
      <c r="CM101" s="735"/>
      <c r="CN101" s="736"/>
      <c r="CO101" s="789"/>
      <c r="CP101" s="790"/>
      <c r="CQ101" s="791"/>
      <c r="CR101" s="761"/>
      <c r="CS101" s="762"/>
      <c r="CT101" s="713"/>
      <c r="CU101" s="954"/>
      <c r="CV101" s="955"/>
      <c r="CW101" s="747"/>
      <c r="DD101" s="144"/>
      <c r="DE101" s="144"/>
      <c r="DF101" s="144"/>
      <c r="DG101" s="144"/>
      <c r="DH101" s="144"/>
      <c r="DI101" s="144"/>
      <c r="DJ101" s="144"/>
      <c r="DK101" s="144"/>
      <c r="DL101" s="144"/>
      <c r="DM101" s="144"/>
      <c r="DN101" s="144"/>
      <c r="GF101" s="767"/>
      <c r="GG101" s="863" t="s">
        <v>1219</v>
      </c>
      <c r="GH101" s="863"/>
      <c r="GI101" s="863"/>
      <c r="GJ101" s="833">
        <f>$IH$96</f>
        <v>4.5999999999999996</v>
      </c>
      <c r="GK101" s="833"/>
      <c r="GL101" s="700" t="s">
        <v>62</v>
      </c>
      <c r="GM101" s="701"/>
      <c r="GN101" s="701"/>
      <c r="GO101" s="701"/>
      <c r="GP101" s="701"/>
      <c r="GQ101" s="701"/>
      <c r="GR101" s="701"/>
      <c r="GS101" s="702"/>
      <c r="GT101" s="1361">
        <f>GW77+GW73+IH88/2+IH96+IH92/2</f>
        <v>10.65</v>
      </c>
      <c r="GU101" s="1362"/>
      <c r="GV101" s="1203" t="s">
        <v>50</v>
      </c>
      <c r="GW101" s="1063"/>
      <c r="GX101" s="714"/>
      <c r="GY101" s="740" t="s">
        <v>1229</v>
      </c>
      <c r="GZ101" s="741"/>
      <c r="HA101" s="742"/>
      <c r="HB101" s="746"/>
      <c r="HC101" s="767"/>
      <c r="HD101" s="767"/>
      <c r="HE101" s="767"/>
      <c r="HF101" s="767"/>
      <c r="HG101" s="767"/>
      <c r="HH101" s="767"/>
      <c r="HI101" s="767"/>
      <c r="HJ101" s="767"/>
      <c r="HK101" s="767"/>
      <c r="HL101" s="767"/>
      <c r="HM101" s="767"/>
      <c r="HN101" s="767"/>
      <c r="HO101" s="767"/>
      <c r="IR101" s="827"/>
      <c r="IS101" s="706"/>
      <c r="IT101" s="707"/>
      <c r="IU101" s="707"/>
      <c r="IV101" s="707"/>
      <c r="IW101" s="707"/>
      <c r="IX101" s="707"/>
      <c r="IY101" s="707"/>
      <c r="IZ101" s="707"/>
      <c r="JA101" s="707"/>
      <c r="JB101" s="707"/>
      <c r="JC101" s="707"/>
      <c r="JD101" s="707"/>
      <c r="JE101" s="708"/>
      <c r="JF101" s="754"/>
      <c r="JG101" s="755"/>
      <c r="JH101" s="761"/>
      <c r="JI101" s="762"/>
      <c r="JJ101" s="715"/>
      <c r="JK101" s="743"/>
      <c r="JL101" s="745"/>
      <c r="JM101" s="747"/>
      <c r="JN101" s="1112"/>
      <c r="JO101" s="1113"/>
      <c r="JP101" s="1114"/>
      <c r="LO101" s="144"/>
      <c r="LP101" s="144"/>
      <c r="LQ101" s="144"/>
      <c r="LR101" s="144"/>
      <c r="LS101" s="144"/>
      <c r="LT101" s="144"/>
      <c r="LU101" s="144"/>
      <c r="LV101" s="144"/>
      <c r="LW101" s="144"/>
      <c r="LZ101" s="826"/>
      <c r="MA101" s="863" t="s">
        <v>474</v>
      </c>
      <c r="MB101" s="863"/>
      <c r="MC101" s="677">
        <f>$AW$12</f>
        <v>1</v>
      </c>
      <c r="MD101" s="677"/>
      <c r="ME101" s="1273"/>
      <c r="MF101" s="1274"/>
      <c r="MG101" s="1274"/>
      <c r="MH101" s="1274"/>
      <c r="MI101" s="1271"/>
      <c r="MJ101" s="840"/>
      <c r="MK101" s="840"/>
      <c r="ML101" s="840"/>
      <c r="MM101" s="840"/>
      <c r="MN101" s="840"/>
      <c r="MO101" s="840"/>
      <c r="MP101" s="840"/>
      <c r="MQ101" s="840"/>
      <c r="MR101" s="840"/>
      <c r="MS101" s="840"/>
      <c r="MT101" s="840"/>
      <c r="MU101" s="920"/>
      <c r="MX101" s="144"/>
      <c r="MY101" s="144"/>
      <c r="MZ101" s="144"/>
      <c r="NA101" s="144"/>
      <c r="NB101" s="144"/>
      <c r="NG101" s="144"/>
      <c r="NH101" s="144"/>
      <c r="NI101" s="144"/>
      <c r="NJ101" s="144"/>
      <c r="NK101" s="144"/>
      <c r="NL101" s="144"/>
      <c r="NM101" s="144"/>
      <c r="NN101" s="144"/>
      <c r="NO101" s="144"/>
      <c r="PJ101" s="827"/>
      <c r="PK101" s="1646" t="s">
        <v>1224</v>
      </c>
      <c r="PL101" s="1647"/>
      <c r="PM101" s="1648"/>
      <c r="PN101" s="1534">
        <f>$CO$28</f>
        <v>33</v>
      </c>
      <c r="PO101" s="1534"/>
      <c r="PP101" s="943"/>
      <c r="PQ101" s="944"/>
      <c r="PR101" s="944"/>
      <c r="PS101" s="944"/>
      <c r="PT101" s="944"/>
      <c r="PU101" s="944"/>
      <c r="PV101" s="944"/>
      <c r="PW101" s="1004"/>
      <c r="PX101" s="1012"/>
      <c r="PY101" s="1013"/>
      <c r="PZ101" s="1013"/>
      <c r="QA101" s="1013"/>
      <c r="QB101" s="1013"/>
      <c r="QC101" s="1013"/>
      <c r="QD101" s="1013"/>
      <c r="QE101" s="1013"/>
      <c r="QF101" s="1014"/>
      <c r="QG101" s="892"/>
      <c r="QH101" s="893"/>
      <c r="QI101" s="893"/>
      <c r="QJ101" s="893"/>
      <c r="QK101" s="893"/>
      <c r="QL101" s="893"/>
      <c r="QM101" s="893"/>
      <c r="QN101" s="893"/>
      <c r="QO101" s="893"/>
      <c r="QP101" s="893"/>
      <c r="QQ101" s="893"/>
      <c r="QR101" s="894"/>
      <c r="QS101" s="144"/>
      <c r="QT101" s="144"/>
      <c r="QU101" s="144"/>
      <c r="RC101" s="369">
        <v>83</v>
      </c>
      <c r="RD101" s="668">
        <v>8.3000000000000004E-2</v>
      </c>
      <c r="RE101" s="669"/>
      <c r="RF101" s="670">
        <f t="shared" si="81"/>
        <v>8.205201562057777</v>
      </c>
      <c r="RG101" s="670"/>
      <c r="RH101" s="670"/>
      <c r="RI101" s="670"/>
      <c r="RJ101" s="698">
        <f t="shared" si="69"/>
        <v>30</v>
      </c>
      <c r="RK101" s="699"/>
      <c r="RL101" s="726"/>
      <c r="RM101" s="670">
        <f t="shared" si="70"/>
        <v>8.3937027322742228</v>
      </c>
      <c r="RN101" s="670"/>
      <c r="RO101" s="670"/>
      <c r="RP101" s="670"/>
      <c r="RQ101" s="670"/>
      <c r="RR101" s="670"/>
      <c r="RS101" s="671">
        <f t="shared" si="64"/>
        <v>1.560804663639157</v>
      </c>
      <c r="RT101" s="671"/>
      <c r="RU101" s="671"/>
      <c r="RV101" s="671"/>
      <c r="RW101" s="671"/>
      <c r="RX101" s="671"/>
      <c r="RY101" s="681">
        <f t="shared" si="71"/>
        <v>8.5375849486740396</v>
      </c>
      <c r="RZ101" s="681"/>
      <c r="SA101" s="681"/>
      <c r="SB101" s="681"/>
      <c r="SC101" s="681">
        <f>'Вывод расчетов'!$AQ$6/RY101</f>
        <v>44.509073969333365</v>
      </c>
      <c r="SD101" s="681"/>
      <c r="SE101" s="681"/>
      <c r="SF101" s="681"/>
      <c r="SG101" s="867">
        <f t="shared" si="72"/>
        <v>0.98314719944049722</v>
      </c>
      <c r="SH101" s="867"/>
      <c r="SI101" s="867"/>
      <c r="SJ101" s="867"/>
      <c r="SK101" s="865">
        <f t="shared" si="73"/>
        <v>0.18281571111998873</v>
      </c>
      <c r="SL101" s="865"/>
      <c r="SM101" s="865"/>
      <c r="SN101" s="865"/>
      <c r="SO101" s="692">
        <f t="shared" si="80"/>
        <v>44.109293863771278</v>
      </c>
      <c r="SP101" s="693"/>
      <c r="SQ101" s="693"/>
      <c r="SR101" s="693"/>
      <c r="SS101" s="694"/>
      <c r="ST101" s="668">
        <f t="shared" si="78"/>
        <v>19.119034770991853</v>
      </c>
      <c r="SU101" s="678"/>
      <c r="SV101" s="678"/>
      <c r="SW101" s="678"/>
      <c r="SX101" s="678"/>
      <c r="SY101" s="669"/>
      <c r="SZ101" s="682">
        <f t="shared" si="74"/>
        <v>48.074601358044831</v>
      </c>
      <c r="TA101" s="683"/>
      <c r="TB101" s="683"/>
      <c r="TC101" s="683"/>
      <c r="TD101" s="683"/>
      <c r="TE101" s="684"/>
      <c r="TF101" s="682">
        <f>'Вывод расчетов'!$XC$174*SC101</f>
        <v>45.217908489080713</v>
      </c>
      <c r="TG101" s="683"/>
      <c r="TH101" s="684"/>
      <c r="TI101" s="681">
        <f t="shared" si="79"/>
        <v>50.284595004699256</v>
      </c>
      <c r="TJ101" s="681"/>
      <c r="TK101" s="681"/>
      <c r="TL101" s="681"/>
      <c r="TM101" s="685">
        <f t="shared" si="75"/>
        <v>1.2864851481103678</v>
      </c>
      <c r="TN101" s="686"/>
      <c r="TO101" s="686"/>
      <c r="TP101" s="687"/>
      <c r="TQ101" s="688">
        <f t="shared" si="76"/>
        <v>4.0474893856401097</v>
      </c>
      <c r="TR101" s="688"/>
      <c r="TS101" s="688"/>
      <c r="TT101" s="688"/>
      <c r="TU101" s="689">
        <f t="shared" si="77"/>
        <v>0.36493655163075894</v>
      </c>
      <c r="TV101" s="690"/>
      <c r="TW101" s="690"/>
      <c r="TX101" s="690"/>
      <c r="TY101" s="690"/>
      <c r="TZ101" s="691"/>
      <c r="UA101" s="679">
        <v>8.3000000000000004E-2</v>
      </c>
      <c r="UB101" s="680"/>
      <c r="UC101" s="650">
        <v>0.83</v>
      </c>
      <c r="UD101" s="866">
        <f t="shared" si="65"/>
        <v>6.5791979012086506</v>
      </c>
      <c r="UE101" s="866"/>
      <c r="UF101" s="866"/>
      <c r="UG101" s="866"/>
      <c r="UH101" s="866"/>
      <c r="UI101" s="866"/>
      <c r="UJ101" s="866"/>
      <c r="UK101" s="681">
        <f t="shared" si="66"/>
        <v>43.705397103490604</v>
      </c>
      <c r="UL101" s="681"/>
      <c r="UM101" s="681"/>
      <c r="UN101" s="681"/>
      <c r="UO101" s="816">
        <f t="shared" si="67"/>
        <v>0.86916076582512392</v>
      </c>
      <c r="UP101" s="816"/>
      <c r="UQ101" s="816"/>
      <c r="UR101" s="816"/>
      <c r="US101" s="866">
        <f t="shared" si="68"/>
        <v>0.91751762090045919</v>
      </c>
      <c r="UT101" s="866"/>
      <c r="UU101" s="866"/>
      <c r="UV101" s="866"/>
      <c r="UW101" s="866"/>
      <c r="XO101" s="827"/>
      <c r="XP101" s="949" t="s">
        <v>1480</v>
      </c>
      <c r="XQ101" s="962"/>
      <c r="XR101" s="672">
        <f>$YF$104</f>
        <v>0.85</v>
      </c>
      <c r="XS101" s="672"/>
      <c r="XT101" s="943"/>
      <c r="XU101" s="944"/>
      <c r="XV101" s="944"/>
      <c r="XW101" s="944"/>
      <c r="XX101" s="944"/>
      <c r="XY101" s="944"/>
      <c r="XZ101" s="944"/>
      <c r="YA101" s="944"/>
      <c r="YB101" s="1004"/>
      <c r="YC101" s="765"/>
      <c r="YD101" s="766"/>
      <c r="YE101" s="851"/>
      <c r="YF101" s="852"/>
      <c r="YG101" s="979"/>
      <c r="YH101" s="1110"/>
      <c r="YI101" s="1110"/>
      <c r="YJ101" s="1110"/>
      <c r="YK101" s="1086"/>
      <c r="YL101" s="768"/>
      <c r="YM101" s="768"/>
      <c r="YN101" s="768"/>
      <c r="YO101" s="768"/>
      <c r="YP101" s="768"/>
      <c r="YQ101" s="768"/>
      <c r="YR101" s="768"/>
      <c r="AAD101" s="947"/>
      <c r="AAE101" s="947"/>
      <c r="AAF101" s="947"/>
      <c r="AAG101" s="947"/>
      <c r="AAH101" s="535">
        <v>28</v>
      </c>
      <c r="AAI101" s="956"/>
      <c r="AAJ101" s="957"/>
      <c r="AAK101" s="958">
        <f t="shared" si="59"/>
        <v>0.37333333333333335</v>
      </c>
      <c r="AAL101" s="959"/>
      <c r="AAN101" s="947"/>
      <c r="AAO101" s="947"/>
      <c r="AAP101" s="947"/>
      <c r="AAQ101" s="947"/>
      <c r="AAR101" s="535">
        <v>88</v>
      </c>
      <c r="AAS101" s="956"/>
      <c r="AAT101" s="957"/>
      <c r="AAU101" s="958">
        <f t="shared" si="60"/>
        <v>1.1733333333333333</v>
      </c>
      <c r="AAV101" s="959"/>
      <c r="AAX101" s="947"/>
      <c r="AAY101" s="947"/>
      <c r="AAZ101" s="947"/>
      <c r="ABA101" s="947"/>
      <c r="ABB101" s="535">
        <v>148</v>
      </c>
      <c r="ABC101" s="956"/>
      <c r="ABD101" s="957"/>
      <c r="ABE101" s="958">
        <f t="shared" si="61"/>
        <v>1.9733333333333334</v>
      </c>
      <c r="ABF101" s="959"/>
      <c r="ABH101" s="947"/>
      <c r="ABI101" s="947"/>
      <c r="ABJ101" s="947"/>
      <c r="ABK101" s="947"/>
      <c r="ABL101" s="537">
        <v>208</v>
      </c>
      <c r="ABM101" s="956"/>
      <c r="ABN101" s="957"/>
      <c r="ABO101" s="958">
        <f t="shared" si="62"/>
        <v>2.7733333333333334</v>
      </c>
      <c r="ABP101" s="959"/>
      <c r="ABR101" s="947"/>
      <c r="ABS101" s="947"/>
      <c r="ABT101" s="947"/>
      <c r="ABU101" s="947"/>
      <c r="ABV101" s="537">
        <v>268</v>
      </c>
      <c r="ABW101" s="956"/>
      <c r="ABX101" s="957"/>
      <c r="ABY101" s="958">
        <f t="shared" si="63"/>
        <v>3.5733333333333337</v>
      </c>
      <c r="ABZ101" s="959"/>
      <c r="ACK101" s="144"/>
      <c r="ACL101" s="144"/>
      <c r="ACU101" s="144"/>
      <c r="ACV101" s="144"/>
      <c r="ACW101" s="144"/>
      <c r="ACX101" s="144"/>
      <c r="ACY101" s="144"/>
      <c r="ACZ101" s="144"/>
      <c r="ADB101" s="1033">
        <v>25</v>
      </c>
      <c r="ADC101" s="1033"/>
      <c r="ADD101" s="857"/>
      <c r="ADE101" s="1015"/>
      <c r="ADF101" s="1015"/>
      <c r="ADG101" s="1015"/>
      <c r="ADH101" s="1015"/>
      <c r="ADI101" s="858"/>
      <c r="ADJ101" s="1070" t="s">
        <v>762</v>
      </c>
      <c r="ADK101" s="1070"/>
      <c r="ADL101" s="1034"/>
      <c r="ADM101" s="1034"/>
      <c r="ADN101" s="1034"/>
      <c r="ADO101" s="1034"/>
      <c r="ADP101" s="1034"/>
      <c r="ADQ101" s="1034"/>
      <c r="ADR101" s="1034"/>
      <c r="ADS101" s="1034"/>
      <c r="ADT101" s="1034"/>
      <c r="ADU101" s="1034"/>
      <c r="ADV101" s="1034"/>
      <c r="ADW101" s="1034"/>
      <c r="ADX101" s="181"/>
      <c r="ADY101" s="182"/>
      <c r="ADZ101" s="182"/>
      <c r="AEA101" s="182"/>
      <c r="AEB101" s="182"/>
      <c r="AEC101" s="182"/>
      <c r="AED101" s="182"/>
      <c r="AEE101" s="185"/>
      <c r="AEF101" s="172"/>
      <c r="AEG101" s="172"/>
      <c r="AEH101" s="172"/>
      <c r="AEI101" s="172"/>
      <c r="AEJ101" s="172"/>
      <c r="AEK101" s="177"/>
      <c r="AEP101" s="947"/>
      <c r="AEQ101" s="947"/>
      <c r="AER101" s="947"/>
      <c r="AES101" s="947"/>
      <c r="AET101" s="657">
        <v>57</v>
      </c>
      <c r="AEU101" s="956"/>
      <c r="AEV101" s="957"/>
      <c r="AEW101" s="958">
        <f t="shared" si="35"/>
        <v>1.8050000000000002</v>
      </c>
      <c r="AEX101" s="959"/>
      <c r="AEZ101" s="947"/>
      <c r="AFA101" s="947"/>
      <c r="AFB101" s="947"/>
      <c r="AFC101" s="947"/>
      <c r="AFD101" s="657">
        <v>117</v>
      </c>
      <c r="AFE101" s="956"/>
      <c r="AFF101" s="957"/>
      <c r="AFG101" s="958">
        <f t="shared" si="36"/>
        <v>3.7050000000000005</v>
      </c>
      <c r="AFH101" s="959"/>
      <c r="AFJ101" s="947"/>
      <c r="AFK101" s="947"/>
      <c r="AFL101" s="947"/>
      <c r="AFM101" s="947"/>
      <c r="AFN101" s="657">
        <v>177</v>
      </c>
      <c r="AFO101" s="956"/>
      <c r="AFP101" s="957"/>
      <c r="AFQ101" s="958">
        <f t="shared" si="37"/>
        <v>5.6050000000000004</v>
      </c>
      <c r="AFR101" s="959"/>
      <c r="AFT101" s="947"/>
      <c r="AFU101" s="947"/>
      <c r="AFV101" s="947"/>
      <c r="AFW101" s="947"/>
      <c r="AFX101" s="657">
        <v>237</v>
      </c>
      <c r="AFY101" s="956"/>
      <c r="AFZ101" s="957"/>
      <c r="AGA101" s="958"/>
      <c r="AGB101" s="959"/>
      <c r="AGD101" s="947"/>
      <c r="AGE101" s="947"/>
      <c r="AGF101" s="947"/>
      <c r="AGG101" s="947"/>
      <c r="AGH101" s="656">
        <v>297</v>
      </c>
      <c r="AGI101" s="956"/>
      <c r="AGJ101" s="957"/>
      <c r="AGK101" s="958"/>
      <c r="AGL101" s="959"/>
    </row>
    <row r="102" spans="68:947" ht="48" customHeight="1" thickBot="1">
      <c r="BP102" s="144"/>
      <c r="BQ102" s="144"/>
      <c r="BR102" s="144"/>
      <c r="BS102" s="144"/>
      <c r="BT102" s="55"/>
      <c r="DE102" s="144"/>
      <c r="DF102" s="144"/>
      <c r="DG102" s="144"/>
      <c r="DH102" s="144"/>
      <c r="DI102" s="144"/>
      <c r="DJ102" s="144"/>
      <c r="DK102" s="144"/>
      <c r="DL102" s="144"/>
      <c r="DM102" s="144"/>
      <c r="DZ102" s="777" t="s">
        <v>752</v>
      </c>
      <c r="EA102" s="778"/>
      <c r="EB102" s="779"/>
      <c r="EC102" s="85" t="s">
        <v>839</v>
      </c>
      <c r="ED102" s="665" t="s">
        <v>442</v>
      </c>
      <c r="EE102" s="666"/>
      <c r="EF102" s="239"/>
      <c r="EG102" s="87"/>
      <c r="EH102" s="87"/>
      <c r="EI102" s="87"/>
      <c r="EJ102" s="87"/>
      <c r="EK102" s="87"/>
      <c r="EL102" s="87"/>
      <c r="EM102" s="239"/>
      <c r="EN102" s="85" t="s">
        <v>467</v>
      </c>
      <c r="EO102" s="757" t="s">
        <v>461</v>
      </c>
      <c r="EP102" s="758"/>
      <c r="EQ102" s="819" t="s">
        <v>126</v>
      </c>
      <c r="ER102" s="820"/>
      <c r="ES102" s="675" t="s">
        <v>731</v>
      </c>
      <c r="ET102" s="676"/>
      <c r="EU102" s="769" t="s">
        <v>473</v>
      </c>
      <c r="EV102" s="769"/>
      <c r="EW102" s="769"/>
      <c r="EX102" s="769"/>
      <c r="EY102" s="769"/>
      <c r="GC102" s="6"/>
      <c r="GD102" s="3"/>
      <c r="GE102" s="3"/>
      <c r="GF102" s="767"/>
      <c r="GG102" s="863" t="s">
        <v>1191</v>
      </c>
      <c r="GH102" s="863"/>
      <c r="GI102" s="863"/>
      <c r="GJ102" s="677">
        <f>$GW$73</f>
        <v>0.5</v>
      </c>
      <c r="GK102" s="677"/>
      <c r="GL102" s="703"/>
      <c r="GM102" s="704"/>
      <c r="GN102" s="704"/>
      <c r="GO102" s="704"/>
      <c r="GP102" s="704"/>
      <c r="GQ102" s="704"/>
      <c r="GR102" s="704"/>
      <c r="GS102" s="705"/>
      <c r="GT102" s="1363"/>
      <c r="GU102" s="1364"/>
      <c r="GV102" s="1204"/>
      <c r="GW102" s="1065"/>
      <c r="GX102" s="715"/>
      <c r="GY102" s="743"/>
      <c r="GZ102" s="744"/>
      <c r="HA102" s="745"/>
      <c r="HB102" s="747"/>
      <c r="HC102" s="767"/>
      <c r="HD102" s="767"/>
      <c r="HE102" s="767"/>
      <c r="HF102" s="767"/>
      <c r="HG102" s="767"/>
      <c r="HH102" s="767"/>
      <c r="HI102" s="767"/>
      <c r="HJ102" s="767"/>
      <c r="HK102" s="767"/>
      <c r="HL102" s="767"/>
      <c r="HM102" s="767"/>
      <c r="HN102" s="767"/>
      <c r="HO102" s="767"/>
      <c r="LO102" s="144"/>
      <c r="LP102" s="144"/>
      <c r="LQ102" s="144"/>
      <c r="LR102" s="144"/>
      <c r="LS102" s="144"/>
      <c r="LT102" s="144"/>
      <c r="LU102" s="144"/>
      <c r="LV102" s="144"/>
      <c r="LW102" s="144"/>
      <c r="LZ102" s="827"/>
      <c r="MA102" s="949" t="s">
        <v>1372</v>
      </c>
      <c r="MB102" s="962"/>
      <c r="MC102" s="738">
        <f>$CL$36</f>
        <v>5.5</v>
      </c>
      <c r="MD102" s="738"/>
      <c r="ME102" s="1153"/>
      <c r="MF102" s="1154"/>
      <c r="MG102" s="1154"/>
      <c r="MH102" s="1154"/>
      <c r="MI102" s="1272"/>
      <c r="MJ102" s="893"/>
      <c r="MK102" s="893"/>
      <c r="ML102" s="893"/>
      <c r="MM102" s="893"/>
      <c r="MN102" s="893"/>
      <c r="MO102" s="893"/>
      <c r="MP102" s="893"/>
      <c r="MQ102" s="893"/>
      <c r="MR102" s="893"/>
      <c r="MS102" s="893"/>
      <c r="MT102" s="893"/>
      <c r="MU102" s="894"/>
      <c r="MY102" s="144"/>
      <c r="MZ102" s="144"/>
      <c r="NA102" s="144"/>
      <c r="NB102" s="144"/>
      <c r="NC102" s="144"/>
      <c r="ND102" s="144"/>
      <c r="NE102" s="144"/>
      <c r="NF102" s="144"/>
      <c r="NG102" s="144"/>
      <c r="NH102" s="144"/>
      <c r="NI102" s="144"/>
      <c r="NJ102" s="144"/>
      <c r="NK102" s="144"/>
      <c r="NL102" s="144"/>
      <c r="NM102" s="144"/>
      <c r="NN102" s="144"/>
      <c r="NO102" s="144"/>
      <c r="QR102" s="144"/>
      <c r="QS102" s="144"/>
      <c r="QT102" s="144"/>
      <c r="QU102" s="144"/>
      <c r="RC102" s="369">
        <v>84</v>
      </c>
      <c r="RD102" s="668">
        <v>8.4000000000000005E-2</v>
      </c>
      <c r="RE102" s="669"/>
      <c r="RF102" s="670">
        <f t="shared" si="81"/>
        <v>8.107520591080899</v>
      </c>
      <c r="RG102" s="670"/>
      <c r="RH102" s="670"/>
      <c r="RI102" s="670"/>
      <c r="RJ102" s="698">
        <f t="shared" si="69"/>
        <v>30</v>
      </c>
      <c r="RK102" s="699"/>
      <c r="RL102" s="726"/>
      <c r="RM102" s="670">
        <f t="shared" si="70"/>
        <v>8.2960217612973448</v>
      </c>
      <c r="RN102" s="670"/>
      <c r="RO102" s="670"/>
      <c r="RP102" s="670"/>
      <c r="RQ102" s="670"/>
      <c r="RR102" s="670"/>
      <c r="RS102" s="671">
        <f t="shared" si="64"/>
        <v>1.560804663639157</v>
      </c>
      <c r="RT102" s="671"/>
      <c r="RU102" s="671"/>
      <c r="RV102" s="671"/>
      <c r="RW102" s="671"/>
      <c r="RX102" s="671"/>
      <c r="RY102" s="681">
        <f t="shared" si="71"/>
        <v>8.4415690639807508</v>
      </c>
      <c r="RZ102" s="681"/>
      <c r="SA102" s="681"/>
      <c r="SB102" s="681"/>
      <c r="SC102" s="681">
        <f>'Вывод расчетов'!$AQ$6/RY102</f>
        <v>45.015327970414681</v>
      </c>
      <c r="SD102" s="681"/>
      <c r="SE102" s="681"/>
      <c r="SF102" s="681"/>
      <c r="SG102" s="867">
        <f t="shared" si="72"/>
        <v>0.98275826430130864</v>
      </c>
      <c r="SH102" s="867"/>
      <c r="SI102" s="867"/>
      <c r="SJ102" s="867"/>
      <c r="SK102" s="865">
        <f t="shared" si="73"/>
        <v>0.1848950890301827</v>
      </c>
      <c r="SL102" s="865"/>
      <c r="SM102" s="865"/>
      <c r="SN102" s="865"/>
      <c r="SO102" s="692">
        <f t="shared" si="80"/>
        <v>44.589508024290133</v>
      </c>
      <c r="SP102" s="693"/>
      <c r="SQ102" s="693"/>
      <c r="SR102" s="693"/>
      <c r="SS102" s="694"/>
      <c r="ST102" s="668">
        <f t="shared" si="78"/>
        <v>19.30518983480869</v>
      </c>
      <c r="SU102" s="678"/>
      <c r="SV102" s="678"/>
      <c r="SW102" s="678"/>
      <c r="SX102" s="678"/>
      <c r="SY102" s="669"/>
      <c r="SZ102" s="682">
        <f t="shared" si="74"/>
        <v>48.589243464024371</v>
      </c>
      <c r="TA102" s="683"/>
      <c r="TB102" s="683"/>
      <c r="TC102" s="683"/>
      <c r="TD102" s="683"/>
      <c r="TE102" s="684"/>
      <c r="TF102" s="682">
        <f>'Вывод расчетов'!$XC$174*SC102</f>
        <v>45.732224898109983</v>
      </c>
      <c r="TG102" s="683"/>
      <c r="TH102" s="684"/>
      <c r="TI102" s="681">
        <f t="shared" si="79"/>
        <v>50.83203914769075</v>
      </c>
      <c r="TJ102" s="681"/>
      <c r="TK102" s="681"/>
      <c r="TL102" s="681"/>
      <c r="TM102" s="685">
        <f t="shared" si="75"/>
        <v>1.3141764117443602</v>
      </c>
      <c r="TN102" s="686"/>
      <c r="TO102" s="686"/>
      <c r="TP102" s="687"/>
      <c r="TQ102" s="688">
        <f t="shared" si="76"/>
        <v>4.1400867228819642</v>
      </c>
      <c r="TR102" s="688"/>
      <c r="TS102" s="688"/>
      <c r="TT102" s="688"/>
      <c r="TU102" s="689">
        <f t="shared" si="77"/>
        <v>0.37279171752655721</v>
      </c>
      <c r="TV102" s="690"/>
      <c r="TW102" s="690"/>
      <c r="TX102" s="690"/>
      <c r="TY102" s="690"/>
      <c r="TZ102" s="691"/>
      <c r="UA102" s="756">
        <v>8.4000000000000005E-2</v>
      </c>
      <c r="UB102" s="756"/>
      <c r="UC102" s="650">
        <v>0.84</v>
      </c>
      <c r="UD102" s="866">
        <f t="shared" si="65"/>
        <v>6.7073416679802955</v>
      </c>
      <c r="UE102" s="866"/>
      <c r="UF102" s="866"/>
      <c r="UG102" s="866"/>
      <c r="UH102" s="866"/>
      <c r="UI102" s="866"/>
      <c r="UJ102" s="866"/>
      <c r="UK102" s="681">
        <f t="shared" si="66"/>
        <v>44.124697479710456</v>
      </c>
      <c r="UL102" s="681"/>
      <c r="UM102" s="681"/>
      <c r="UN102" s="681"/>
      <c r="UO102" s="816">
        <f t="shared" si="67"/>
        <v>0.86804893566255836</v>
      </c>
      <c r="UP102" s="816"/>
      <c r="UQ102" s="816"/>
      <c r="UR102" s="816"/>
      <c r="US102" s="866">
        <f t="shared" si="68"/>
        <v>0.91768269776219802</v>
      </c>
      <c r="UT102" s="866"/>
      <c r="UU102" s="866"/>
      <c r="UV102" s="866"/>
      <c r="UW102" s="866"/>
      <c r="VN102" s="144"/>
      <c r="VO102" s="144"/>
      <c r="VP102" s="144"/>
      <c r="VQ102" s="144"/>
      <c r="VR102" s="144"/>
      <c r="VS102" s="144"/>
      <c r="VT102" s="144"/>
      <c r="VU102" s="144"/>
      <c r="VV102" s="144"/>
      <c r="VW102" s="144"/>
      <c r="VX102" s="144"/>
      <c r="AAD102" s="947"/>
      <c r="AAE102" s="947"/>
      <c r="AAF102" s="947"/>
      <c r="AAG102" s="947"/>
      <c r="AAH102" s="535">
        <v>29</v>
      </c>
      <c r="AAI102" s="956"/>
      <c r="AAJ102" s="957"/>
      <c r="AAK102" s="958">
        <f t="shared" si="59"/>
        <v>0.38666666666666671</v>
      </c>
      <c r="AAL102" s="959"/>
      <c r="AAN102" s="947"/>
      <c r="AAO102" s="947"/>
      <c r="AAP102" s="947"/>
      <c r="AAQ102" s="947"/>
      <c r="AAR102" s="535">
        <v>89</v>
      </c>
      <c r="AAS102" s="956"/>
      <c r="AAT102" s="957"/>
      <c r="AAU102" s="958">
        <f t="shared" si="60"/>
        <v>1.1866666666666668</v>
      </c>
      <c r="AAV102" s="959"/>
      <c r="AAX102" s="947"/>
      <c r="AAY102" s="947"/>
      <c r="AAZ102" s="947"/>
      <c r="ABA102" s="947"/>
      <c r="ABB102" s="535">
        <v>149</v>
      </c>
      <c r="ABC102" s="956"/>
      <c r="ABD102" s="957"/>
      <c r="ABE102" s="958">
        <f t="shared" si="61"/>
        <v>1.9866666666666668</v>
      </c>
      <c r="ABF102" s="959"/>
      <c r="ABH102" s="947"/>
      <c r="ABI102" s="947"/>
      <c r="ABJ102" s="947"/>
      <c r="ABK102" s="947"/>
      <c r="ABL102" s="537">
        <v>209</v>
      </c>
      <c r="ABM102" s="956"/>
      <c r="ABN102" s="957"/>
      <c r="ABO102" s="958">
        <f t="shared" si="62"/>
        <v>2.7866666666666666</v>
      </c>
      <c r="ABP102" s="959"/>
      <c r="ABR102" s="947"/>
      <c r="ABS102" s="947"/>
      <c r="ABT102" s="947"/>
      <c r="ABU102" s="947"/>
      <c r="ABV102" s="537">
        <v>269</v>
      </c>
      <c r="ABW102" s="956"/>
      <c r="ABX102" s="957"/>
      <c r="ABY102" s="958">
        <f t="shared" si="63"/>
        <v>3.5866666666666669</v>
      </c>
      <c r="ABZ102" s="959"/>
      <c r="ACK102" s="144"/>
      <c r="ACL102" s="144"/>
      <c r="ACU102" s="144"/>
      <c r="ACV102" s="144"/>
      <c r="ACW102" s="144"/>
      <c r="ACX102" s="144"/>
      <c r="ACY102" s="144"/>
      <c r="ACZ102" s="144"/>
      <c r="ADB102" s="1033"/>
      <c r="ADC102" s="1033"/>
      <c r="ADD102" s="861"/>
      <c r="ADE102" s="1017"/>
      <c r="ADF102" s="1017"/>
      <c r="ADG102" s="1017"/>
      <c r="ADH102" s="1017"/>
      <c r="ADI102" s="862"/>
      <c r="ADJ102" s="1070"/>
      <c r="ADK102" s="1070"/>
      <c r="ADL102" s="1034"/>
      <c r="ADM102" s="1034"/>
      <c r="ADN102" s="1034"/>
      <c r="ADO102" s="1034"/>
      <c r="ADP102" s="1034"/>
      <c r="ADQ102" s="1034"/>
      <c r="ADR102" s="1034"/>
      <c r="ADS102" s="1034"/>
      <c r="ADT102" s="1034"/>
      <c r="ADU102" s="1034"/>
      <c r="ADV102" s="1034"/>
      <c r="ADW102" s="1034"/>
      <c r="ADX102" s="183"/>
      <c r="ADY102" s="184"/>
      <c r="ADZ102" s="184"/>
      <c r="AEA102" s="184"/>
      <c r="AEB102" s="184"/>
      <c r="AEC102" s="184"/>
      <c r="AED102" s="184"/>
      <c r="AEE102" s="186"/>
      <c r="AEF102" s="172"/>
      <c r="AEG102" s="172"/>
      <c r="AEH102" s="172"/>
      <c r="AEI102" s="172"/>
      <c r="AEJ102" s="172"/>
      <c r="AEK102" s="177"/>
      <c r="AEP102" s="947"/>
      <c r="AEQ102" s="947"/>
      <c r="AER102" s="947"/>
      <c r="AES102" s="947"/>
      <c r="AET102" s="657">
        <v>58</v>
      </c>
      <c r="AEU102" s="956"/>
      <c r="AEV102" s="957"/>
      <c r="AEW102" s="958">
        <f t="shared" si="35"/>
        <v>1.8366666666666669</v>
      </c>
      <c r="AEX102" s="959"/>
      <c r="AEZ102" s="947"/>
      <c r="AFA102" s="947"/>
      <c r="AFB102" s="947"/>
      <c r="AFC102" s="947"/>
      <c r="AFD102" s="657">
        <v>118</v>
      </c>
      <c r="AFE102" s="956"/>
      <c r="AFF102" s="957"/>
      <c r="AFG102" s="958">
        <f t="shared" si="36"/>
        <v>3.7366666666666668</v>
      </c>
      <c r="AFH102" s="959"/>
      <c r="AFJ102" s="947"/>
      <c r="AFK102" s="947"/>
      <c r="AFL102" s="947"/>
      <c r="AFM102" s="947"/>
      <c r="AFN102" s="657">
        <v>178</v>
      </c>
      <c r="AFO102" s="956"/>
      <c r="AFP102" s="957"/>
      <c r="AFQ102" s="958">
        <f t="shared" si="37"/>
        <v>5.6366666666666667</v>
      </c>
      <c r="AFR102" s="959"/>
      <c r="AFT102" s="947"/>
      <c r="AFU102" s="947"/>
      <c r="AFV102" s="947"/>
      <c r="AFW102" s="947"/>
      <c r="AFX102" s="657">
        <v>238</v>
      </c>
      <c r="AFY102" s="956"/>
      <c r="AFZ102" s="957"/>
      <c r="AGA102" s="958"/>
      <c r="AGB102" s="959"/>
      <c r="AGD102" s="947"/>
      <c r="AGE102" s="947"/>
      <c r="AGF102" s="947"/>
      <c r="AGG102" s="947"/>
      <c r="AGH102" s="656">
        <v>298</v>
      </c>
      <c r="AGI102" s="956"/>
      <c r="AGJ102" s="957"/>
      <c r="AGK102" s="958"/>
      <c r="AGL102" s="959"/>
      <c r="AIM102" s="825"/>
      <c r="AIN102" s="665" t="s">
        <v>442</v>
      </c>
      <c r="AIO102" s="666"/>
      <c r="AIP102" s="156"/>
      <c r="AIQ102" s="87"/>
      <c r="AIR102" s="87"/>
      <c r="AIS102" s="87"/>
      <c r="AIT102" s="87"/>
      <c r="AIU102" s="87"/>
      <c r="AIV102" s="87"/>
      <c r="AIW102" s="156"/>
      <c r="AIX102" s="85" t="s">
        <v>467</v>
      </c>
      <c r="AIY102" s="757" t="s">
        <v>461</v>
      </c>
      <c r="AIZ102" s="899"/>
      <c r="AJA102" s="1130" t="s">
        <v>126</v>
      </c>
      <c r="AJB102" s="1131"/>
      <c r="AJC102" s="675" t="s">
        <v>731</v>
      </c>
      <c r="AJD102" s="676"/>
      <c r="AJE102" s="821" t="s">
        <v>473</v>
      </c>
      <c r="AJF102" s="822"/>
      <c r="AJG102" s="822"/>
      <c r="AJH102" s="823"/>
    </row>
    <row r="103" spans="68:947" ht="48" customHeight="1" thickBot="1">
      <c r="BP103" s="144"/>
      <c r="BQ103" s="144"/>
      <c r="BR103" s="144"/>
      <c r="BS103" s="144"/>
      <c r="BT103" s="55"/>
      <c r="BX103" s="767"/>
      <c r="BY103" s="665" t="s">
        <v>40</v>
      </c>
      <c r="BZ103" s="667"/>
      <c r="CA103" s="254"/>
      <c r="CB103" s="571" t="s">
        <v>1189</v>
      </c>
      <c r="CC103" s="698">
        <f>$CL$52</f>
        <v>32.488628979857047</v>
      </c>
      <c r="CD103" s="726"/>
      <c r="CE103" s="87"/>
      <c r="CF103" s="87"/>
      <c r="CG103" s="87"/>
      <c r="CH103" s="150"/>
      <c r="CI103" s="85" t="s">
        <v>467</v>
      </c>
      <c r="CJ103" s="757" t="s">
        <v>461</v>
      </c>
      <c r="CK103" s="758"/>
      <c r="CL103" s="819" t="s">
        <v>126</v>
      </c>
      <c r="CM103" s="820"/>
      <c r="CN103" s="675" t="s">
        <v>731</v>
      </c>
      <c r="CO103" s="676"/>
      <c r="CP103" s="821" t="s">
        <v>810</v>
      </c>
      <c r="CQ103" s="822"/>
      <c r="CR103" s="822"/>
      <c r="CS103" s="822"/>
      <c r="CT103" s="822"/>
      <c r="CU103" s="821" t="s">
        <v>811</v>
      </c>
      <c r="CV103" s="822"/>
      <c r="CW103" s="822"/>
      <c r="CX103" s="822"/>
      <c r="CY103" s="823"/>
      <c r="CZ103" s="821" t="s">
        <v>462</v>
      </c>
      <c r="DA103" s="822"/>
      <c r="DB103" s="822"/>
      <c r="DC103" s="823"/>
      <c r="DE103" s="144"/>
      <c r="DF103" s="144"/>
      <c r="DG103" s="144"/>
      <c r="DH103" s="144"/>
      <c r="DI103" s="144"/>
      <c r="DJ103" s="144"/>
      <c r="DK103" s="144"/>
      <c r="DL103" s="144"/>
      <c r="DM103" s="144"/>
      <c r="DZ103" s="780"/>
      <c r="EA103" s="781"/>
      <c r="EB103" s="782"/>
      <c r="EC103" s="214" t="s">
        <v>899</v>
      </c>
      <c r="ED103" s="770" t="s">
        <v>1208</v>
      </c>
      <c r="EE103" s="770"/>
      <c r="EF103" s="770"/>
      <c r="EG103" s="770"/>
      <c r="EH103" s="770"/>
      <c r="EI103" s="770"/>
      <c r="EJ103" s="770"/>
      <c r="EK103" s="770"/>
      <c r="EL103" s="770"/>
      <c r="EM103" s="770"/>
      <c r="EN103" s="770"/>
      <c r="EO103" s="770"/>
      <c r="EP103" s="771"/>
      <c r="EQ103" s="748">
        <f>ROUND(EN99,1)</f>
        <v>14.4</v>
      </c>
      <c r="ER103" s="749"/>
      <c r="ES103" s="759" t="s">
        <v>50</v>
      </c>
      <c r="ET103" s="760"/>
      <c r="EU103" s="712"/>
      <c r="EV103" s="740" t="s">
        <v>1080</v>
      </c>
      <c r="EW103" s="741"/>
      <c r="EX103" s="742"/>
      <c r="EY103" s="746"/>
      <c r="GF103" s="768"/>
      <c r="GG103" s="1372" t="s">
        <v>1192</v>
      </c>
      <c r="GH103" s="1372"/>
      <c r="GI103" s="1372"/>
      <c r="GJ103" s="672">
        <f>$GW$77</f>
        <v>1</v>
      </c>
      <c r="GK103" s="672"/>
      <c r="GL103" s="706"/>
      <c r="GM103" s="707"/>
      <c r="GN103" s="707"/>
      <c r="GO103" s="707"/>
      <c r="GP103" s="707"/>
      <c r="GQ103" s="707"/>
      <c r="GR103" s="707"/>
      <c r="GS103" s="708"/>
      <c r="GT103" s="1022"/>
      <c r="GU103" s="1023"/>
      <c r="GV103" s="1023"/>
      <c r="GW103" s="1023"/>
      <c r="GX103" s="1023"/>
      <c r="GY103" s="1023"/>
      <c r="GZ103" s="1023"/>
      <c r="HA103" s="1023"/>
      <c r="HB103" s="1024"/>
      <c r="HC103" s="768"/>
      <c r="HD103" s="768"/>
      <c r="HE103" s="768"/>
      <c r="HF103" s="768"/>
      <c r="HG103" s="768"/>
      <c r="HH103" s="768"/>
      <c r="HI103" s="768"/>
      <c r="HJ103" s="768"/>
      <c r="HK103" s="768"/>
      <c r="HL103" s="768"/>
      <c r="HM103" s="768"/>
      <c r="HN103" s="768"/>
      <c r="HO103" s="768"/>
      <c r="IT103" s="202"/>
      <c r="IU103" s="665" t="s">
        <v>881</v>
      </c>
      <c r="IV103" s="667"/>
      <c r="IW103" s="202"/>
      <c r="IX103" s="685" t="s">
        <v>72</v>
      </c>
      <c r="IY103" s="686"/>
      <c r="IZ103" s="686"/>
      <c r="JA103" s="686"/>
      <c r="JB103" s="686"/>
      <c r="JC103" s="686"/>
      <c r="JD103" s="686"/>
      <c r="JE103" s="686"/>
      <c r="JF103" s="686"/>
      <c r="JG103" s="686"/>
      <c r="JH103" s="687"/>
      <c r="JI103" s="202"/>
      <c r="LO103" s="144"/>
      <c r="LP103" s="144"/>
      <c r="LQ103" s="144"/>
      <c r="LR103" s="144"/>
      <c r="LS103" s="144"/>
      <c r="LT103" s="144"/>
      <c r="LU103" s="144"/>
      <c r="LV103" s="144"/>
      <c r="LW103" s="144"/>
      <c r="MY103" s="144"/>
      <c r="MZ103" s="144"/>
      <c r="NA103" s="144"/>
      <c r="NB103" s="144"/>
      <c r="NC103" s="144"/>
      <c r="ND103" s="144"/>
      <c r="NE103" s="144"/>
      <c r="NF103" s="144"/>
      <c r="NG103" s="144"/>
      <c r="NH103" s="144"/>
      <c r="NI103" s="144"/>
      <c r="NJ103" s="144"/>
      <c r="NK103" s="144"/>
      <c r="NL103" s="144"/>
      <c r="NM103" s="144"/>
      <c r="NN103" s="144"/>
      <c r="NO103" s="144"/>
      <c r="PJ103" s="825"/>
      <c r="PK103" s="695" t="s">
        <v>442</v>
      </c>
      <c r="PL103" s="695"/>
      <c r="PM103" s="510"/>
      <c r="PN103" s="87"/>
      <c r="PO103" s="87"/>
      <c r="PP103" s="87"/>
      <c r="PQ103" s="87"/>
      <c r="PR103" s="87"/>
      <c r="PS103" s="87"/>
      <c r="PT103" s="510"/>
      <c r="PU103" s="85" t="s">
        <v>467</v>
      </c>
      <c r="PV103" s="757" t="s">
        <v>461</v>
      </c>
      <c r="PW103" s="758"/>
      <c r="PX103" s="819" t="s">
        <v>126</v>
      </c>
      <c r="PY103" s="820"/>
      <c r="PZ103" s="675" t="s">
        <v>731</v>
      </c>
      <c r="QA103" s="676"/>
      <c r="QB103" s="821" t="s">
        <v>473</v>
      </c>
      <c r="QC103" s="822"/>
      <c r="QD103" s="822"/>
      <c r="QE103" s="822"/>
      <c r="QF103" s="823"/>
      <c r="QG103" s="821" t="s">
        <v>462</v>
      </c>
      <c r="QH103" s="822"/>
      <c r="QI103" s="822"/>
      <c r="QJ103" s="822"/>
      <c r="QK103" s="822"/>
      <c r="QL103" s="822"/>
      <c r="QM103" s="823"/>
      <c r="RC103" s="369">
        <v>85</v>
      </c>
      <c r="RD103" s="668">
        <v>8.5000000000000006E-2</v>
      </c>
      <c r="RE103" s="669"/>
      <c r="RF103" s="670">
        <f t="shared" si="81"/>
        <v>8.0121379958917114</v>
      </c>
      <c r="RG103" s="670"/>
      <c r="RH103" s="670"/>
      <c r="RI103" s="670"/>
      <c r="RJ103" s="698">
        <f t="shared" si="69"/>
        <v>30</v>
      </c>
      <c r="RK103" s="699"/>
      <c r="RL103" s="726"/>
      <c r="RM103" s="670">
        <f t="shared" si="70"/>
        <v>8.2006391661081572</v>
      </c>
      <c r="RN103" s="670"/>
      <c r="RO103" s="670"/>
      <c r="RP103" s="670"/>
      <c r="RQ103" s="670"/>
      <c r="RR103" s="670"/>
      <c r="RS103" s="671">
        <f t="shared" si="64"/>
        <v>1.560804663639157</v>
      </c>
      <c r="RT103" s="671"/>
      <c r="RU103" s="671"/>
      <c r="RV103" s="671"/>
      <c r="RW103" s="671"/>
      <c r="RX103" s="671"/>
      <c r="RY103" s="681">
        <f t="shared" si="71"/>
        <v>8.3478496590885509</v>
      </c>
      <c r="RZ103" s="681"/>
      <c r="SA103" s="681"/>
      <c r="SB103" s="681"/>
      <c r="SC103" s="681">
        <f>'Вывод расчетов'!$AQ$6/RY103</f>
        <v>45.520704794471563</v>
      </c>
      <c r="SD103" s="681"/>
      <c r="SE103" s="681"/>
      <c r="SF103" s="681"/>
      <c r="SG103" s="867">
        <f t="shared" si="72"/>
        <v>0.98236545949050225</v>
      </c>
      <c r="SH103" s="867"/>
      <c r="SI103" s="867"/>
      <c r="SJ103" s="867"/>
      <c r="SK103" s="865">
        <f t="shared" si="73"/>
        <v>0.18697086404040145</v>
      </c>
      <c r="SL103" s="865"/>
      <c r="SM103" s="865"/>
      <c r="SN103" s="865"/>
      <c r="SO103" s="692">
        <f t="shared" si="80"/>
        <v>45.068290522883814</v>
      </c>
      <c r="SP103" s="693"/>
      <c r="SQ103" s="693"/>
      <c r="SR103" s="693"/>
      <c r="SS103" s="694"/>
      <c r="ST103" s="668">
        <f t="shared" si="78"/>
        <v>19.493122269146387</v>
      </c>
      <c r="SU103" s="678"/>
      <c r="SV103" s="678"/>
      <c r="SW103" s="678"/>
      <c r="SX103" s="678"/>
      <c r="SY103" s="669"/>
      <c r="SZ103" s="682">
        <f t="shared" si="74"/>
        <v>49.103285291871764</v>
      </c>
      <c r="TA103" s="683"/>
      <c r="TB103" s="683"/>
      <c r="TC103" s="683"/>
      <c r="TD103" s="683"/>
      <c r="TE103" s="684"/>
      <c r="TF103" s="682">
        <f>'Вывод расчетов'!$XC$174*SC103</f>
        <v>46.245650160528413</v>
      </c>
      <c r="TG103" s="683"/>
      <c r="TH103" s="684"/>
      <c r="TI103" s="681">
        <f t="shared" si="79"/>
        <v>51.377851196087548</v>
      </c>
      <c r="TJ103" s="681"/>
      <c r="TK103" s="681"/>
      <c r="TL103" s="681"/>
      <c r="TM103" s="685">
        <f t="shared" si="75"/>
        <v>1.3421297193772681</v>
      </c>
      <c r="TN103" s="686"/>
      <c r="TO103" s="686"/>
      <c r="TP103" s="687"/>
      <c r="TQ103" s="688">
        <f t="shared" si="76"/>
        <v>4.233568160583669</v>
      </c>
      <c r="TR103" s="688"/>
      <c r="TS103" s="688"/>
      <c r="TT103" s="688"/>
      <c r="TU103" s="689">
        <f t="shared" si="77"/>
        <v>0.38072121730291369</v>
      </c>
      <c r="TV103" s="690"/>
      <c r="TW103" s="690"/>
      <c r="TX103" s="690"/>
      <c r="TY103" s="690"/>
      <c r="TZ103" s="691"/>
      <c r="UA103" s="679">
        <v>8.5000000000000006E-2</v>
      </c>
      <c r="UB103" s="680"/>
      <c r="UC103" s="650">
        <v>0.85</v>
      </c>
      <c r="UD103" s="866">
        <f t="shared" si="65"/>
        <v>6.8367059130912642</v>
      </c>
      <c r="UE103" s="866"/>
      <c r="UF103" s="866"/>
      <c r="UG103" s="866"/>
      <c r="UH103" s="866"/>
      <c r="UI103" s="866"/>
      <c r="UJ103" s="866"/>
      <c r="UK103" s="681">
        <f t="shared" si="66"/>
        <v>44.541145282996283</v>
      </c>
      <c r="UL103" s="681"/>
      <c r="UM103" s="681"/>
      <c r="UN103" s="681"/>
      <c r="UO103" s="816">
        <f t="shared" si="67"/>
        <v>0.86693281727570803</v>
      </c>
      <c r="UP103" s="816"/>
      <c r="UQ103" s="816"/>
      <c r="UR103" s="816"/>
      <c r="US103" s="866">
        <f t="shared" si="68"/>
        <v>0.91782637872387174</v>
      </c>
      <c r="UT103" s="866"/>
      <c r="UU103" s="866"/>
      <c r="UV103" s="866"/>
      <c r="UW103" s="866"/>
      <c r="VN103" s="144"/>
      <c r="VO103" s="144"/>
      <c r="VP103" s="144"/>
      <c r="VQ103" s="144"/>
      <c r="VR103" s="144"/>
      <c r="VS103" s="144"/>
      <c r="VT103" s="144"/>
      <c r="VU103" s="144"/>
      <c r="VV103" s="144"/>
      <c r="VW103" s="144"/>
      <c r="VX103" s="144"/>
      <c r="XO103" s="792" t="s">
        <v>1079</v>
      </c>
      <c r="XP103" s="793"/>
      <c r="XQ103" s="794"/>
      <c r="XR103" s="825"/>
      <c r="XS103" s="147" t="s">
        <v>442</v>
      </c>
      <c r="XT103" s="148"/>
      <c r="XU103" s="450"/>
      <c r="XV103" s="87"/>
      <c r="XW103" s="87"/>
      <c r="XX103" s="87"/>
      <c r="XY103" s="87"/>
      <c r="XZ103" s="87"/>
      <c r="YA103" s="84" t="s">
        <v>729</v>
      </c>
      <c r="YB103" s="450"/>
      <c r="YC103" s="85" t="s">
        <v>467</v>
      </c>
      <c r="YD103" s="757" t="s">
        <v>461</v>
      </c>
      <c r="YE103" s="758"/>
      <c r="YF103" s="819" t="s">
        <v>126</v>
      </c>
      <c r="YG103" s="820"/>
      <c r="YH103" s="675" t="s">
        <v>731</v>
      </c>
      <c r="YI103" s="676"/>
      <c r="YJ103" s="821" t="s">
        <v>473</v>
      </c>
      <c r="YK103" s="822"/>
      <c r="YL103" s="822"/>
      <c r="YM103" s="823"/>
      <c r="YN103" s="821" t="s">
        <v>1363</v>
      </c>
      <c r="YO103" s="822"/>
      <c r="YP103" s="822"/>
      <c r="YQ103" s="823"/>
      <c r="AAD103" s="947"/>
      <c r="AAE103" s="947"/>
      <c r="AAF103" s="947"/>
      <c r="AAG103" s="947"/>
      <c r="AAH103" s="535">
        <v>30</v>
      </c>
      <c r="AAI103" s="956"/>
      <c r="AAJ103" s="957"/>
      <c r="AAK103" s="958">
        <f t="shared" si="59"/>
        <v>0.4</v>
      </c>
      <c r="AAL103" s="959"/>
      <c r="AAN103" s="947"/>
      <c r="AAO103" s="947"/>
      <c r="AAP103" s="947"/>
      <c r="AAQ103" s="947"/>
      <c r="AAR103" s="535">
        <v>90</v>
      </c>
      <c r="AAS103" s="956"/>
      <c r="AAT103" s="957"/>
      <c r="AAU103" s="958">
        <f t="shared" si="60"/>
        <v>1.2000000000000002</v>
      </c>
      <c r="AAV103" s="959"/>
      <c r="AAX103" s="947"/>
      <c r="AAY103" s="947"/>
      <c r="AAZ103" s="947"/>
      <c r="ABA103" s="947"/>
      <c r="ABB103" s="535">
        <v>150</v>
      </c>
      <c r="ABC103" s="956"/>
      <c r="ABD103" s="957"/>
      <c r="ABE103" s="958">
        <f t="shared" si="61"/>
        <v>2</v>
      </c>
      <c r="ABF103" s="959"/>
      <c r="ABH103" s="947"/>
      <c r="ABI103" s="947"/>
      <c r="ABJ103" s="947"/>
      <c r="ABK103" s="947"/>
      <c r="ABL103" s="537">
        <v>210</v>
      </c>
      <c r="ABM103" s="956"/>
      <c r="ABN103" s="957"/>
      <c r="ABO103" s="958">
        <f t="shared" si="62"/>
        <v>2.8000000000000003</v>
      </c>
      <c r="ABP103" s="959"/>
      <c r="ABR103" s="947"/>
      <c r="ABS103" s="947"/>
      <c r="ABT103" s="947"/>
      <c r="ABU103" s="947"/>
      <c r="ABV103" s="537">
        <v>270</v>
      </c>
      <c r="ABW103" s="956"/>
      <c r="ABX103" s="957"/>
      <c r="ABY103" s="958">
        <f t="shared" si="63"/>
        <v>3.6</v>
      </c>
      <c r="ABZ103" s="959"/>
      <c r="ACK103" s="144"/>
      <c r="ACL103" s="144"/>
      <c r="ACU103" s="144"/>
      <c r="ACV103" s="144"/>
      <c r="ACW103" s="144"/>
      <c r="ACX103" s="144"/>
      <c r="ACY103" s="144"/>
      <c r="ACZ103" s="144"/>
      <c r="ADB103" s="1033">
        <v>26</v>
      </c>
      <c r="ADC103" s="1033"/>
      <c r="ADD103" s="857"/>
      <c r="ADE103" s="1015"/>
      <c r="ADF103" s="1015"/>
      <c r="ADG103" s="1015"/>
      <c r="ADH103" s="1015"/>
      <c r="ADI103" s="858"/>
      <c r="ADJ103" s="1070" t="s">
        <v>762</v>
      </c>
      <c r="ADK103" s="1070"/>
      <c r="ADL103" s="1034"/>
      <c r="ADM103" s="1034"/>
      <c r="ADN103" s="1034"/>
      <c r="ADO103" s="1034"/>
      <c r="ADP103" s="1034"/>
      <c r="ADQ103" s="1034"/>
      <c r="ADR103" s="1034"/>
      <c r="ADS103" s="1034"/>
      <c r="ADT103" s="1034"/>
      <c r="ADU103" s="1034"/>
      <c r="ADV103" s="1034"/>
      <c r="ADW103" s="1034"/>
      <c r="ADX103" s="181"/>
      <c r="ADY103" s="182"/>
      <c r="ADZ103" s="182"/>
      <c r="AEA103" s="182"/>
      <c r="AEB103" s="182"/>
      <c r="AEC103" s="182"/>
      <c r="AED103" s="182"/>
      <c r="AEE103" s="185"/>
      <c r="AEF103" s="172"/>
      <c r="AEG103" s="172"/>
      <c r="AEH103" s="172"/>
      <c r="AEI103" s="172"/>
      <c r="AEJ103" s="172"/>
      <c r="AEK103" s="177"/>
      <c r="AEP103" s="947"/>
      <c r="AEQ103" s="947"/>
      <c r="AER103" s="947"/>
      <c r="AES103" s="947"/>
      <c r="AET103" s="657">
        <v>59</v>
      </c>
      <c r="AEU103" s="956"/>
      <c r="AEV103" s="957"/>
      <c r="AEW103" s="958">
        <f t="shared" si="35"/>
        <v>1.8683333333333334</v>
      </c>
      <c r="AEX103" s="959"/>
      <c r="AEZ103" s="947"/>
      <c r="AFA103" s="947"/>
      <c r="AFB103" s="947"/>
      <c r="AFC103" s="947"/>
      <c r="AFD103" s="657">
        <v>119</v>
      </c>
      <c r="AFE103" s="956"/>
      <c r="AFF103" s="957"/>
      <c r="AFG103" s="958">
        <f t="shared" si="36"/>
        <v>3.7683333333333335</v>
      </c>
      <c r="AFH103" s="959"/>
      <c r="AFJ103" s="947"/>
      <c r="AFK103" s="947"/>
      <c r="AFL103" s="947"/>
      <c r="AFM103" s="947"/>
      <c r="AFN103" s="657">
        <v>179</v>
      </c>
      <c r="AFO103" s="956"/>
      <c r="AFP103" s="957"/>
      <c r="AFQ103" s="958">
        <f t="shared" si="37"/>
        <v>5.6683333333333339</v>
      </c>
      <c r="AFR103" s="959"/>
      <c r="AFT103" s="947"/>
      <c r="AFU103" s="947"/>
      <c r="AFV103" s="947"/>
      <c r="AFW103" s="947"/>
      <c r="AFX103" s="657">
        <v>239</v>
      </c>
      <c r="AFY103" s="956"/>
      <c r="AFZ103" s="957"/>
      <c r="AGA103" s="958"/>
      <c r="AGB103" s="959"/>
      <c r="AGD103" s="947"/>
      <c r="AGE103" s="947"/>
      <c r="AGF103" s="947"/>
      <c r="AGG103" s="947"/>
      <c r="AGH103" s="656">
        <v>299</v>
      </c>
      <c r="AGI103" s="956"/>
      <c r="AGJ103" s="957"/>
      <c r="AGK103" s="958"/>
      <c r="AGL103" s="959"/>
      <c r="AIM103" s="826"/>
      <c r="AIN103" s="716" t="s">
        <v>984</v>
      </c>
      <c r="AIO103" s="1027"/>
      <c r="AIP103" s="1027"/>
      <c r="AIQ103" s="1027"/>
      <c r="AIR103" s="1027"/>
      <c r="AIS103" s="1027"/>
      <c r="AIT103" s="1027"/>
      <c r="AIU103" s="1027"/>
      <c r="AIV103" s="1027"/>
      <c r="AIW103" s="1027"/>
      <c r="AIX103" s="1027"/>
      <c r="AIY103" s="1027"/>
      <c r="AIZ103" s="1322"/>
      <c r="AJA103" s="763">
        <f>AJD111*MN43+AJA107</f>
        <v>10.026842301379901</v>
      </c>
      <c r="AJB103" s="764"/>
      <c r="AJC103" s="1005"/>
      <c r="AJD103" s="1006"/>
      <c r="AJE103" s="714"/>
      <c r="AJF103" s="716" t="s">
        <v>984</v>
      </c>
      <c r="AJG103" s="717"/>
      <c r="AJH103" s="746"/>
    </row>
    <row r="104" spans="68:947" ht="48" customHeight="1" thickBot="1">
      <c r="BP104" s="144"/>
      <c r="BQ104" s="144"/>
      <c r="BR104" s="144"/>
      <c r="BS104" s="144"/>
      <c r="BT104" s="55"/>
      <c r="BV104" s="55"/>
      <c r="BW104" s="55"/>
      <c r="BX104" s="767"/>
      <c r="BY104" s="574" t="s">
        <v>774</v>
      </c>
      <c r="BZ104" s="724">
        <f>$CO$56</f>
        <v>1</v>
      </c>
      <c r="CA104" s="724"/>
      <c r="CB104" s="727" t="s">
        <v>793</v>
      </c>
      <c r="CC104" s="727"/>
      <c r="CD104" s="727"/>
      <c r="CE104" s="727"/>
      <c r="CF104" s="727"/>
      <c r="CG104" s="727"/>
      <c r="CH104" s="727"/>
      <c r="CI104" s="727"/>
      <c r="CJ104" s="727"/>
      <c r="CK104" s="728"/>
      <c r="CL104" s="1479">
        <f>(CL52/BZ105*BZ104)</f>
        <v>6.6786409119658732</v>
      </c>
      <c r="CM104" s="1480"/>
      <c r="CN104" s="1203" t="s">
        <v>798</v>
      </c>
      <c r="CO104" s="1063"/>
      <c r="CP104" s="1207"/>
      <c r="CQ104" s="740" t="s">
        <v>1141</v>
      </c>
      <c r="CR104" s="741"/>
      <c r="CS104" s="741"/>
      <c r="CT104" s="824"/>
      <c r="CU104" s="824"/>
      <c r="CV104" s="1365" t="s">
        <v>794</v>
      </c>
      <c r="CW104" s="1564"/>
      <c r="CX104" s="1565"/>
      <c r="CY104" s="824"/>
      <c r="CZ104" s="919"/>
      <c r="DA104" s="840"/>
      <c r="DB104" s="840"/>
      <c r="DC104" s="920"/>
      <c r="DE104" s="144"/>
      <c r="DF104" s="144"/>
      <c r="DG104" s="144"/>
      <c r="DH104" s="144"/>
      <c r="DI104" s="144"/>
      <c r="DJ104" s="144"/>
      <c r="DK104" s="144"/>
      <c r="DL104" s="144"/>
      <c r="DM104" s="144"/>
      <c r="DZ104" s="783"/>
      <c r="EA104" s="784"/>
      <c r="EB104" s="785"/>
      <c r="EC104" s="240" t="s">
        <v>703</v>
      </c>
      <c r="ED104" s="772"/>
      <c r="EE104" s="772"/>
      <c r="EF104" s="772"/>
      <c r="EG104" s="772"/>
      <c r="EH104" s="772"/>
      <c r="EI104" s="772"/>
      <c r="EJ104" s="772"/>
      <c r="EK104" s="772"/>
      <c r="EL104" s="772"/>
      <c r="EM104" s="772"/>
      <c r="EN104" s="772"/>
      <c r="EO104" s="772"/>
      <c r="EP104" s="773"/>
      <c r="EQ104" s="750"/>
      <c r="ER104" s="751"/>
      <c r="ES104" s="761"/>
      <c r="ET104" s="762"/>
      <c r="EU104" s="713"/>
      <c r="EV104" s="743"/>
      <c r="EW104" s="744"/>
      <c r="EX104" s="745"/>
      <c r="EY104" s="747"/>
      <c r="FV104" s="144"/>
      <c r="FW104" s="144"/>
      <c r="FX104" s="144"/>
      <c r="FY104" s="144"/>
      <c r="FZ104" s="144"/>
      <c r="GA104" s="144"/>
      <c r="GB104" s="144"/>
      <c r="GC104" s="6"/>
      <c r="GD104" s="3"/>
      <c r="GE104" s="3"/>
      <c r="HP104" s="228"/>
      <c r="LO104" s="144"/>
      <c r="LP104" s="144"/>
      <c r="LQ104" s="144"/>
      <c r="LR104" s="144"/>
      <c r="LS104" s="144"/>
      <c r="LT104" s="144"/>
      <c r="LU104" s="144"/>
      <c r="LV104" s="144"/>
      <c r="LW104" s="144"/>
      <c r="NE104" s="144"/>
      <c r="NF104" s="144"/>
      <c r="NG104" s="144"/>
      <c r="NH104" s="144"/>
      <c r="NI104" s="144"/>
      <c r="NJ104" s="144"/>
      <c r="NK104" s="144"/>
      <c r="NL104" s="144"/>
      <c r="NM104" s="144"/>
      <c r="NN104" s="144"/>
      <c r="NO104" s="144"/>
      <c r="PJ104" s="826"/>
      <c r="PK104" s="547" t="s">
        <v>757</v>
      </c>
      <c r="PL104" s="677">
        <f>$GW$12</f>
        <v>2</v>
      </c>
      <c r="PM104" s="677"/>
      <c r="PN104" s="700" t="s">
        <v>183</v>
      </c>
      <c r="PO104" s="701"/>
      <c r="PP104" s="701"/>
      <c r="PQ104" s="701"/>
      <c r="PR104" s="701"/>
      <c r="PS104" s="701"/>
      <c r="PT104" s="701"/>
      <c r="PU104" s="701"/>
      <c r="PV104" s="701"/>
      <c r="PW104" s="702"/>
      <c r="PX104" s="763">
        <f>((PL105*PL104)/(2*PL106))*JF70/1000</f>
        <v>0.11721849256636206</v>
      </c>
      <c r="PY104" s="764"/>
      <c r="PZ104" s="759" t="s">
        <v>18</v>
      </c>
      <c r="QA104" s="760"/>
      <c r="QB104" s="712"/>
      <c r="QC104" s="952" t="s">
        <v>1725</v>
      </c>
      <c r="QD104" s="1151"/>
      <c r="QE104" s="953"/>
      <c r="QF104" s="746"/>
      <c r="QG104" s="919"/>
      <c r="QH104" s="840"/>
      <c r="QI104" s="840"/>
      <c r="QJ104" s="840"/>
      <c r="QK104" s="840"/>
      <c r="QL104" s="840"/>
      <c r="QM104" s="920"/>
      <c r="RC104" s="369">
        <v>86</v>
      </c>
      <c r="RD104" s="668">
        <v>8.5999999999999993E-2</v>
      </c>
      <c r="RE104" s="669"/>
      <c r="RF104" s="670">
        <f t="shared" si="81"/>
        <v>7.9189736005906459</v>
      </c>
      <c r="RG104" s="670"/>
      <c r="RH104" s="670"/>
      <c r="RI104" s="670"/>
      <c r="RJ104" s="698">
        <f t="shared" si="69"/>
        <v>30</v>
      </c>
      <c r="RK104" s="699"/>
      <c r="RL104" s="726"/>
      <c r="RM104" s="670">
        <f t="shared" si="70"/>
        <v>8.1074747708070909</v>
      </c>
      <c r="RN104" s="670"/>
      <c r="RO104" s="670"/>
      <c r="RP104" s="670"/>
      <c r="RQ104" s="670"/>
      <c r="RR104" s="670"/>
      <c r="RS104" s="671">
        <f t="shared" si="64"/>
        <v>1.560804663639157</v>
      </c>
      <c r="RT104" s="671"/>
      <c r="RU104" s="671"/>
      <c r="RV104" s="671"/>
      <c r="RW104" s="671"/>
      <c r="RX104" s="671"/>
      <c r="RY104" s="681">
        <f t="shared" si="71"/>
        <v>8.2563465502188809</v>
      </c>
      <c r="RZ104" s="681"/>
      <c r="SA104" s="681"/>
      <c r="SB104" s="681"/>
      <c r="SC104" s="681">
        <f>'Вывод расчетов'!$AQ$6/RY104</f>
        <v>46.025199849432916</v>
      </c>
      <c r="SD104" s="681"/>
      <c r="SE104" s="681"/>
      <c r="SF104" s="681"/>
      <c r="SG104" s="867">
        <f t="shared" si="72"/>
        <v>0.98196880684376753</v>
      </c>
      <c r="SH104" s="867"/>
      <c r="SI104" s="867"/>
      <c r="SJ104" s="867"/>
      <c r="SK104" s="865">
        <f t="shared" si="73"/>
        <v>0.18904301728926085</v>
      </c>
      <c r="SL104" s="865"/>
      <c r="SM104" s="865"/>
      <c r="SN104" s="865"/>
      <c r="SO104" s="692">
        <f t="shared" si="80"/>
        <v>45.545633022024838</v>
      </c>
      <c r="SP104" s="693"/>
      <c r="SQ104" s="693"/>
      <c r="SR104" s="693"/>
      <c r="SS104" s="694"/>
      <c r="ST104" s="668">
        <f t="shared" si="78"/>
        <v>19.682819412874025</v>
      </c>
      <c r="SU104" s="678"/>
      <c r="SV104" s="678"/>
      <c r="SW104" s="678"/>
      <c r="SX104" s="678"/>
      <c r="SY104" s="669"/>
      <c r="SZ104" s="682">
        <f t="shared" si="74"/>
        <v>49.616711573992582</v>
      </c>
      <c r="TA104" s="683"/>
      <c r="TB104" s="683"/>
      <c r="TC104" s="683"/>
      <c r="TD104" s="683"/>
      <c r="TE104" s="684"/>
      <c r="TF104" s="682">
        <f>'Вывод расчетов'!$XC$174*SC104</f>
        <v>46.758179611133336</v>
      </c>
      <c r="TG104" s="683"/>
      <c r="TH104" s="684"/>
      <c r="TI104" s="681">
        <f t="shared" si="79"/>
        <v>51.922021645108316</v>
      </c>
      <c r="TJ104" s="681"/>
      <c r="TK104" s="681"/>
      <c r="TL104" s="681"/>
      <c r="TM104" s="685">
        <f t="shared" si="75"/>
        <v>1.370343197104795</v>
      </c>
      <c r="TN104" s="686"/>
      <c r="TO104" s="686"/>
      <c r="TP104" s="687"/>
      <c r="TQ104" s="688">
        <f t="shared" si="76"/>
        <v>4.3279274008396751</v>
      </c>
      <c r="TR104" s="688"/>
      <c r="TS104" s="688"/>
      <c r="TT104" s="688"/>
      <c r="TU104" s="689">
        <f t="shared" si="77"/>
        <v>0.38872451939040242</v>
      </c>
      <c r="TV104" s="690"/>
      <c r="TW104" s="690"/>
      <c r="TX104" s="690"/>
      <c r="TY104" s="690"/>
      <c r="TZ104" s="691"/>
      <c r="UA104" s="679">
        <v>8.5999999999999993E-2</v>
      </c>
      <c r="UB104" s="680"/>
      <c r="UC104" s="650">
        <v>0.86</v>
      </c>
      <c r="UD104" s="866">
        <f t="shared" si="65"/>
        <v>6.9672819331622868</v>
      </c>
      <c r="UE104" s="866"/>
      <c r="UF104" s="866"/>
      <c r="UG104" s="866"/>
      <c r="UH104" s="866"/>
      <c r="UI104" s="866"/>
      <c r="UJ104" s="866"/>
      <c r="UK104" s="681">
        <f t="shared" si="66"/>
        <v>44.954739711946033</v>
      </c>
      <c r="UL104" s="681"/>
      <c r="UM104" s="681"/>
      <c r="UN104" s="681"/>
      <c r="UO104" s="816">
        <f t="shared" si="67"/>
        <v>0.86581258370900338</v>
      </c>
      <c r="UP104" s="816"/>
      <c r="UQ104" s="816"/>
      <c r="UR104" s="816"/>
      <c r="US104" s="866">
        <f t="shared" si="68"/>
        <v>0.91794944842532311</v>
      </c>
      <c r="UT104" s="866"/>
      <c r="UU104" s="866"/>
      <c r="UV104" s="866"/>
      <c r="UW104" s="866"/>
      <c r="VN104" s="144"/>
      <c r="VO104" s="144"/>
      <c r="VP104" s="144"/>
      <c r="VQ104" s="144"/>
      <c r="VR104" s="144"/>
      <c r="VS104" s="144"/>
      <c r="VT104" s="144"/>
      <c r="VU104" s="144"/>
      <c r="VV104" s="144"/>
      <c r="VW104" s="144"/>
      <c r="VX104" s="144"/>
      <c r="XO104" s="795"/>
      <c r="XP104" s="796"/>
      <c r="XQ104" s="797"/>
      <c r="XR104" s="826"/>
      <c r="XS104" s="700" t="s">
        <v>1513</v>
      </c>
      <c r="XT104" s="701"/>
      <c r="XU104" s="701"/>
      <c r="XV104" s="701"/>
      <c r="XW104" s="701"/>
      <c r="XX104" s="701"/>
      <c r="XY104" s="701"/>
      <c r="XZ104" s="701"/>
      <c r="YA104" s="701"/>
      <c r="YB104" s="701"/>
      <c r="YC104" s="701"/>
      <c r="YD104" s="701"/>
      <c r="YE104" s="702"/>
      <c r="YF104" s="923">
        <v>0.85</v>
      </c>
      <c r="YG104" s="924"/>
      <c r="YH104" s="1088"/>
      <c r="YI104" s="1006"/>
      <c r="YJ104" s="714"/>
      <c r="YK104" s="740" t="s">
        <v>1511</v>
      </c>
      <c r="YL104" s="742"/>
      <c r="YM104" s="746"/>
      <c r="YN104" s="714"/>
      <c r="YO104" s="740" t="s">
        <v>1512</v>
      </c>
      <c r="YP104" s="742"/>
      <c r="YQ104" s="746"/>
      <c r="AAD104" s="947"/>
      <c r="AAE104" s="947"/>
      <c r="AAF104" s="947"/>
      <c r="AAG104" s="947"/>
      <c r="AAH104" s="535">
        <v>31</v>
      </c>
      <c r="AAI104" s="956"/>
      <c r="AAJ104" s="957"/>
      <c r="AAK104" s="958">
        <f t="shared" si="59"/>
        <v>0.41333333333333339</v>
      </c>
      <c r="AAL104" s="959"/>
      <c r="AAN104" s="947"/>
      <c r="AAO104" s="947"/>
      <c r="AAP104" s="947"/>
      <c r="AAQ104" s="947"/>
      <c r="AAR104" s="535">
        <v>91</v>
      </c>
      <c r="AAS104" s="956"/>
      <c r="AAT104" s="957"/>
      <c r="AAU104" s="958">
        <f t="shared" si="60"/>
        <v>1.2133333333333334</v>
      </c>
      <c r="AAV104" s="959"/>
      <c r="AAX104" s="947"/>
      <c r="AAY104" s="947"/>
      <c r="AAZ104" s="947"/>
      <c r="ABA104" s="947"/>
      <c r="ABB104" s="535">
        <v>151</v>
      </c>
      <c r="ABC104" s="956"/>
      <c r="ABD104" s="957"/>
      <c r="ABE104" s="958">
        <f t="shared" si="61"/>
        <v>2.0133333333333336</v>
      </c>
      <c r="ABF104" s="959"/>
      <c r="ABH104" s="947"/>
      <c r="ABI104" s="947"/>
      <c r="ABJ104" s="947"/>
      <c r="ABK104" s="947"/>
      <c r="ABL104" s="537">
        <v>211</v>
      </c>
      <c r="ABM104" s="956"/>
      <c r="ABN104" s="957"/>
      <c r="ABO104" s="958">
        <f t="shared" si="62"/>
        <v>2.8133333333333335</v>
      </c>
      <c r="ABP104" s="959"/>
      <c r="ABR104" s="947"/>
      <c r="ABS104" s="947"/>
      <c r="ABT104" s="947"/>
      <c r="ABU104" s="947"/>
      <c r="ABV104" s="537">
        <v>271</v>
      </c>
      <c r="ABW104" s="956"/>
      <c r="ABX104" s="957"/>
      <c r="ABY104" s="958">
        <f t="shared" si="63"/>
        <v>3.6133333333333337</v>
      </c>
      <c r="ABZ104" s="959"/>
      <c r="ACK104" s="144"/>
      <c r="ACL104" s="144"/>
      <c r="ACU104" s="144"/>
      <c r="ACV104" s="144"/>
      <c r="ACW104" s="144"/>
      <c r="ACX104" s="144"/>
      <c r="ACY104" s="144"/>
      <c r="ACZ104" s="144"/>
      <c r="ADB104" s="1033"/>
      <c r="ADC104" s="1033"/>
      <c r="ADD104" s="861"/>
      <c r="ADE104" s="1017"/>
      <c r="ADF104" s="1017"/>
      <c r="ADG104" s="1017"/>
      <c r="ADH104" s="1017"/>
      <c r="ADI104" s="862"/>
      <c r="ADJ104" s="1070"/>
      <c r="ADK104" s="1070"/>
      <c r="ADL104" s="1034"/>
      <c r="ADM104" s="1034"/>
      <c r="ADN104" s="1034"/>
      <c r="ADO104" s="1034"/>
      <c r="ADP104" s="1034"/>
      <c r="ADQ104" s="1034"/>
      <c r="ADR104" s="1034"/>
      <c r="ADS104" s="1034"/>
      <c r="ADT104" s="1034"/>
      <c r="ADU104" s="1034"/>
      <c r="ADV104" s="1034"/>
      <c r="ADW104" s="1034"/>
      <c r="ADX104" s="183"/>
      <c r="ADY104" s="184"/>
      <c r="ADZ104" s="184"/>
      <c r="AEA104" s="184"/>
      <c r="AEB104" s="184"/>
      <c r="AEC104" s="184"/>
      <c r="AED104" s="184"/>
      <c r="AEE104" s="186"/>
      <c r="AEF104" s="172"/>
      <c r="AEG104" s="172"/>
      <c r="AEH104" s="172"/>
      <c r="AEI104" s="172"/>
      <c r="AEJ104" s="172"/>
      <c r="AEK104" s="177"/>
      <c r="AEP104" s="947"/>
      <c r="AEQ104" s="947"/>
      <c r="AER104" s="947"/>
      <c r="AES104" s="947"/>
      <c r="AET104" s="657">
        <v>60</v>
      </c>
      <c r="AEU104" s="956"/>
      <c r="AEV104" s="957"/>
      <c r="AEW104" s="958">
        <f t="shared" si="35"/>
        <v>1.9000000000000001</v>
      </c>
      <c r="AEX104" s="959"/>
      <c r="AEZ104" s="947"/>
      <c r="AFA104" s="947"/>
      <c r="AFB104" s="947"/>
      <c r="AFC104" s="947"/>
      <c r="AFD104" s="657">
        <v>120</v>
      </c>
      <c r="AFE104" s="956"/>
      <c r="AFF104" s="957"/>
      <c r="AFG104" s="958">
        <f t="shared" si="36"/>
        <v>3.8000000000000003</v>
      </c>
      <c r="AFH104" s="959"/>
      <c r="AFJ104" s="947"/>
      <c r="AFK104" s="947"/>
      <c r="AFL104" s="947"/>
      <c r="AFM104" s="947"/>
      <c r="AFN104" s="657">
        <v>180</v>
      </c>
      <c r="AFO104" s="956"/>
      <c r="AFP104" s="957"/>
      <c r="AFQ104" s="958">
        <f t="shared" si="37"/>
        <v>5.7</v>
      </c>
      <c r="AFR104" s="959"/>
      <c r="AFT104" s="947"/>
      <c r="AFU104" s="947"/>
      <c r="AFV104" s="947"/>
      <c r="AFW104" s="947"/>
      <c r="AFX104" s="657">
        <v>240</v>
      </c>
      <c r="AFY104" s="956"/>
      <c r="AFZ104" s="957"/>
      <c r="AGA104" s="958"/>
      <c r="AGB104" s="959"/>
      <c r="AGD104" s="947"/>
      <c r="AGE104" s="947"/>
      <c r="AGF104" s="947"/>
      <c r="AGG104" s="947"/>
      <c r="AGH104" s="656">
        <v>300</v>
      </c>
      <c r="AGI104" s="956"/>
      <c r="AGJ104" s="957"/>
      <c r="AGK104" s="958"/>
      <c r="AGL104" s="959"/>
      <c r="AIM104" s="827"/>
      <c r="AIN104" s="718"/>
      <c r="AIO104" s="1028"/>
      <c r="AIP104" s="1028"/>
      <c r="AIQ104" s="1028"/>
      <c r="AIR104" s="1028"/>
      <c r="AIS104" s="1028"/>
      <c r="AIT104" s="1028"/>
      <c r="AIU104" s="1028"/>
      <c r="AIV104" s="1028"/>
      <c r="AIW104" s="1028"/>
      <c r="AIX104" s="1028"/>
      <c r="AIY104" s="1028"/>
      <c r="AIZ104" s="1323"/>
      <c r="AJA104" s="765"/>
      <c r="AJB104" s="766"/>
      <c r="AJC104" s="706"/>
      <c r="AJD104" s="708"/>
      <c r="AJE104" s="715"/>
      <c r="AJF104" s="718"/>
      <c r="AJG104" s="719"/>
      <c r="AJH104" s="747"/>
    </row>
    <row r="105" spans="68:947" ht="48" customHeight="1" thickBot="1">
      <c r="BP105" s="144"/>
      <c r="BQ105" s="144"/>
      <c r="BR105" s="144"/>
      <c r="BS105" s="144"/>
      <c r="BT105" s="55"/>
      <c r="BV105" s="55"/>
      <c r="BX105" s="768"/>
      <c r="BY105" s="577" t="s">
        <v>1788</v>
      </c>
      <c r="BZ105" s="725">
        <f>$CL$96</f>
        <v>4.8645569372727282</v>
      </c>
      <c r="CA105" s="725"/>
      <c r="CB105" s="729"/>
      <c r="CC105" s="729"/>
      <c r="CD105" s="729"/>
      <c r="CE105" s="729"/>
      <c r="CF105" s="729"/>
      <c r="CG105" s="729"/>
      <c r="CH105" s="729"/>
      <c r="CI105" s="729"/>
      <c r="CJ105" s="729"/>
      <c r="CK105" s="730"/>
      <c r="CL105" s="1481"/>
      <c r="CM105" s="1482"/>
      <c r="CN105" s="1204"/>
      <c r="CO105" s="1065"/>
      <c r="CP105" s="713"/>
      <c r="CQ105" s="743"/>
      <c r="CR105" s="744"/>
      <c r="CS105" s="744"/>
      <c r="CT105" s="747"/>
      <c r="CU105" s="747"/>
      <c r="CV105" s="1566"/>
      <c r="CW105" s="1567"/>
      <c r="CX105" s="1568"/>
      <c r="CY105" s="747"/>
      <c r="CZ105" s="892"/>
      <c r="DA105" s="893"/>
      <c r="DB105" s="893"/>
      <c r="DC105" s="894"/>
      <c r="DE105" s="144"/>
      <c r="DF105" s="144"/>
      <c r="DG105" s="144"/>
      <c r="DH105" s="144"/>
      <c r="DI105" s="144"/>
      <c r="DJ105" s="144"/>
      <c r="DK105" s="144"/>
      <c r="DL105" s="144"/>
      <c r="DM105" s="144"/>
      <c r="FV105" s="144"/>
      <c r="FW105" s="144"/>
      <c r="FX105" s="144"/>
      <c r="FY105" s="144"/>
      <c r="FZ105" s="144"/>
      <c r="GA105" s="144"/>
      <c r="GB105" s="144"/>
      <c r="GF105" s="143"/>
      <c r="GG105" s="665" t="s">
        <v>442</v>
      </c>
      <c r="GH105" s="667"/>
      <c r="GI105" s="260"/>
      <c r="GJ105" s="87"/>
      <c r="GK105" s="87"/>
      <c r="GL105" s="87"/>
      <c r="GM105" s="87"/>
      <c r="GN105" s="87"/>
      <c r="GO105" s="87"/>
      <c r="GP105" s="150"/>
      <c r="GQ105" s="85" t="s">
        <v>467</v>
      </c>
      <c r="GR105" s="757" t="s">
        <v>461</v>
      </c>
      <c r="GS105" s="758"/>
      <c r="GT105" s="1130" t="s">
        <v>126</v>
      </c>
      <c r="GU105" s="1131"/>
      <c r="GV105" s="675" t="s">
        <v>731</v>
      </c>
      <c r="GW105" s="676"/>
      <c r="GX105" s="821" t="s">
        <v>473</v>
      </c>
      <c r="GY105" s="822"/>
      <c r="GZ105" s="822"/>
      <c r="HA105" s="822"/>
      <c r="HB105" s="823"/>
      <c r="HC105" s="769" t="s">
        <v>462</v>
      </c>
      <c r="HD105" s="769"/>
      <c r="HE105" s="769"/>
      <c r="HF105" s="769"/>
      <c r="HG105" s="769"/>
      <c r="HH105" s="769"/>
      <c r="HI105" s="769"/>
      <c r="HJ105" s="769"/>
      <c r="HK105" s="769"/>
      <c r="HL105" s="769"/>
      <c r="HM105" s="769"/>
      <c r="HN105" s="769"/>
      <c r="HO105" s="769"/>
      <c r="IR105" s="767"/>
      <c r="IS105" s="665" t="s">
        <v>442</v>
      </c>
      <c r="IT105" s="667"/>
      <c r="IU105" s="250"/>
      <c r="IV105" s="249" t="s">
        <v>757</v>
      </c>
      <c r="IW105" s="677">
        <f>$GW$12</f>
        <v>2</v>
      </c>
      <c r="IX105" s="677"/>
      <c r="IY105" s="150"/>
      <c r="IZ105" s="87"/>
      <c r="JA105" s="87"/>
      <c r="JB105" s="150"/>
      <c r="JC105" s="85" t="s">
        <v>467</v>
      </c>
      <c r="JD105" s="757" t="s">
        <v>461</v>
      </c>
      <c r="JE105" s="758"/>
      <c r="JF105" s="819" t="s">
        <v>126</v>
      </c>
      <c r="JG105" s="820"/>
      <c r="JH105" s="675" t="s">
        <v>731</v>
      </c>
      <c r="JI105" s="676"/>
      <c r="JJ105" s="821" t="s">
        <v>473</v>
      </c>
      <c r="JK105" s="822"/>
      <c r="JL105" s="822"/>
      <c r="JM105" s="823"/>
      <c r="JN105" s="769" t="s">
        <v>462</v>
      </c>
      <c r="JO105" s="769"/>
      <c r="JP105" s="769"/>
      <c r="JQ105" s="769"/>
      <c r="JR105" s="769"/>
      <c r="LO105" s="144"/>
      <c r="LP105" s="144"/>
      <c r="LQ105" s="144"/>
      <c r="LR105" s="144"/>
      <c r="LS105" s="144"/>
      <c r="LT105" s="144"/>
      <c r="LU105" s="144"/>
      <c r="LV105" s="144"/>
      <c r="LW105" s="144"/>
      <c r="NE105" s="144"/>
      <c r="NF105" s="144"/>
      <c r="NG105" s="144"/>
      <c r="NH105" s="144"/>
      <c r="NI105" s="144"/>
      <c r="NJ105" s="144"/>
      <c r="NK105" s="144"/>
      <c r="NL105" s="144"/>
      <c r="NM105" s="144"/>
      <c r="NN105" s="144"/>
      <c r="NO105" s="144"/>
      <c r="OU105" s="144"/>
      <c r="OV105" s="144"/>
      <c r="OW105" s="696" t="s">
        <v>1225</v>
      </c>
      <c r="OX105" s="697"/>
      <c r="OY105" s="677">
        <f>$FW$29</f>
        <v>6.7</v>
      </c>
      <c r="OZ105" s="677"/>
      <c r="PJ105" s="826"/>
      <c r="PK105" s="548" t="s">
        <v>1173</v>
      </c>
      <c r="PL105" s="739">
        <f>$JF$118</f>
        <v>0.5714285714285714</v>
      </c>
      <c r="PM105" s="739"/>
      <c r="PN105" s="703"/>
      <c r="PO105" s="704"/>
      <c r="PP105" s="704"/>
      <c r="PQ105" s="704"/>
      <c r="PR105" s="704"/>
      <c r="PS105" s="704"/>
      <c r="PT105" s="704"/>
      <c r="PU105" s="704"/>
      <c r="PV105" s="704"/>
      <c r="PW105" s="705"/>
      <c r="PX105" s="765"/>
      <c r="PY105" s="766"/>
      <c r="PZ105" s="761"/>
      <c r="QA105" s="762"/>
      <c r="QB105" s="713"/>
      <c r="QC105" s="954"/>
      <c r="QD105" s="1152"/>
      <c r="QE105" s="955"/>
      <c r="QF105" s="747"/>
      <c r="QG105" s="890"/>
      <c r="QH105" s="841"/>
      <c r="QI105" s="841"/>
      <c r="QJ105" s="841"/>
      <c r="QK105" s="841"/>
      <c r="QL105" s="841"/>
      <c r="QM105" s="891"/>
      <c r="RC105" s="369">
        <v>87</v>
      </c>
      <c r="RD105" s="668">
        <v>8.6999999999999994E-2</v>
      </c>
      <c r="RE105" s="669"/>
      <c r="RF105" s="670">
        <f t="shared" si="81"/>
        <v>7.8279509155263858</v>
      </c>
      <c r="RG105" s="670"/>
      <c r="RH105" s="670"/>
      <c r="RI105" s="670"/>
      <c r="RJ105" s="698">
        <f t="shared" si="69"/>
        <v>30</v>
      </c>
      <c r="RK105" s="699"/>
      <c r="RL105" s="726"/>
      <c r="RM105" s="670">
        <f t="shared" si="70"/>
        <v>8.0164520857428307</v>
      </c>
      <c r="RN105" s="670"/>
      <c r="RO105" s="670"/>
      <c r="RP105" s="670"/>
      <c r="RQ105" s="670"/>
      <c r="RR105" s="670"/>
      <c r="RS105" s="671">
        <f t="shared" si="64"/>
        <v>1.560804663639157</v>
      </c>
      <c r="RT105" s="671"/>
      <c r="RU105" s="671"/>
      <c r="RV105" s="671"/>
      <c r="RW105" s="671"/>
      <c r="RX105" s="671"/>
      <c r="RY105" s="681">
        <f t="shared" si="71"/>
        <v>8.1669832399147442</v>
      </c>
      <c r="RZ105" s="681"/>
      <c r="SA105" s="681"/>
      <c r="SB105" s="681"/>
      <c r="SC105" s="681">
        <f>'Вывод расчетов'!$AQ$6/RY105</f>
        <v>46.528808598848897</v>
      </c>
      <c r="SD105" s="681"/>
      <c r="SE105" s="681"/>
      <c r="SF105" s="681"/>
      <c r="SG105" s="867">
        <f t="shared" si="72"/>
        <v>0.9815683282615032</v>
      </c>
      <c r="SH105" s="867"/>
      <c r="SI105" s="867"/>
      <c r="SJ105" s="867"/>
      <c r="SK105" s="865">
        <f t="shared" si="73"/>
        <v>0.19111153014383442</v>
      </c>
      <c r="SL105" s="865"/>
      <c r="SM105" s="865"/>
      <c r="SN105" s="865"/>
      <c r="SO105" s="692">
        <f t="shared" si="80"/>
        <v>46.021527313502816</v>
      </c>
      <c r="SP105" s="693"/>
      <c r="SQ105" s="693"/>
      <c r="SR105" s="693"/>
      <c r="SS105" s="694"/>
      <c r="ST105" s="668">
        <f t="shared" si="78"/>
        <v>19.874268569091608</v>
      </c>
      <c r="SU105" s="678"/>
      <c r="SV105" s="678"/>
      <c r="SW105" s="678"/>
      <c r="SX105" s="678"/>
      <c r="SY105" s="669"/>
      <c r="SZ105" s="682">
        <f t="shared" si="74"/>
        <v>50.129507552177976</v>
      </c>
      <c r="TA105" s="683"/>
      <c r="TB105" s="683"/>
      <c r="TC105" s="683"/>
      <c r="TD105" s="683"/>
      <c r="TE105" s="684"/>
      <c r="TF105" s="682">
        <f>'Вывод расчетов'!$XC$174*SC105</f>
        <v>47.269808641229133</v>
      </c>
      <c r="TG105" s="683"/>
      <c r="TH105" s="684"/>
      <c r="TI105" s="681">
        <f t="shared" si="79"/>
        <v>52.464541137393205</v>
      </c>
      <c r="TJ105" s="681"/>
      <c r="TK105" s="681"/>
      <c r="TL105" s="681"/>
      <c r="TM105" s="685">
        <f t="shared" si="75"/>
        <v>1.3988149657882794</v>
      </c>
      <c r="TN105" s="686"/>
      <c r="TO105" s="686"/>
      <c r="TP105" s="687"/>
      <c r="TQ105" s="688">
        <f t="shared" si="76"/>
        <v>4.4231581279521572</v>
      </c>
      <c r="TR105" s="688"/>
      <c r="TS105" s="688"/>
      <c r="TT105" s="688"/>
      <c r="TU105" s="689">
        <f t="shared" si="77"/>
        <v>0.39680109073476738</v>
      </c>
      <c r="TV105" s="690"/>
      <c r="TW105" s="690"/>
      <c r="TX105" s="690"/>
      <c r="TY105" s="690"/>
      <c r="TZ105" s="691"/>
      <c r="UA105" s="756">
        <v>8.6999999999999994E-2</v>
      </c>
      <c r="UB105" s="756"/>
      <c r="UC105" s="650">
        <v>0.87</v>
      </c>
      <c r="UD105" s="866">
        <f t="shared" si="65"/>
        <v>7.0990610003026173</v>
      </c>
      <c r="UE105" s="866"/>
      <c r="UF105" s="866"/>
      <c r="UG105" s="866"/>
      <c r="UH105" s="866"/>
      <c r="UI105" s="866"/>
      <c r="UJ105" s="866"/>
      <c r="UK105" s="681">
        <f t="shared" si="66"/>
        <v>45.365480137090586</v>
      </c>
      <c r="UL105" s="681"/>
      <c r="UM105" s="681"/>
      <c r="UN105" s="681"/>
      <c r="UO105" s="816">
        <f t="shared" si="67"/>
        <v>0.86468840008127157</v>
      </c>
      <c r="UP105" s="816"/>
      <c r="UQ105" s="816"/>
      <c r="UR105" s="816"/>
      <c r="US105" s="866">
        <f t="shared" si="68"/>
        <v>0.91805265123741109</v>
      </c>
      <c r="UT105" s="866"/>
      <c r="UU105" s="866"/>
      <c r="UV105" s="866"/>
      <c r="UW105" s="866"/>
      <c r="VN105" s="144"/>
      <c r="VO105" s="144"/>
      <c r="VP105" s="144"/>
      <c r="VQ105" s="144"/>
      <c r="VR105" s="144"/>
      <c r="VS105" s="144"/>
      <c r="VT105" s="144"/>
      <c r="VU105" s="144"/>
      <c r="VV105" s="144"/>
      <c r="VW105" s="144"/>
      <c r="VX105" s="144"/>
      <c r="XO105" s="798"/>
      <c r="XP105" s="799"/>
      <c r="XQ105" s="800"/>
      <c r="XR105" s="827"/>
      <c r="XS105" s="706"/>
      <c r="XT105" s="707"/>
      <c r="XU105" s="707"/>
      <c r="XV105" s="707"/>
      <c r="XW105" s="707"/>
      <c r="XX105" s="707"/>
      <c r="XY105" s="707"/>
      <c r="XZ105" s="707"/>
      <c r="YA105" s="707"/>
      <c r="YB105" s="707"/>
      <c r="YC105" s="707"/>
      <c r="YD105" s="707"/>
      <c r="YE105" s="708"/>
      <c r="YF105" s="925"/>
      <c r="YG105" s="926"/>
      <c r="YH105" s="707"/>
      <c r="YI105" s="708"/>
      <c r="YJ105" s="715"/>
      <c r="YK105" s="743"/>
      <c r="YL105" s="745"/>
      <c r="YM105" s="747"/>
      <c r="YN105" s="715"/>
      <c r="YO105" s="743"/>
      <c r="YP105" s="745"/>
      <c r="YQ105" s="747"/>
      <c r="AAD105" s="947"/>
      <c r="AAE105" s="947"/>
      <c r="AAF105" s="947"/>
      <c r="AAG105" s="947"/>
      <c r="AAH105" s="535">
        <v>32</v>
      </c>
      <c r="AAI105" s="956"/>
      <c r="AAJ105" s="957"/>
      <c r="AAK105" s="958">
        <f t="shared" si="59"/>
        <v>0.42666666666666669</v>
      </c>
      <c r="AAL105" s="959"/>
      <c r="AAN105" s="947"/>
      <c r="AAO105" s="947"/>
      <c r="AAP105" s="947"/>
      <c r="AAQ105" s="947"/>
      <c r="AAR105" s="535">
        <v>92</v>
      </c>
      <c r="AAS105" s="956"/>
      <c r="AAT105" s="957"/>
      <c r="AAU105" s="958">
        <f t="shared" si="60"/>
        <v>1.2266666666666668</v>
      </c>
      <c r="AAV105" s="959"/>
      <c r="AAX105" s="947"/>
      <c r="AAY105" s="947"/>
      <c r="AAZ105" s="947"/>
      <c r="ABA105" s="947"/>
      <c r="ABB105" s="535">
        <v>152</v>
      </c>
      <c r="ABC105" s="956"/>
      <c r="ABD105" s="957"/>
      <c r="ABE105" s="958">
        <f t="shared" si="61"/>
        <v>2.0266666666666668</v>
      </c>
      <c r="ABF105" s="959"/>
      <c r="ABH105" s="947"/>
      <c r="ABI105" s="947"/>
      <c r="ABJ105" s="947"/>
      <c r="ABK105" s="947"/>
      <c r="ABL105" s="537">
        <v>212</v>
      </c>
      <c r="ABM105" s="956"/>
      <c r="ABN105" s="957"/>
      <c r="ABO105" s="958">
        <f t="shared" si="62"/>
        <v>2.8266666666666667</v>
      </c>
      <c r="ABP105" s="959"/>
      <c r="ABR105" s="947"/>
      <c r="ABS105" s="947"/>
      <c r="ABT105" s="947"/>
      <c r="ABU105" s="947"/>
      <c r="ABV105" s="537">
        <v>272</v>
      </c>
      <c r="ABW105" s="956"/>
      <c r="ABX105" s="957"/>
      <c r="ABY105" s="958">
        <f t="shared" si="63"/>
        <v>3.6266666666666669</v>
      </c>
      <c r="ABZ105" s="959"/>
      <c r="ACK105" s="144"/>
      <c r="ACU105" s="144"/>
      <c r="ACV105" s="144"/>
      <c r="ACW105" s="144"/>
      <c r="ACX105" s="144"/>
      <c r="ACY105" s="144"/>
      <c r="ACZ105" s="144"/>
      <c r="ADB105" s="1033">
        <v>27</v>
      </c>
      <c r="ADC105" s="1033"/>
      <c r="ADD105" s="857"/>
      <c r="ADE105" s="1015"/>
      <c r="ADF105" s="1015"/>
      <c r="ADG105" s="1015"/>
      <c r="ADH105" s="1015"/>
      <c r="ADI105" s="858"/>
      <c r="ADJ105" s="1070" t="s">
        <v>762</v>
      </c>
      <c r="ADK105" s="1070"/>
      <c r="ADL105" s="1034"/>
      <c r="ADM105" s="1034"/>
      <c r="ADN105" s="1034"/>
      <c r="ADO105" s="1034"/>
      <c r="ADP105" s="1034"/>
      <c r="ADQ105" s="1034"/>
      <c r="ADR105" s="1034"/>
      <c r="ADS105" s="1034"/>
      <c r="ADT105" s="1034"/>
      <c r="ADU105" s="1034"/>
      <c r="ADV105" s="1034"/>
      <c r="ADW105" s="1034"/>
      <c r="ADX105" s="181"/>
      <c r="ADY105" s="182"/>
      <c r="ADZ105" s="182"/>
      <c r="AEA105" s="182"/>
      <c r="AEB105" s="182"/>
      <c r="AEC105" s="182"/>
      <c r="AED105" s="182"/>
      <c r="AEE105" s="185"/>
      <c r="AEF105" s="172"/>
      <c r="AEG105" s="172"/>
      <c r="AEH105" s="172"/>
      <c r="AEI105" s="172"/>
      <c r="AEJ105" s="172"/>
      <c r="AEK105" s="177"/>
    </row>
    <row r="106" spans="68:947" ht="48" customHeight="1" thickBot="1">
      <c r="BP106" s="144"/>
      <c r="BQ106" s="144"/>
      <c r="BR106" s="144"/>
      <c r="BS106" s="144"/>
      <c r="BT106" s="55"/>
      <c r="BV106" s="55"/>
      <c r="DZ106" s="85" t="s">
        <v>1815</v>
      </c>
      <c r="EA106" s="665" t="s">
        <v>442</v>
      </c>
      <c r="EB106" s="666"/>
      <c r="EC106" s="152"/>
      <c r="ED106" s="87"/>
      <c r="EE106" s="87"/>
      <c r="EF106" s="87"/>
      <c r="EG106" s="87"/>
      <c r="EH106" s="87"/>
      <c r="EI106" s="87"/>
      <c r="EJ106" s="152"/>
      <c r="EK106" s="85" t="s">
        <v>467</v>
      </c>
      <c r="EL106" s="757" t="s">
        <v>461</v>
      </c>
      <c r="EM106" s="758"/>
      <c r="EN106" s="819" t="s">
        <v>126</v>
      </c>
      <c r="EO106" s="820"/>
      <c r="EP106" s="675" t="s">
        <v>731</v>
      </c>
      <c r="EQ106" s="676"/>
      <c r="ER106" s="769" t="s">
        <v>473</v>
      </c>
      <c r="ES106" s="769"/>
      <c r="ET106" s="769"/>
      <c r="EU106" s="769"/>
      <c r="EV106" s="769"/>
      <c r="EW106" s="769" t="s">
        <v>462</v>
      </c>
      <c r="EX106" s="769"/>
      <c r="EY106" s="769"/>
      <c r="EZ106" s="769"/>
      <c r="FA106" s="769"/>
      <c r="FB106" s="769"/>
      <c r="FC106" s="769"/>
      <c r="FV106" s="144"/>
      <c r="FW106" s="144"/>
      <c r="FX106" s="144"/>
      <c r="FY106" s="144"/>
      <c r="FZ106" s="144"/>
      <c r="GA106" s="144"/>
      <c r="GB106" s="144"/>
      <c r="GC106" s="6"/>
      <c r="GD106" s="3"/>
      <c r="GE106" s="3"/>
      <c r="GF106" s="133"/>
      <c r="GG106" s="673" t="s">
        <v>1185</v>
      </c>
      <c r="GH106" s="674"/>
      <c r="GI106" s="1074">
        <f>$IH$88</f>
        <v>4.8</v>
      </c>
      <c r="GJ106" s="1074"/>
      <c r="GK106" s="700" t="s">
        <v>63</v>
      </c>
      <c r="GL106" s="701"/>
      <c r="GM106" s="701"/>
      <c r="GN106" s="701"/>
      <c r="GO106" s="701"/>
      <c r="GP106" s="701"/>
      <c r="GQ106" s="701"/>
      <c r="GR106" s="701"/>
      <c r="GS106" s="702"/>
      <c r="GT106" s="1087">
        <f>(3.14/8)*(GI106^2+GI107^2)+0.5*(GI106+GI107)*GI108</f>
        <v>37.311671496815286</v>
      </c>
      <c r="GU106" s="1006"/>
      <c r="GV106" s="812" t="s">
        <v>798</v>
      </c>
      <c r="GW106" s="813"/>
      <c r="GX106" s="714"/>
      <c r="GY106" s="740" t="s">
        <v>1470</v>
      </c>
      <c r="GZ106" s="741"/>
      <c r="HA106" s="742"/>
      <c r="HB106" s="746"/>
      <c r="HC106" s="767"/>
      <c r="HD106" s="767"/>
      <c r="HE106" s="767"/>
      <c r="HF106" s="767"/>
      <c r="HG106" s="767"/>
      <c r="HH106" s="767"/>
      <c r="HI106" s="767"/>
      <c r="HJ106" s="767"/>
      <c r="HK106" s="767"/>
      <c r="HL106" s="767"/>
      <c r="HM106" s="767"/>
      <c r="HN106" s="767"/>
      <c r="HO106" s="767"/>
      <c r="IR106" s="767"/>
      <c r="IS106" s="246" t="s">
        <v>1168</v>
      </c>
      <c r="IT106" s="884">
        <f>$JG$110</f>
        <v>1.2559999999999999E-6</v>
      </c>
      <c r="IU106" s="884"/>
      <c r="IV106" s="246" t="s">
        <v>1170</v>
      </c>
      <c r="IW106" s="756">
        <f>$JF$114</f>
        <v>1.0769230769230769</v>
      </c>
      <c r="IX106" s="756"/>
      <c r="IY106" s="939" t="s">
        <v>72</v>
      </c>
      <c r="IZ106" s="940"/>
      <c r="JA106" s="940"/>
      <c r="JB106" s="940"/>
      <c r="JC106" s="940"/>
      <c r="JD106" s="940"/>
      <c r="JE106" s="1003"/>
      <c r="JF106" s="763">
        <f>(2/((4*3.14)/10^7))*CL92*GW12/1000*JF114</f>
        <v>2604.6891221021392</v>
      </c>
      <c r="JG106" s="764"/>
      <c r="JH106" s="759" t="s">
        <v>35</v>
      </c>
      <c r="JI106" s="760"/>
      <c r="JJ106" s="714"/>
      <c r="JK106" s="740" t="s">
        <v>1166</v>
      </c>
      <c r="JL106" s="742"/>
      <c r="JM106" s="746"/>
      <c r="JN106" s="767"/>
      <c r="JO106" s="767"/>
      <c r="JP106" s="767"/>
      <c r="JQ106" s="767"/>
      <c r="JR106" s="767"/>
      <c r="LO106" s="144"/>
      <c r="LP106" s="144"/>
      <c r="LQ106" s="144"/>
      <c r="LR106" s="144"/>
      <c r="LS106" s="144"/>
      <c r="LV106" s="150"/>
      <c r="LW106" s="973"/>
      <c r="LX106" s="973"/>
      <c r="LY106" s="973"/>
      <c r="LZ106" s="973"/>
      <c r="MA106" s="973"/>
      <c r="MB106" s="973"/>
      <c r="MC106" s="973"/>
      <c r="MD106" s="973"/>
      <c r="ME106" s="973"/>
      <c r="MF106" s="973"/>
      <c r="MG106" s="973"/>
      <c r="MH106" s="973"/>
      <c r="MI106" s="973"/>
      <c r="MJ106" s="973"/>
      <c r="MK106" s="973"/>
      <c r="ML106" s="973"/>
      <c r="MM106" s="973"/>
      <c r="MN106" s="973"/>
      <c r="MO106" s="973"/>
      <c r="MP106" s="973"/>
      <c r="MQ106" s="973"/>
      <c r="MR106" s="973"/>
      <c r="MS106" s="973"/>
      <c r="MT106" s="973"/>
      <c r="MU106" s="973"/>
      <c r="MV106" s="973"/>
      <c r="MW106" s="973"/>
      <c r="MX106" s="973"/>
      <c r="MY106" s="973"/>
      <c r="MZ106" s="973"/>
      <c r="NA106" s="973"/>
      <c r="NB106" s="973"/>
      <c r="NC106" s="973"/>
      <c r="ND106" s="973"/>
      <c r="NE106" s="973"/>
      <c r="NF106" s="973"/>
      <c r="NG106" s="973"/>
      <c r="NH106" s="973"/>
      <c r="NI106" s="973"/>
      <c r="NJ106" s="973"/>
      <c r="NK106" s="973"/>
      <c r="NL106" s="973"/>
      <c r="NM106" s="973"/>
      <c r="NN106" s="973"/>
      <c r="NO106" s="973"/>
      <c r="NP106" s="973"/>
      <c r="NQ106" s="973"/>
      <c r="NR106" s="973"/>
      <c r="NS106" s="973"/>
      <c r="NT106" s="973"/>
      <c r="NU106" s="973"/>
      <c r="NV106" s="973"/>
      <c r="NW106" s="973"/>
      <c r="NX106" s="973"/>
      <c r="NY106" s="973"/>
      <c r="NZ106" s="973"/>
      <c r="OA106" s="973"/>
      <c r="OB106" s="973"/>
      <c r="OC106" s="973"/>
      <c r="OD106" s="973"/>
      <c r="OE106" s="973"/>
      <c r="OF106" s="973"/>
      <c r="OG106" s="973"/>
      <c r="OH106" s="973"/>
      <c r="OI106" s="973"/>
      <c r="OJ106" s="973"/>
      <c r="OK106" s="973"/>
      <c r="OL106" s="973"/>
      <c r="OM106" s="973"/>
      <c r="ON106" s="973"/>
      <c r="OO106" s="973"/>
      <c r="OP106" s="973"/>
      <c r="OQ106" s="973"/>
      <c r="OR106" s="973"/>
      <c r="OS106" s="143"/>
      <c r="OU106" s="144"/>
      <c r="OV106" s="144"/>
      <c r="OW106" s="144"/>
      <c r="OX106" s="144"/>
      <c r="OY106" s="144"/>
      <c r="OZ106" s="144"/>
      <c r="PA106" s="144"/>
      <c r="PJ106" s="827"/>
      <c r="PK106" s="550" t="s">
        <v>1129</v>
      </c>
      <c r="PL106" s="828">
        <f>$GT$32</f>
        <v>9.0185672413793123E-3</v>
      </c>
      <c r="PM106" s="828"/>
      <c r="PN106" s="706"/>
      <c r="PO106" s="707"/>
      <c r="PP106" s="707"/>
      <c r="PQ106" s="707"/>
      <c r="PR106" s="707"/>
      <c r="PS106" s="707"/>
      <c r="PT106" s="707"/>
      <c r="PU106" s="707"/>
      <c r="PV106" s="707"/>
      <c r="PW106" s="708"/>
      <c r="PX106" s="1012"/>
      <c r="PY106" s="1013"/>
      <c r="PZ106" s="1013"/>
      <c r="QA106" s="1013"/>
      <c r="QB106" s="1013"/>
      <c r="QC106" s="1013"/>
      <c r="QD106" s="1013"/>
      <c r="QE106" s="1013"/>
      <c r="QF106" s="1014"/>
      <c r="QG106" s="892"/>
      <c r="QH106" s="893"/>
      <c r="QI106" s="893"/>
      <c r="QJ106" s="893"/>
      <c r="QK106" s="893"/>
      <c r="QL106" s="893"/>
      <c r="QM106" s="894"/>
      <c r="RC106" s="369">
        <v>88</v>
      </c>
      <c r="RD106" s="668">
        <v>8.7999999999999995E-2</v>
      </c>
      <c r="RE106" s="669"/>
      <c r="RF106" s="670">
        <f t="shared" si="81"/>
        <v>7.7389969278499491</v>
      </c>
      <c r="RG106" s="670"/>
      <c r="RH106" s="670"/>
      <c r="RI106" s="670"/>
      <c r="RJ106" s="698">
        <f t="shared" si="69"/>
        <v>30</v>
      </c>
      <c r="RK106" s="699"/>
      <c r="RL106" s="726"/>
      <c r="RM106" s="670">
        <f t="shared" si="70"/>
        <v>7.927498098066394</v>
      </c>
      <c r="RN106" s="670"/>
      <c r="RO106" s="670"/>
      <c r="RP106" s="670"/>
      <c r="RQ106" s="670"/>
      <c r="RR106" s="670"/>
      <c r="RS106" s="671">
        <f t="shared" si="64"/>
        <v>1.560804663639157</v>
      </c>
      <c r="RT106" s="671"/>
      <c r="RU106" s="671"/>
      <c r="RV106" s="671"/>
      <c r="RW106" s="671"/>
      <c r="RX106" s="671"/>
      <c r="RY106" s="681">
        <f t="shared" si="71"/>
        <v>8.0796867075947958</v>
      </c>
      <c r="RZ106" s="681"/>
      <c r="SA106" s="681"/>
      <c r="SB106" s="681"/>
      <c r="SC106" s="681">
        <f>'Вывод расчетов'!$AQ$6/RY106</f>
        <v>47.031526561890715</v>
      </c>
      <c r="SD106" s="681"/>
      <c r="SE106" s="681"/>
      <c r="SF106" s="681"/>
      <c r="SG106" s="867">
        <f t="shared" si="72"/>
        <v>0.98116404570670468</v>
      </c>
      <c r="SH106" s="867"/>
      <c r="SI106" s="867"/>
      <c r="SJ106" s="867"/>
      <c r="SK106" s="865">
        <f t="shared" si="73"/>
        <v>0.19317638419965241</v>
      </c>
      <c r="SL106" s="865"/>
      <c r="SM106" s="865"/>
      <c r="SN106" s="865"/>
      <c r="SO106" s="692">
        <f t="shared" si="80"/>
        <v>46.495965318358287</v>
      </c>
      <c r="SP106" s="693"/>
      <c r="SQ106" s="693"/>
      <c r="SR106" s="693"/>
      <c r="SS106" s="694"/>
      <c r="ST106" s="668">
        <f t="shared" si="78"/>
        <v>20.067457006611953</v>
      </c>
      <c r="SU106" s="678"/>
      <c r="SV106" s="678"/>
      <c r="SW106" s="678"/>
      <c r="SX106" s="678"/>
      <c r="SY106" s="669"/>
      <c r="SZ106" s="682">
        <f t="shared" si="74"/>
        <v>50.641658953851383</v>
      </c>
      <c r="TA106" s="683"/>
      <c r="TB106" s="683"/>
      <c r="TC106" s="683"/>
      <c r="TD106" s="683"/>
      <c r="TE106" s="684"/>
      <c r="TF106" s="682">
        <f>'Вывод расчетов'!$XC$174*SC106</f>
        <v>47.780532698627056</v>
      </c>
      <c r="TG106" s="683"/>
      <c r="TH106" s="684"/>
      <c r="TI106" s="681">
        <f t="shared" si="79"/>
        <v>53.005400462928449</v>
      </c>
      <c r="TJ106" s="681"/>
      <c r="TK106" s="681"/>
      <c r="TL106" s="681"/>
      <c r="TM106" s="685">
        <f t="shared" si="75"/>
        <v>1.4275431412736181</v>
      </c>
      <c r="TN106" s="686"/>
      <c r="TO106" s="686"/>
      <c r="TP106" s="687"/>
      <c r="TQ106" s="688">
        <f t="shared" si="76"/>
        <v>4.5192540091681526</v>
      </c>
      <c r="TR106" s="688"/>
      <c r="TS106" s="688"/>
      <c r="TT106" s="688"/>
      <c r="TU106" s="689">
        <f t="shared" si="77"/>
        <v>0.40495039685902556</v>
      </c>
      <c r="TV106" s="690"/>
      <c r="TW106" s="690"/>
      <c r="TX106" s="690"/>
      <c r="TY106" s="690"/>
      <c r="TZ106" s="691"/>
      <c r="UA106" s="679">
        <v>8.7999999999999995E-2</v>
      </c>
      <c r="UB106" s="680"/>
      <c r="UC106" s="650">
        <v>0.88</v>
      </c>
      <c r="UD106" s="866">
        <f t="shared" si="65"/>
        <v>7.2320343631282107</v>
      </c>
      <c r="UE106" s="866"/>
      <c r="UF106" s="866"/>
      <c r="UG106" s="866"/>
      <c r="UH106" s="866"/>
      <c r="UI106" s="866"/>
      <c r="UJ106" s="866"/>
      <c r="UK106" s="681">
        <f t="shared" si="66"/>
        <v>45.773366099800242</v>
      </c>
      <c r="UL106" s="681"/>
      <c r="UM106" s="681"/>
      <c r="UN106" s="681"/>
      <c r="UO106" s="816">
        <f t="shared" si="67"/>
        <v>0.86356042403290134</v>
      </c>
      <c r="UP106" s="816"/>
      <c r="UQ106" s="816"/>
      <c r="UR106" s="816"/>
      <c r="US106" s="866">
        <f t="shared" si="68"/>
        <v>0.91813669375896678</v>
      </c>
      <c r="UT106" s="866"/>
      <c r="UU106" s="866"/>
      <c r="UV106" s="866"/>
      <c r="UW106" s="866"/>
      <c r="VN106" s="144"/>
      <c r="VO106" s="144"/>
      <c r="VP106" s="144"/>
      <c r="VQ106" s="144"/>
      <c r="VR106" s="144"/>
      <c r="VS106" s="144"/>
      <c r="VT106" s="144"/>
      <c r="VU106" s="144"/>
      <c r="VV106" s="144"/>
      <c r="VW106" s="144"/>
      <c r="VX106" s="144"/>
      <c r="AAD106" s="947"/>
      <c r="AAE106" s="947"/>
      <c r="AAF106" s="947"/>
      <c r="AAG106" s="947"/>
      <c r="AAH106" s="535">
        <v>33</v>
      </c>
      <c r="AAI106" s="956"/>
      <c r="AAJ106" s="957"/>
      <c r="AAK106" s="958">
        <f t="shared" si="59"/>
        <v>0.44</v>
      </c>
      <c r="AAL106" s="959"/>
      <c r="AAN106" s="947"/>
      <c r="AAO106" s="947"/>
      <c r="AAP106" s="947"/>
      <c r="AAQ106" s="947"/>
      <c r="AAR106" s="535">
        <v>93</v>
      </c>
      <c r="AAS106" s="956"/>
      <c r="AAT106" s="957"/>
      <c r="AAU106" s="958">
        <f t="shared" si="60"/>
        <v>1.24</v>
      </c>
      <c r="AAV106" s="959"/>
      <c r="AAX106" s="947"/>
      <c r="AAY106" s="947"/>
      <c r="AAZ106" s="947"/>
      <c r="ABA106" s="947"/>
      <c r="ABB106" s="535">
        <v>153</v>
      </c>
      <c r="ABC106" s="956"/>
      <c r="ABD106" s="957"/>
      <c r="ABE106" s="958">
        <f t="shared" si="61"/>
        <v>2.04</v>
      </c>
      <c r="ABF106" s="959"/>
      <c r="ABH106" s="947"/>
      <c r="ABI106" s="947"/>
      <c r="ABJ106" s="947"/>
      <c r="ABK106" s="947"/>
      <c r="ABL106" s="537">
        <v>213</v>
      </c>
      <c r="ABM106" s="956"/>
      <c r="ABN106" s="957"/>
      <c r="ABO106" s="958">
        <f t="shared" si="62"/>
        <v>2.8400000000000003</v>
      </c>
      <c r="ABP106" s="959"/>
      <c r="ABR106" s="947"/>
      <c r="ABS106" s="947"/>
      <c r="ABT106" s="947"/>
      <c r="ABU106" s="947"/>
      <c r="ABV106" s="537">
        <v>273</v>
      </c>
      <c r="ABW106" s="956"/>
      <c r="ABX106" s="957"/>
      <c r="ABY106" s="958">
        <f t="shared" si="63"/>
        <v>3.64</v>
      </c>
      <c r="ABZ106" s="959"/>
      <c r="ACK106" s="144"/>
      <c r="ACU106" s="144"/>
      <c r="ACV106" s="144"/>
      <c r="ACW106" s="144"/>
      <c r="ACX106" s="144"/>
      <c r="ACY106" s="144"/>
      <c r="ACZ106" s="144"/>
      <c r="ADB106" s="1033"/>
      <c r="ADC106" s="1033"/>
      <c r="ADD106" s="861"/>
      <c r="ADE106" s="1017"/>
      <c r="ADF106" s="1017"/>
      <c r="ADG106" s="1017"/>
      <c r="ADH106" s="1017"/>
      <c r="ADI106" s="862"/>
      <c r="ADJ106" s="1070"/>
      <c r="ADK106" s="1070"/>
      <c r="ADL106" s="1034"/>
      <c r="ADM106" s="1034"/>
      <c r="ADN106" s="1034"/>
      <c r="ADO106" s="1034"/>
      <c r="ADP106" s="1034"/>
      <c r="ADQ106" s="1034"/>
      <c r="ADR106" s="1034"/>
      <c r="ADS106" s="1034"/>
      <c r="ADT106" s="1034"/>
      <c r="ADU106" s="1034"/>
      <c r="ADV106" s="1034"/>
      <c r="ADW106" s="1034"/>
      <c r="ADX106" s="183"/>
      <c r="ADY106" s="184"/>
      <c r="ADZ106" s="184"/>
      <c r="AEA106" s="184"/>
      <c r="AEB106" s="184"/>
      <c r="AEC106" s="184"/>
      <c r="AED106" s="184"/>
      <c r="AEE106" s="186"/>
      <c r="AEF106" s="172"/>
      <c r="AEG106" s="172"/>
      <c r="AEH106" s="172"/>
      <c r="AEI106" s="172"/>
      <c r="AEJ106" s="172"/>
      <c r="AEK106" s="177"/>
      <c r="AIM106" s="825"/>
      <c r="AIN106" s="665" t="s">
        <v>442</v>
      </c>
      <c r="AIO106" s="666"/>
      <c r="AIP106" s="156"/>
      <c r="AIQ106" s="87"/>
      <c r="AIR106" s="87"/>
      <c r="AIS106" s="87"/>
      <c r="AIT106" s="87"/>
      <c r="AIU106" s="87"/>
      <c r="AIV106" s="87"/>
      <c r="AIW106" s="156"/>
      <c r="AIX106" s="85" t="s">
        <v>467</v>
      </c>
      <c r="AIY106" s="757" t="s">
        <v>461</v>
      </c>
      <c r="AIZ106" s="758"/>
      <c r="AJA106" s="819" t="s">
        <v>126</v>
      </c>
      <c r="AJB106" s="820"/>
      <c r="AJC106" s="675" t="s">
        <v>731</v>
      </c>
      <c r="AJD106" s="676"/>
      <c r="AJE106" s="821" t="s">
        <v>473</v>
      </c>
      <c r="AJF106" s="822"/>
      <c r="AJG106" s="822"/>
      <c r="AJH106" s="823"/>
    </row>
    <row r="107" spans="68:947" ht="48" customHeight="1" thickBot="1">
      <c r="BP107" s="144"/>
      <c r="BQ107" s="144"/>
      <c r="BR107" s="144"/>
      <c r="BS107" s="144"/>
      <c r="BT107" s="55"/>
      <c r="BV107" s="55"/>
      <c r="DM107" s="144"/>
      <c r="DN107" s="144"/>
      <c r="DO107" s="144"/>
      <c r="DP107" s="144"/>
      <c r="DQ107" s="144"/>
      <c r="DZ107" s="825"/>
      <c r="EA107" s="740" t="s">
        <v>1209</v>
      </c>
      <c r="EB107" s="741"/>
      <c r="EC107" s="741"/>
      <c r="ED107" s="741"/>
      <c r="EE107" s="741"/>
      <c r="EF107" s="741"/>
      <c r="EG107" s="741"/>
      <c r="EH107" s="741"/>
      <c r="EI107" s="741"/>
      <c r="EJ107" s="741"/>
      <c r="EK107" s="741"/>
      <c r="EL107" s="741"/>
      <c r="EM107" s="1373"/>
      <c r="EN107" s="752">
        <f>EQ87-EQ58</f>
        <v>22.3</v>
      </c>
      <c r="EO107" s="753"/>
      <c r="EP107" s="759" t="s">
        <v>50</v>
      </c>
      <c r="EQ107" s="760"/>
      <c r="ER107" s="712"/>
      <c r="ES107" s="952" t="s">
        <v>1746</v>
      </c>
      <c r="ET107" s="1151"/>
      <c r="EU107" s="953"/>
      <c r="EV107" s="746"/>
      <c r="EW107" s="767"/>
      <c r="EX107" s="767"/>
      <c r="EY107" s="767"/>
      <c r="EZ107" s="767"/>
      <c r="FA107" s="767"/>
      <c r="FB107" s="767"/>
      <c r="FC107" s="767"/>
      <c r="FJ107" s="139"/>
      <c r="FK107" s="139"/>
      <c r="FL107" s="139"/>
      <c r="FM107" s="139"/>
      <c r="FN107" s="139"/>
      <c r="FO107" s="139"/>
      <c r="FP107" s="139"/>
      <c r="FQ107" s="139"/>
      <c r="FR107" s="139"/>
      <c r="FS107" s="139"/>
      <c r="FT107" s="139"/>
      <c r="FU107" s="139"/>
      <c r="FV107" s="144"/>
      <c r="FW107" s="144"/>
      <c r="FX107" s="144"/>
      <c r="FY107" s="144"/>
      <c r="FZ107" s="144"/>
      <c r="GA107" s="144"/>
      <c r="GB107" s="144"/>
      <c r="GF107" s="133"/>
      <c r="GG107" s="673" t="s">
        <v>1201</v>
      </c>
      <c r="GH107" s="674"/>
      <c r="GI107" s="756">
        <f>$IH$92</f>
        <v>4.3</v>
      </c>
      <c r="GJ107" s="756"/>
      <c r="GK107" s="703"/>
      <c r="GL107" s="704"/>
      <c r="GM107" s="704"/>
      <c r="GN107" s="704"/>
      <c r="GO107" s="704"/>
      <c r="GP107" s="704"/>
      <c r="GQ107" s="704"/>
      <c r="GR107" s="704"/>
      <c r="GS107" s="705"/>
      <c r="GT107" s="1089"/>
      <c r="GU107" s="708"/>
      <c r="GV107" s="814"/>
      <c r="GW107" s="815"/>
      <c r="GX107" s="715"/>
      <c r="GY107" s="743"/>
      <c r="GZ107" s="744"/>
      <c r="HA107" s="745"/>
      <c r="HB107" s="747"/>
      <c r="HC107" s="767"/>
      <c r="HD107" s="767"/>
      <c r="HE107" s="767"/>
      <c r="HF107" s="767"/>
      <c r="HG107" s="767"/>
      <c r="HH107" s="767"/>
      <c r="HI107" s="767"/>
      <c r="HJ107" s="767"/>
      <c r="HK107" s="767"/>
      <c r="HL107" s="767"/>
      <c r="HM107" s="767"/>
      <c r="HN107" s="767"/>
      <c r="HO107" s="767"/>
      <c r="HR107" s="144"/>
      <c r="HS107" s="144"/>
      <c r="HT107" s="144"/>
      <c r="HU107" s="144"/>
      <c r="HV107" s="144"/>
      <c r="HW107" s="144"/>
      <c r="HX107" s="144"/>
      <c r="HY107" s="144"/>
      <c r="HZ107" s="144"/>
      <c r="IA107" s="144"/>
      <c r="IB107" s="144"/>
      <c r="IC107" s="144"/>
      <c r="IR107" s="768"/>
      <c r="IS107" s="252" t="s">
        <v>1169</v>
      </c>
      <c r="IT107" s="1268">
        <f>$CL$92</f>
        <v>0.75945292831578104</v>
      </c>
      <c r="IU107" s="1268"/>
      <c r="IV107" s="930"/>
      <c r="IW107" s="931"/>
      <c r="IX107" s="931"/>
      <c r="IY107" s="943"/>
      <c r="IZ107" s="944"/>
      <c r="JA107" s="944"/>
      <c r="JB107" s="944"/>
      <c r="JC107" s="944"/>
      <c r="JD107" s="944"/>
      <c r="JE107" s="1004"/>
      <c r="JF107" s="765"/>
      <c r="JG107" s="766"/>
      <c r="JH107" s="761"/>
      <c r="JI107" s="762"/>
      <c r="JJ107" s="715"/>
      <c r="JK107" s="743"/>
      <c r="JL107" s="745"/>
      <c r="JM107" s="747"/>
      <c r="JN107" s="768"/>
      <c r="JO107" s="768"/>
      <c r="JP107" s="768"/>
      <c r="JQ107" s="768"/>
      <c r="JR107" s="768"/>
      <c r="LO107" s="144"/>
      <c r="LP107" s="144"/>
      <c r="LQ107" s="144"/>
      <c r="LR107" s="144"/>
      <c r="LS107" s="144"/>
      <c r="LT107" s="144"/>
      <c r="LV107" s="403"/>
      <c r="LW107" s="740" t="s">
        <v>451</v>
      </c>
      <c r="LX107" s="742"/>
      <c r="LY107" s="740" t="s">
        <v>1420</v>
      </c>
      <c r="LZ107" s="742"/>
      <c r="MA107" s="399"/>
      <c r="MB107" s="399"/>
      <c r="MC107" s="399"/>
      <c r="MD107" s="399"/>
      <c r="ME107" s="399"/>
      <c r="MF107" s="399"/>
      <c r="MG107" s="399"/>
      <c r="MH107" s="399"/>
      <c r="MI107" s="399"/>
      <c r="MJ107" s="399"/>
      <c r="MK107" s="399"/>
      <c r="ML107" s="399"/>
      <c r="MM107" s="399"/>
      <c r="MN107" s="399"/>
      <c r="MO107" s="399"/>
      <c r="MP107" s="399"/>
      <c r="MQ107" s="399"/>
      <c r="MR107" s="399"/>
      <c r="MS107" s="399"/>
      <c r="MT107" s="405"/>
      <c r="MU107" s="405"/>
      <c r="MV107" s="405"/>
      <c r="MW107" s="405"/>
      <c r="MX107" s="405"/>
      <c r="MY107" s="405"/>
      <c r="MZ107" s="405"/>
      <c r="NA107" s="405"/>
      <c r="NB107" s="405"/>
      <c r="NC107" s="405"/>
      <c r="ND107" s="405"/>
      <c r="NE107" s="405"/>
      <c r="NF107" s="405"/>
      <c r="NG107" s="405"/>
      <c r="NH107" s="405"/>
      <c r="NI107" s="405"/>
      <c r="NJ107" s="405"/>
      <c r="NK107" s="405"/>
      <c r="NL107" s="405"/>
      <c r="NM107" s="405"/>
      <c r="NN107" s="405"/>
      <c r="NO107" s="405"/>
      <c r="NP107" s="405"/>
      <c r="NQ107" s="405"/>
      <c r="NR107" s="405"/>
      <c r="NS107" s="405"/>
      <c r="NT107" s="405"/>
      <c r="NU107" s="405"/>
      <c r="NV107" s="405"/>
      <c r="NW107" s="405"/>
      <c r="NX107" s="405"/>
      <c r="NY107" s="405"/>
      <c r="NZ107" s="405"/>
      <c r="OA107" s="405"/>
      <c r="OB107" s="405"/>
      <c r="OC107" s="405"/>
      <c r="OD107" s="405"/>
      <c r="OE107" s="405"/>
      <c r="OF107" s="405"/>
      <c r="OG107" s="405"/>
      <c r="OH107" s="405"/>
      <c r="OI107" s="405"/>
      <c r="OJ107" s="405"/>
      <c r="OK107" s="405"/>
      <c r="OL107" s="405"/>
      <c r="OM107" s="405"/>
      <c r="ON107" s="405"/>
      <c r="OO107" s="405"/>
      <c r="OP107" s="405"/>
      <c r="OQ107" s="405"/>
      <c r="OR107" s="405"/>
      <c r="OS107" s="406"/>
      <c r="OU107" s="144"/>
      <c r="OV107" s="144"/>
      <c r="PB107" s="144"/>
      <c r="PC107" s="144"/>
      <c r="QS107" s="144"/>
      <c r="QT107" s="144"/>
      <c r="QU107" s="144"/>
      <c r="QV107" s="144"/>
      <c r="QW107" s="144"/>
      <c r="RC107" s="369">
        <v>89</v>
      </c>
      <c r="RD107" s="668">
        <v>8.8999999999999996E-2</v>
      </c>
      <c r="RE107" s="669"/>
      <c r="RF107" s="670">
        <f t="shared" si="81"/>
        <v>7.6520419061887139</v>
      </c>
      <c r="RG107" s="670"/>
      <c r="RH107" s="670"/>
      <c r="RI107" s="670"/>
      <c r="RJ107" s="698">
        <f t="shared" si="69"/>
        <v>30</v>
      </c>
      <c r="RK107" s="699"/>
      <c r="RL107" s="726"/>
      <c r="RM107" s="670">
        <f t="shared" si="70"/>
        <v>7.8405430764051589</v>
      </c>
      <c r="RN107" s="670"/>
      <c r="RO107" s="670"/>
      <c r="RP107" s="670"/>
      <c r="RQ107" s="670"/>
      <c r="RR107" s="670"/>
      <c r="RS107" s="671">
        <f t="shared" si="64"/>
        <v>1.560804663639157</v>
      </c>
      <c r="RT107" s="671"/>
      <c r="RU107" s="671"/>
      <c r="RV107" s="671"/>
      <c r="RW107" s="671"/>
      <c r="RX107" s="671"/>
      <c r="RY107" s="681">
        <f t="shared" si="71"/>
        <v>7.9943872142274053</v>
      </c>
      <c r="RZ107" s="681"/>
      <c r="SA107" s="681"/>
      <c r="SB107" s="681"/>
      <c r="SC107" s="681">
        <f>'Вывод расчетов'!$AQ$6/RY107</f>
        <v>47.533349313343713</v>
      </c>
      <c r="SD107" s="681"/>
      <c r="SE107" s="681"/>
      <c r="SF107" s="681"/>
      <c r="SG107" s="867">
        <f t="shared" si="72"/>
        <v>0.98075598120285523</v>
      </c>
      <c r="SH107" s="867"/>
      <c r="SI107" s="867"/>
      <c r="SJ107" s="867"/>
      <c r="SK107" s="865">
        <f t="shared" si="73"/>
        <v>0.19523756128067365</v>
      </c>
      <c r="SL107" s="865"/>
      <c r="SM107" s="865"/>
      <c r="SN107" s="865"/>
      <c r="SO107" s="692">
        <f t="shared" si="80"/>
        <v>46.968939086797725</v>
      </c>
      <c r="SP107" s="693"/>
      <c r="SQ107" s="693"/>
      <c r="SR107" s="693"/>
      <c r="SS107" s="694"/>
      <c r="ST107" s="668">
        <f t="shared" si="78"/>
        <v>20.262371961435605</v>
      </c>
      <c r="SU107" s="678"/>
      <c r="SV107" s="678"/>
      <c r="SW107" s="678"/>
      <c r="SX107" s="678"/>
      <c r="SY107" s="669"/>
      <c r="SZ107" s="682">
        <f t="shared" si="74"/>
        <v>51.15315196977491</v>
      </c>
      <c r="TA107" s="683"/>
      <c r="TB107" s="683"/>
      <c r="TC107" s="683"/>
      <c r="TD107" s="683"/>
      <c r="TE107" s="684"/>
      <c r="TF107" s="682">
        <f>'Вывод расчетов'!$XC$174*SC107</f>
        <v>48.290347287638156</v>
      </c>
      <c r="TG107" s="683"/>
      <c r="TH107" s="684"/>
      <c r="TI107" s="681">
        <f t="shared" si="79"/>
        <v>53.544590558949409</v>
      </c>
      <c r="TJ107" s="681"/>
      <c r="TK107" s="681"/>
      <c r="TL107" s="681"/>
      <c r="TM107" s="685">
        <f t="shared" si="75"/>
        <v>1.456525834609145</v>
      </c>
      <c r="TN107" s="686"/>
      <c r="TO107" s="686"/>
      <c r="TP107" s="687"/>
      <c r="TQ107" s="688">
        <f t="shared" si="76"/>
        <v>4.6162086954131913</v>
      </c>
      <c r="TR107" s="688"/>
      <c r="TS107" s="688"/>
      <c r="TT107" s="688"/>
      <c r="TU107" s="689">
        <f t="shared" si="77"/>
        <v>0.41317190192527092</v>
      </c>
      <c r="TV107" s="690"/>
      <c r="TW107" s="690"/>
      <c r="TX107" s="690"/>
      <c r="TY107" s="690"/>
      <c r="TZ107" s="691"/>
      <c r="UA107" s="679">
        <v>8.8999999999999996E-2</v>
      </c>
      <c r="UB107" s="680"/>
      <c r="UC107" s="650">
        <v>0.89</v>
      </c>
      <c r="UD107" s="866">
        <f t="shared" si="65"/>
        <v>7.3661932477750209</v>
      </c>
      <c r="UE107" s="866"/>
      <c r="UF107" s="866"/>
      <c r="UG107" s="866"/>
      <c r="UH107" s="866"/>
      <c r="UI107" s="866"/>
      <c r="UJ107" s="866"/>
      <c r="UK107" s="681">
        <f t="shared" si="66"/>
        <v>46.178397311174386</v>
      </c>
      <c r="UL107" s="681"/>
      <c r="UM107" s="681"/>
      <c r="UN107" s="681"/>
      <c r="UO107" s="816">
        <f t="shared" si="67"/>
        <v>0.86242880614307282</v>
      </c>
      <c r="UP107" s="816"/>
      <c r="UQ107" s="816"/>
      <c r="UR107" s="816"/>
      <c r="US107" s="866">
        <f t="shared" si="68"/>
        <v>0.91820224713719445</v>
      </c>
      <c r="UT107" s="866"/>
      <c r="UU107" s="866"/>
      <c r="UV107" s="866"/>
      <c r="UW107" s="866"/>
      <c r="VN107" s="15"/>
      <c r="VO107" s="15"/>
      <c r="VP107" s="15"/>
      <c r="VQ107" s="30"/>
      <c r="XO107" s="825"/>
      <c r="XP107" s="665" t="s">
        <v>442</v>
      </c>
      <c r="XQ107" s="666"/>
      <c r="XR107" s="156"/>
      <c r="XS107" s="863" t="s">
        <v>1611</v>
      </c>
      <c r="XT107" s="863"/>
      <c r="XU107" s="863"/>
      <c r="XV107" s="756">
        <f>$YC$100</f>
        <v>0.72295981936751297</v>
      </c>
      <c r="XW107" s="756"/>
      <c r="XX107" s="87"/>
      <c r="XY107" s="156"/>
      <c r="XZ107" s="85" t="s">
        <v>467</v>
      </c>
      <c r="YA107" s="757" t="s">
        <v>461</v>
      </c>
      <c r="YB107" s="899"/>
      <c r="YC107" s="1130" t="s">
        <v>126</v>
      </c>
      <c r="YD107" s="1131"/>
      <c r="YE107" s="675" t="s">
        <v>731</v>
      </c>
      <c r="YF107" s="1094"/>
      <c r="YG107" s="769" t="s">
        <v>473</v>
      </c>
      <c r="YH107" s="769"/>
      <c r="YI107" s="769"/>
      <c r="YJ107" s="769"/>
      <c r="YK107" s="769"/>
      <c r="YL107" s="769" t="s">
        <v>462</v>
      </c>
      <c r="YM107" s="769"/>
      <c r="YN107" s="769"/>
      <c r="YO107" s="769"/>
      <c r="YP107" s="769"/>
      <c r="YQ107" s="769"/>
      <c r="YR107" s="769"/>
      <c r="YS107" s="769"/>
      <c r="AAD107" s="947"/>
      <c r="AAE107" s="947"/>
      <c r="AAF107" s="947"/>
      <c r="AAG107" s="947"/>
      <c r="AAH107" s="535">
        <v>34</v>
      </c>
      <c r="AAI107" s="956"/>
      <c r="AAJ107" s="957"/>
      <c r="AAK107" s="958">
        <f t="shared" si="59"/>
        <v>0.45333333333333337</v>
      </c>
      <c r="AAL107" s="959"/>
      <c r="AAN107" s="947"/>
      <c r="AAO107" s="947"/>
      <c r="AAP107" s="947"/>
      <c r="AAQ107" s="947"/>
      <c r="AAR107" s="535">
        <v>94</v>
      </c>
      <c r="AAS107" s="956"/>
      <c r="AAT107" s="957"/>
      <c r="AAU107" s="958">
        <f t="shared" si="60"/>
        <v>1.2533333333333334</v>
      </c>
      <c r="AAV107" s="959"/>
      <c r="AAX107" s="947"/>
      <c r="AAY107" s="947"/>
      <c r="AAZ107" s="947"/>
      <c r="ABA107" s="947"/>
      <c r="ABB107" s="535">
        <v>154</v>
      </c>
      <c r="ABC107" s="956"/>
      <c r="ABD107" s="957"/>
      <c r="ABE107" s="958">
        <f t="shared" si="61"/>
        <v>2.0533333333333337</v>
      </c>
      <c r="ABF107" s="959"/>
      <c r="ABH107" s="947"/>
      <c r="ABI107" s="947"/>
      <c r="ABJ107" s="947"/>
      <c r="ABK107" s="947"/>
      <c r="ABL107" s="537">
        <v>214</v>
      </c>
      <c r="ABM107" s="956"/>
      <c r="ABN107" s="957"/>
      <c r="ABO107" s="958">
        <f t="shared" si="62"/>
        <v>2.8533333333333335</v>
      </c>
      <c r="ABP107" s="959"/>
      <c r="ABR107" s="947"/>
      <c r="ABS107" s="947"/>
      <c r="ABT107" s="947"/>
      <c r="ABU107" s="947"/>
      <c r="ABV107" s="537">
        <v>274</v>
      </c>
      <c r="ABW107" s="956"/>
      <c r="ABX107" s="957"/>
      <c r="ABY107" s="958">
        <f t="shared" si="63"/>
        <v>3.6533333333333338</v>
      </c>
      <c r="ABZ107" s="959"/>
      <c r="ACK107" s="144"/>
      <c r="ACY107" s="144"/>
      <c r="ACZ107" s="144"/>
      <c r="ADB107" s="1035">
        <v>28</v>
      </c>
      <c r="ADC107" s="1036"/>
      <c r="ADD107" s="863" t="s">
        <v>1373</v>
      </c>
      <c r="ADE107" s="863"/>
      <c r="ADF107" s="863"/>
      <c r="ADG107" s="863"/>
      <c r="ADH107" s="756">
        <f>$MQ$164</f>
        <v>1.42</v>
      </c>
      <c r="ADI107" s="756"/>
      <c r="ADJ107" s="1032" t="s">
        <v>415</v>
      </c>
      <c r="ADK107" s="1032"/>
      <c r="ADL107" s="1032"/>
      <c r="ADM107" s="1032"/>
      <c r="ADN107" s="1032"/>
      <c r="ADO107" s="1032"/>
      <c r="ADP107" s="1032"/>
      <c r="ADQ107" s="1032"/>
      <c r="ADR107" s="1032"/>
      <c r="ADS107" s="1032"/>
      <c r="ADT107" s="1032"/>
      <c r="ADU107" s="1032"/>
      <c r="ADV107" s="1032"/>
      <c r="ADW107" s="1032"/>
      <c r="ADX107" s="857"/>
      <c r="ADY107" s="1015"/>
      <c r="ADZ107" s="1015"/>
      <c r="AEA107" s="1015"/>
      <c r="AEB107" s="1015"/>
      <c r="AEC107" s="1015"/>
      <c r="AED107" s="1015"/>
      <c r="AEE107" s="1015"/>
      <c r="AEF107" s="1015"/>
      <c r="AEG107" s="1015"/>
      <c r="AEH107" s="858"/>
      <c r="AEI107" s="172"/>
      <c r="AEJ107" s="172"/>
      <c r="AEK107" s="177"/>
      <c r="AIM107" s="826"/>
      <c r="AIN107" s="939" t="s">
        <v>1017</v>
      </c>
      <c r="AIO107" s="940"/>
      <c r="AIP107" s="940"/>
      <c r="AIQ107" s="940"/>
      <c r="AIR107" s="940"/>
      <c r="AIS107" s="940"/>
      <c r="AIT107" s="940"/>
      <c r="AIU107" s="940"/>
      <c r="AIV107" s="940"/>
      <c r="AIW107" s="940"/>
      <c r="AIX107" s="940"/>
      <c r="AIY107" s="940"/>
      <c r="AIZ107" s="1003"/>
      <c r="AJA107" s="763">
        <f>0.01*1000</f>
        <v>10</v>
      </c>
      <c r="AJB107" s="764"/>
      <c r="AJC107" s="1203" t="s">
        <v>50</v>
      </c>
      <c r="AJD107" s="1063"/>
      <c r="AJE107" s="712"/>
      <c r="AJF107" s="716" t="s">
        <v>442</v>
      </c>
      <c r="AJG107" s="717"/>
      <c r="AJH107" s="746"/>
    </row>
    <row r="108" spans="68:947" ht="48" customHeight="1" thickBot="1">
      <c r="BP108" s="144"/>
      <c r="BQ108" s="144"/>
      <c r="BR108" s="144"/>
      <c r="BS108" s="144"/>
      <c r="BT108" s="55"/>
      <c r="BV108" s="55"/>
      <c r="BX108" s="554"/>
      <c r="BY108" s="513"/>
      <c r="BZ108" s="589">
        <v>0.503</v>
      </c>
      <c r="CA108" s="589">
        <v>0.56699999999999995</v>
      </c>
      <c r="CB108" s="589">
        <v>0.63600000000000001</v>
      </c>
      <c r="CC108" s="589">
        <v>0.70899999999999996</v>
      </c>
      <c r="CD108" s="589">
        <v>0.78500000000000003</v>
      </c>
      <c r="CE108" s="589">
        <v>0.88300000000000001</v>
      </c>
      <c r="CF108" s="589">
        <v>0.98499999999999999</v>
      </c>
      <c r="CG108" s="589">
        <v>1.0940000000000001</v>
      </c>
      <c r="CH108" s="589">
        <v>1.2270000000000001</v>
      </c>
      <c r="CI108" s="589">
        <v>1.3680000000000001</v>
      </c>
      <c r="CJ108" s="589">
        <v>1.5389999999999999</v>
      </c>
      <c r="CK108" s="589">
        <v>1.7669999999999999</v>
      </c>
      <c r="CL108" s="589">
        <v>2.0110000000000001</v>
      </c>
      <c r="CM108" s="589">
        <v>2.27</v>
      </c>
      <c r="CN108" s="589">
        <v>2.54</v>
      </c>
      <c r="CO108" s="589">
        <v>2.83</v>
      </c>
      <c r="CP108" s="589">
        <v>3.14</v>
      </c>
      <c r="CQ108" s="589">
        <v>3.53</v>
      </c>
      <c r="CR108" s="603">
        <v>3.94</v>
      </c>
      <c r="CS108" s="603">
        <v>4.3600000000000003</v>
      </c>
      <c r="CT108" s="603">
        <v>4.91</v>
      </c>
      <c r="CU108" s="513"/>
      <c r="CV108" s="513"/>
      <c r="CW108" s="513"/>
      <c r="CX108" s="513"/>
      <c r="CY108" s="519"/>
      <c r="DM108" s="144"/>
      <c r="DN108" s="144"/>
      <c r="DO108" s="144"/>
      <c r="DP108" s="144"/>
      <c r="DQ108" s="144"/>
      <c r="DZ108" s="827"/>
      <c r="EA108" s="743"/>
      <c r="EB108" s="744"/>
      <c r="EC108" s="744"/>
      <c r="ED108" s="744"/>
      <c r="EE108" s="744"/>
      <c r="EF108" s="744"/>
      <c r="EG108" s="744"/>
      <c r="EH108" s="744"/>
      <c r="EI108" s="744"/>
      <c r="EJ108" s="744"/>
      <c r="EK108" s="744"/>
      <c r="EL108" s="744"/>
      <c r="EM108" s="1374"/>
      <c r="EN108" s="754"/>
      <c r="EO108" s="755"/>
      <c r="EP108" s="761"/>
      <c r="EQ108" s="762"/>
      <c r="ER108" s="713"/>
      <c r="ES108" s="954"/>
      <c r="ET108" s="1152"/>
      <c r="EU108" s="955"/>
      <c r="EV108" s="747"/>
      <c r="EW108" s="768"/>
      <c r="EX108" s="768"/>
      <c r="EY108" s="768"/>
      <c r="EZ108" s="768"/>
      <c r="FA108" s="768"/>
      <c r="FB108" s="768"/>
      <c r="FC108" s="768"/>
      <c r="FG108" s="139"/>
      <c r="FH108" s="139"/>
      <c r="FI108" s="139"/>
      <c r="FJ108" s="139"/>
      <c r="FK108" s="139"/>
      <c r="FL108" s="139"/>
      <c r="FM108" s="139"/>
      <c r="FN108" s="139"/>
      <c r="FO108" s="139"/>
      <c r="FP108" s="139"/>
      <c r="FQ108" s="139"/>
      <c r="FR108" s="139"/>
      <c r="FS108" s="139"/>
      <c r="FT108" s="139"/>
      <c r="FU108" s="139"/>
      <c r="FV108" s="144"/>
      <c r="FW108" s="144"/>
      <c r="FX108" s="144"/>
      <c r="FY108" s="144"/>
      <c r="FZ108" s="144"/>
      <c r="GA108" s="144"/>
      <c r="GB108" s="144"/>
      <c r="GC108" s="6"/>
      <c r="GD108" s="3"/>
      <c r="GE108" s="3"/>
      <c r="GF108" s="134"/>
      <c r="GG108" s="949" t="s">
        <v>1219</v>
      </c>
      <c r="GH108" s="962"/>
      <c r="GI108" s="672">
        <f>$GT$96</f>
        <v>4.6178343949044587</v>
      </c>
      <c r="GJ108" s="672"/>
      <c r="GK108" s="706"/>
      <c r="GL108" s="707"/>
      <c r="GM108" s="707"/>
      <c r="GN108" s="707"/>
      <c r="GO108" s="707"/>
      <c r="GP108" s="707"/>
      <c r="GQ108" s="707"/>
      <c r="GR108" s="707"/>
      <c r="GS108" s="708"/>
      <c r="GT108" s="1022"/>
      <c r="GU108" s="1023"/>
      <c r="GV108" s="1023"/>
      <c r="GW108" s="1023"/>
      <c r="GX108" s="1023"/>
      <c r="GY108" s="1023"/>
      <c r="GZ108" s="1023"/>
      <c r="HA108" s="1023"/>
      <c r="HB108" s="1024"/>
      <c r="HC108" s="768"/>
      <c r="HD108" s="768"/>
      <c r="HE108" s="768"/>
      <c r="HF108" s="768"/>
      <c r="HG108" s="768"/>
      <c r="HH108" s="768"/>
      <c r="HI108" s="768"/>
      <c r="HJ108" s="768"/>
      <c r="HK108" s="768"/>
      <c r="HL108" s="768"/>
      <c r="HM108" s="768"/>
      <c r="HN108" s="768"/>
      <c r="HO108" s="768"/>
      <c r="HR108" s="144"/>
      <c r="HS108" s="144"/>
      <c r="HT108" s="144"/>
      <c r="HU108" s="144"/>
      <c r="HV108" s="144"/>
      <c r="HW108" s="144"/>
      <c r="HX108" s="144"/>
      <c r="HY108" s="144"/>
      <c r="HZ108" s="144"/>
      <c r="IA108" s="144"/>
      <c r="IB108" s="144"/>
      <c r="IC108" s="144"/>
      <c r="ID108" s="144"/>
      <c r="LV108" s="403"/>
      <c r="LW108" s="743"/>
      <c r="LX108" s="745"/>
      <c r="LY108" s="743"/>
      <c r="LZ108" s="745"/>
      <c r="MA108" s="399"/>
      <c r="MB108" s="399"/>
      <c r="MC108" s="1600" t="s">
        <v>994</v>
      </c>
      <c r="MD108" s="1601"/>
      <c r="ME108" s="686" t="s">
        <v>1425</v>
      </c>
      <c r="MF108" s="686"/>
      <c r="MG108" s="687"/>
      <c r="MH108" s="816" t="s">
        <v>1426</v>
      </c>
      <c r="MI108" s="816"/>
      <c r="MJ108" s="816"/>
      <c r="MK108" s="816" t="s">
        <v>1427</v>
      </c>
      <c r="ML108" s="816"/>
      <c r="MM108" s="816"/>
      <c r="MN108" s="399"/>
      <c r="MO108" s="399"/>
      <c r="MP108" s="399"/>
      <c r="MQ108" s="399"/>
      <c r="MR108" s="399"/>
      <c r="MS108" s="399"/>
      <c r="MT108" s="399"/>
      <c r="MU108" s="399"/>
      <c r="MV108" s="399"/>
      <c r="MW108" s="399"/>
      <c r="MX108" s="399"/>
      <c r="MY108" s="399"/>
      <c r="MZ108" s="399"/>
      <c r="NA108" s="939" t="s">
        <v>1423</v>
      </c>
      <c r="NB108" s="940"/>
      <c r="NC108" s="940"/>
      <c r="ND108" s="940"/>
      <c r="NE108" s="940"/>
      <c r="NF108" s="940"/>
      <c r="NG108" s="816" t="s">
        <v>1419</v>
      </c>
      <c r="NH108" s="816"/>
      <c r="NI108" s="816"/>
      <c r="NJ108" s="1586" t="s">
        <v>126</v>
      </c>
      <c r="NK108" s="1586"/>
      <c r="NL108" s="1586"/>
      <c r="NM108" s="1639" t="s">
        <v>994</v>
      </c>
      <c r="NN108" s="1640"/>
      <c r="NO108" s="1641"/>
      <c r="NP108" s="1107"/>
      <c r="NQ108" s="1108"/>
      <c r="NR108" s="399"/>
      <c r="NS108" s="399"/>
      <c r="NT108" s="399"/>
      <c r="NU108" s="399"/>
      <c r="NV108" s="399"/>
      <c r="NW108" s="399"/>
      <c r="NX108" s="399"/>
      <c r="NY108" s="399"/>
      <c r="NZ108" s="399"/>
      <c r="OA108" s="399"/>
      <c r="OB108" s="399"/>
      <c r="OC108" s="399"/>
      <c r="OD108" s="399"/>
      <c r="OE108" s="399"/>
      <c r="OF108" s="399"/>
      <c r="OG108" s="399"/>
      <c r="OH108" s="399"/>
      <c r="OI108" s="399"/>
      <c r="OJ108" s="399"/>
      <c r="OK108" s="399"/>
      <c r="OL108" s="399"/>
      <c r="OM108" s="399"/>
      <c r="ON108" s="399"/>
      <c r="OO108" s="399"/>
      <c r="OP108" s="399"/>
      <c r="OQ108" s="399"/>
      <c r="OR108" s="399"/>
      <c r="OS108" s="400"/>
      <c r="OU108" s="144"/>
      <c r="OV108" s="144"/>
      <c r="OW108" s="144"/>
      <c r="OX108" s="144"/>
      <c r="OY108" s="144"/>
      <c r="OZ108" s="144"/>
      <c r="PA108" s="144"/>
      <c r="PB108" s="144"/>
      <c r="PC108" s="144"/>
      <c r="PJ108" s="825"/>
      <c r="PK108" s="695" t="s">
        <v>442</v>
      </c>
      <c r="PL108" s="695"/>
      <c r="PM108" s="504"/>
      <c r="PN108" s="548" t="s">
        <v>1194</v>
      </c>
      <c r="PO108" s="677">
        <f>$JF$66</f>
        <v>10.220000000000001</v>
      </c>
      <c r="PP108" s="677"/>
      <c r="PQ108" s="547" t="s">
        <v>1749</v>
      </c>
      <c r="PR108" s="677">
        <f>$AZ$86</f>
        <v>0.13</v>
      </c>
      <c r="PS108" s="698"/>
      <c r="PT108" s="504"/>
      <c r="PU108" s="85" t="s">
        <v>467</v>
      </c>
      <c r="PV108" s="757" t="s">
        <v>461</v>
      </c>
      <c r="PW108" s="899"/>
      <c r="PX108" s="819" t="s">
        <v>126</v>
      </c>
      <c r="PY108" s="820"/>
      <c r="PZ108" s="675" t="s">
        <v>731</v>
      </c>
      <c r="QA108" s="1094"/>
      <c r="QB108" s="769" t="s">
        <v>473</v>
      </c>
      <c r="QC108" s="769"/>
      <c r="QD108" s="769"/>
      <c r="QE108" s="769"/>
      <c r="QF108" s="769"/>
      <c r="QG108" s="769" t="s">
        <v>462</v>
      </c>
      <c r="QH108" s="769"/>
      <c r="QI108" s="769"/>
      <c r="QJ108" s="769"/>
      <c r="QK108" s="769"/>
      <c r="QL108" s="769"/>
      <c r="QM108" s="769"/>
      <c r="QN108" s="769"/>
      <c r="QO108" s="769"/>
      <c r="QP108" s="769"/>
      <c r="QQ108" s="769"/>
      <c r="QS108" s="144"/>
      <c r="QT108" s="144"/>
      <c r="QU108" s="144"/>
      <c r="QV108" s="144"/>
      <c r="QW108" s="144"/>
      <c r="RC108" s="369">
        <v>90</v>
      </c>
      <c r="RD108" s="668">
        <v>0.09</v>
      </c>
      <c r="RE108" s="669"/>
      <c r="RF108" s="670">
        <f t="shared" si="81"/>
        <v>7.5670192183421729</v>
      </c>
      <c r="RG108" s="670"/>
      <c r="RH108" s="670"/>
      <c r="RI108" s="670"/>
      <c r="RJ108" s="698">
        <f t="shared" si="69"/>
        <v>30</v>
      </c>
      <c r="RK108" s="699"/>
      <c r="RL108" s="726"/>
      <c r="RM108" s="670">
        <f t="shared" si="70"/>
        <v>7.7555203885586179</v>
      </c>
      <c r="RN108" s="670"/>
      <c r="RO108" s="670"/>
      <c r="RP108" s="670"/>
      <c r="RQ108" s="670"/>
      <c r="RR108" s="670"/>
      <c r="RS108" s="671">
        <f t="shared" si="64"/>
        <v>1.560804663639157</v>
      </c>
      <c r="RT108" s="671"/>
      <c r="RU108" s="671"/>
      <c r="RV108" s="671"/>
      <c r="RW108" s="671"/>
      <c r="RX108" s="671"/>
      <c r="RY108" s="681">
        <f t="shared" si="71"/>
        <v>7.9110181200264078</v>
      </c>
      <c r="RZ108" s="681"/>
      <c r="SA108" s="681"/>
      <c r="SB108" s="681"/>
      <c r="SC108" s="681">
        <f>'Вывод расчетов'!$AQ$6/RY108</f>
        <v>48.034272483594251</v>
      </c>
      <c r="SD108" s="681"/>
      <c r="SE108" s="681"/>
      <c r="SF108" s="681"/>
      <c r="SG108" s="867">
        <f t="shared" si="72"/>
        <v>0.98034415683183007</v>
      </c>
      <c r="SH108" s="867"/>
      <c r="SI108" s="867"/>
      <c r="SJ108" s="867"/>
      <c r="SK108" s="865">
        <f t="shared" si="73"/>
        <v>0.19729504343923143</v>
      </c>
      <c r="SL108" s="865"/>
      <c r="SM108" s="865"/>
      <c r="SN108" s="865"/>
      <c r="SO108" s="692">
        <f t="shared" si="80"/>
        <v>47.440440798090826</v>
      </c>
      <c r="SP108" s="693"/>
      <c r="SQ108" s="693"/>
      <c r="SR108" s="693"/>
      <c r="SS108" s="694"/>
      <c r="ST108" s="668">
        <f t="shared" si="78"/>
        <v>20.459000638218601</v>
      </c>
      <c r="SU108" s="678"/>
      <c r="SV108" s="678"/>
      <c r="SW108" s="678"/>
      <c r="SX108" s="678"/>
      <c r="SY108" s="669"/>
      <c r="SZ108" s="682">
        <f t="shared" si="74"/>
        <v>51.663973233112735</v>
      </c>
      <c r="TA108" s="683"/>
      <c r="TB108" s="683"/>
      <c r="TC108" s="683"/>
      <c r="TD108" s="683"/>
      <c r="TE108" s="684"/>
      <c r="TF108" s="682">
        <f>'Вывод расчетов'!$XC$174*SC108</f>
        <v>48.799247969059998</v>
      </c>
      <c r="TG108" s="683"/>
      <c r="TH108" s="684"/>
      <c r="TI108" s="681">
        <f t="shared" si="79"/>
        <v>54.082102509823542</v>
      </c>
      <c r="TJ108" s="681"/>
      <c r="TK108" s="681"/>
      <c r="TL108" s="681"/>
      <c r="TM108" s="685">
        <f t="shared" si="75"/>
        <v>1.4857611522624528</v>
      </c>
      <c r="TN108" s="686"/>
      <c r="TO108" s="686"/>
      <c r="TP108" s="687"/>
      <c r="TQ108" s="688">
        <f t="shared" si="76"/>
        <v>4.7140158220214117</v>
      </c>
      <c r="TR108" s="688"/>
      <c r="TS108" s="688"/>
      <c r="TT108" s="688"/>
      <c r="TU108" s="689">
        <f t="shared" si="77"/>
        <v>0.42146506879618184</v>
      </c>
      <c r="TV108" s="690"/>
      <c r="TW108" s="690"/>
      <c r="TX108" s="690"/>
      <c r="TY108" s="690"/>
      <c r="TZ108" s="691"/>
      <c r="UA108" s="756">
        <v>0.09</v>
      </c>
      <c r="UB108" s="756"/>
      <c r="UC108" s="650">
        <v>0.9</v>
      </c>
      <c r="UD108" s="866">
        <f t="shared" si="65"/>
        <v>7.5015288589074602</v>
      </c>
      <c r="UE108" s="866"/>
      <c r="UF108" s="866"/>
      <c r="UG108" s="866"/>
      <c r="UH108" s="866"/>
      <c r="UI108" s="866"/>
      <c r="UJ108" s="866"/>
      <c r="UK108" s="681">
        <f t="shared" si="66"/>
        <v>46.580573650916079</v>
      </c>
      <c r="UL108" s="681"/>
      <c r="UM108" s="681"/>
      <c r="UN108" s="681"/>
      <c r="UO108" s="816">
        <f t="shared" si="67"/>
        <v>0.86129369031936442</v>
      </c>
      <c r="UP108" s="816"/>
      <c r="UQ108" s="816"/>
      <c r="UR108" s="816"/>
      <c r="US108" s="866">
        <f t="shared" si="68"/>
        <v>0.918249949225451</v>
      </c>
      <c r="UT108" s="866"/>
      <c r="UU108" s="866"/>
      <c r="UV108" s="866"/>
      <c r="UW108" s="866"/>
      <c r="VN108" s="15"/>
      <c r="VO108" s="15"/>
      <c r="VP108" s="15"/>
      <c r="VQ108" s="30"/>
      <c r="XO108" s="826"/>
      <c r="XP108" s="863" t="s">
        <v>1391</v>
      </c>
      <c r="XQ108" s="863"/>
      <c r="XR108" s="756">
        <f>$MQ$200</f>
        <v>4.8197321291167521</v>
      </c>
      <c r="XS108" s="679"/>
      <c r="XT108" s="727" t="s">
        <v>151</v>
      </c>
      <c r="XU108" s="727"/>
      <c r="XV108" s="727"/>
      <c r="XW108" s="727"/>
      <c r="XX108" s="727"/>
      <c r="XY108" s="727"/>
      <c r="XZ108" s="727"/>
      <c r="YA108" s="727"/>
      <c r="YB108" s="728"/>
      <c r="YC108" s="763">
        <f>XR108-YC237</f>
        <v>4.5751266025686448</v>
      </c>
      <c r="YD108" s="764"/>
      <c r="YE108" s="849" t="s">
        <v>762</v>
      </c>
      <c r="YF108" s="850"/>
      <c r="YG108" s="978"/>
      <c r="YH108" s="993" t="s">
        <v>1554</v>
      </c>
      <c r="YI108" s="993"/>
      <c r="YJ108" s="993"/>
      <c r="YK108" s="1085"/>
      <c r="YL108" s="767"/>
      <c r="YM108" s="767"/>
      <c r="YN108" s="767"/>
      <c r="YO108" s="767"/>
      <c r="YP108" s="767"/>
      <c r="YQ108" s="767"/>
      <c r="YR108" s="767"/>
      <c r="YS108" s="767"/>
      <c r="AAD108" s="947"/>
      <c r="AAE108" s="947"/>
      <c r="AAF108" s="947"/>
      <c r="AAG108" s="947"/>
      <c r="AAH108" s="535">
        <v>35</v>
      </c>
      <c r="AAI108" s="956"/>
      <c r="AAJ108" s="957"/>
      <c r="AAK108" s="958">
        <f t="shared" si="59"/>
        <v>0.46666666666666667</v>
      </c>
      <c r="AAL108" s="959"/>
      <c r="AAN108" s="947"/>
      <c r="AAO108" s="947"/>
      <c r="AAP108" s="947"/>
      <c r="AAQ108" s="947"/>
      <c r="AAR108" s="535">
        <v>95</v>
      </c>
      <c r="AAS108" s="956"/>
      <c r="AAT108" s="957"/>
      <c r="AAU108" s="958">
        <f t="shared" si="60"/>
        <v>1.2666666666666668</v>
      </c>
      <c r="AAV108" s="959"/>
      <c r="AAX108" s="947"/>
      <c r="AAY108" s="947"/>
      <c r="AAZ108" s="947"/>
      <c r="ABA108" s="947"/>
      <c r="ABB108" s="535">
        <v>155</v>
      </c>
      <c r="ABC108" s="956"/>
      <c r="ABD108" s="957"/>
      <c r="ABE108" s="958">
        <f t="shared" si="61"/>
        <v>2.0666666666666669</v>
      </c>
      <c r="ABF108" s="959"/>
      <c r="ABH108" s="947"/>
      <c r="ABI108" s="947"/>
      <c r="ABJ108" s="947"/>
      <c r="ABK108" s="947"/>
      <c r="ABL108" s="537">
        <v>215</v>
      </c>
      <c r="ABM108" s="956"/>
      <c r="ABN108" s="957"/>
      <c r="ABO108" s="958">
        <f t="shared" si="62"/>
        <v>2.8666666666666667</v>
      </c>
      <c r="ABP108" s="959"/>
      <c r="ABR108" s="947"/>
      <c r="ABS108" s="947"/>
      <c r="ABT108" s="947"/>
      <c r="ABU108" s="947"/>
      <c r="ABV108" s="537">
        <v>275</v>
      </c>
      <c r="ABW108" s="956"/>
      <c r="ABX108" s="957"/>
      <c r="ABY108" s="958">
        <f t="shared" si="63"/>
        <v>3.666666666666667</v>
      </c>
      <c r="ABZ108" s="959"/>
      <c r="ACK108" s="144"/>
      <c r="ACU108" s="144"/>
      <c r="ACV108" s="144"/>
      <c r="ACW108" s="144"/>
      <c r="ACX108" s="144"/>
      <c r="ACY108" s="144"/>
      <c r="ACZ108" s="144"/>
      <c r="ADB108" s="1037"/>
      <c r="ADC108" s="1038"/>
      <c r="ADD108" s="863" t="s">
        <v>1374</v>
      </c>
      <c r="ADE108" s="863"/>
      <c r="ADF108" s="863"/>
      <c r="ADG108" s="863"/>
      <c r="ADH108" s="756">
        <f>$MO$137</f>
        <v>1.2479077065077948</v>
      </c>
      <c r="ADI108" s="756"/>
      <c r="ADJ108" s="1032"/>
      <c r="ADK108" s="1032"/>
      <c r="ADL108" s="1032"/>
      <c r="ADM108" s="1032"/>
      <c r="ADN108" s="1032"/>
      <c r="ADO108" s="1032"/>
      <c r="ADP108" s="1032"/>
      <c r="ADQ108" s="1032"/>
      <c r="ADR108" s="1032"/>
      <c r="ADS108" s="1032"/>
      <c r="ADT108" s="1032"/>
      <c r="ADU108" s="1032"/>
      <c r="ADV108" s="1032"/>
      <c r="ADW108" s="1032"/>
      <c r="ADX108" s="859"/>
      <c r="ADY108" s="1016"/>
      <c r="ADZ108" s="1016"/>
      <c r="AEA108" s="1016"/>
      <c r="AEB108" s="1016"/>
      <c r="AEC108" s="1016"/>
      <c r="AED108" s="1016"/>
      <c r="AEE108" s="1016"/>
      <c r="AEF108" s="1016"/>
      <c r="AEG108" s="1016"/>
      <c r="AEH108" s="860"/>
      <c r="AEI108" s="172"/>
      <c r="AEJ108" s="172"/>
      <c r="AEK108" s="177"/>
      <c r="AIM108" s="827"/>
      <c r="AIN108" s="943"/>
      <c r="AIO108" s="944"/>
      <c r="AIP108" s="944"/>
      <c r="AIQ108" s="944"/>
      <c r="AIR108" s="944"/>
      <c r="AIS108" s="944"/>
      <c r="AIT108" s="944"/>
      <c r="AIU108" s="944"/>
      <c r="AIV108" s="944"/>
      <c r="AIW108" s="944"/>
      <c r="AIX108" s="944"/>
      <c r="AIY108" s="944"/>
      <c r="AIZ108" s="1004"/>
      <c r="AJA108" s="765"/>
      <c r="AJB108" s="766"/>
      <c r="AJC108" s="1204"/>
      <c r="AJD108" s="1065"/>
      <c r="AJE108" s="713"/>
      <c r="AJF108" s="718"/>
      <c r="AJG108" s="719"/>
      <c r="AJH108" s="747"/>
    </row>
    <row r="109" spans="68:947" ht="48" customHeight="1" thickBot="1">
      <c r="BP109" s="144"/>
      <c r="BT109" s="55"/>
      <c r="BV109" s="55"/>
      <c r="BX109" s="792" t="s">
        <v>1078</v>
      </c>
      <c r="BY109" s="793"/>
      <c r="BZ109" s="794"/>
      <c r="CA109" s="825"/>
      <c r="CB109" s="665" t="s">
        <v>442</v>
      </c>
      <c r="CC109" s="666"/>
      <c r="CD109" s="146"/>
      <c r="CE109" s="87"/>
      <c r="CF109" s="87"/>
      <c r="CG109" s="87"/>
      <c r="CH109" s="87"/>
      <c r="CI109" s="149"/>
      <c r="CJ109" s="84" t="s">
        <v>477</v>
      </c>
      <c r="CK109" s="146"/>
      <c r="CL109" s="85" t="s">
        <v>467</v>
      </c>
      <c r="CM109" s="757" t="s">
        <v>461</v>
      </c>
      <c r="CN109" s="758"/>
      <c r="CO109" s="819" t="s">
        <v>126</v>
      </c>
      <c r="CP109" s="820"/>
      <c r="CQ109" s="675" t="s">
        <v>731</v>
      </c>
      <c r="CR109" s="676"/>
      <c r="CS109" s="821" t="s">
        <v>473</v>
      </c>
      <c r="CT109" s="1224"/>
      <c r="CU109" s="1224"/>
      <c r="CV109" s="823"/>
      <c r="CW109" s="821" t="s">
        <v>921</v>
      </c>
      <c r="CX109" s="822"/>
      <c r="CY109" s="823"/>
      <c r="DM109" s="144"/>
      <c r="DN109" s="144"/>
      <c r="DO109" s="144"/>
      <c r="DP109" s="144"/>
      <c r="DQ109" s="144"/>
      <c r="DW109" s="144"/>
      <c r="DX109" s="144"/>
      <c r="DY109" s="144"/>
      <c r="FG109" s="139"/>
      <c r="FH109" s="139"/>
      <c r="FI109" s="139"/>
      <c r="FJ109" s="139"/>
      <c r="FK109" s="139"/>
      <c r="FL109" s="139"/>
      <c r="FM109" s="139"/>
      <c r="FN109" s="139"/>
      <c r="FO109" s="139"/>
      <c r="FP109" s="139"/>
      <c r="FQ109" s="139"/>
      <c r="FR109" s="139"/>
      <c r="FS109" s="139"/>
      <c r="FT109" s="139"/>
      <c r="FU109" s="139"/>
      <c r="FV109" s="144"/>
      <c r="FW109" s="144"/>
      <c r="FX109" s="144"/>
      <c r="FY109" s="144"/>
      <c r="FZ109" s="144"/>
      <c r="GA109" s="144"/>
      <c r="GB109" s="144"/>
      <c r="GC109" s="144"/>
      <c r="GD109" s="144"/>
      <c r="GE109" s="144"/>
      <c r="HC109" s="144"/>
      <c r="HD109" s="144"/>
      <c r="HE109" s="144"/>
      <c r="HF109" s="144"/>
      <c r="HG109" s="144"/>
      <c r="HH109" s="144"/>
      <c r="HI109" s="144"/>
      <c r="HJ109" s="144"/>
      <c r="HP109" s="144"/>
      <c r="HQ109" s="144"/>
      <c r="HV109" s="5"/>
      <c r="HW109" s="6"/>
      <c r="HX109" s="3"/>
      <c r="HY109" s="3"/>
      <c r="IB109" s="6"/>
      <c r="IC109" s="3"/>
      <c r="ID109" s="3"/>
      <c r="IR109" s="933" t="s">
        <v>789</v>
      </c>
      <c r="IS109" s="825"/>
      <c r="IT109" s="665" t="s">
        <v>442</v>
      </c>
      <c r="IU109" s="667"/>
      <c r="IV109" s="250"/>
      <c r="IW109" s="87"/>
      <c r="IX109" s="87"/>
      <c r="IY109" s="87"/>
      <c r="IZ109" s="87"/>
      <c r="JA109" s="87"/>
      <c r="JB109" s="87"/>
      <c r="JC109" s="250"/>
      <c r="JD109" s="85" t="s">
        <v>467</v>
      </c>
      <c r="JE109" s="757" t="s">
        <v>461</v>
      </c>
      <c r="JF109" s="899"/>
      <c r="JG109" s="774" t="s">
        <v>126</v>
      </c>
      <c r="JH109" s="775"/>
      <c r="JI109" s="776"/>
      <c r="JJ109" s="675" t="s">
        <v>731</v>
      </c>
      <c r="JK109" s="676"/>
      <c r="JL109" s="821" t="s">
        <v>473</v>
      </c>
      <c r="JM109" s="822"/>
      <c r="JN109" s="822"/>
      <c r="JO109" s="823"/>
      <c r="LV109" s="403"/>
      <c r="LW109" s="399"/>
      <c r="LX109" s="399"/>
      <c r="LY109" s="399"/>
      <c r="LZ109" s="399"/>
      <c r="MA109" s="399"/>
      <c r="MB109" s="399"/>
      <c r="MC109" s="1602"/>
      <c r="MD109" s="1603"/>
      <c r="ME109" s="928">
        <f>1/3</f>
        <v>0.33333333333333331</v>
      </c>
      <c r="MF109" s="928"/>
      <c r="MG109" s="928"/>
      <c r="MH109" s="932">
        <f>2/3</f>
        <v>0.66666666666666663</v>
      </c>
      <c r="MI109" s="932"/>
      <c r="MJ109" s="932"/>
      <c r="MK109" s="1169">
        <v>1</v>
      </c>
      <c r="ML109" s="1169"/>
      <c r="MM109" s="1169"/>
      <c r="MN109" s="399"/>
      <c r="MO109" s="399"/>
      <c r="MP109" s="399"/>
      <c r="MQ109" s="399"/>
      <c r="MR109" s="399"/>
      <c r="MS109" s="399"/>
      <c r="MT109" s="399"/>
      <c r="MU109" s="399"/>
      <c r="MV109" s="399"/>
      <c r="MW109" s="399"/>
      <c r="MX109" s="399"/>
      <c r="MY109" s="399"/>
      <c r="MZ109" s="399"/>
      <c r="NA109" s="967"/>
      <c r="NB109" s="968"/>
      <c r="NC109" s="968"/>
      <c r="ND109" s="968"/>
      <c r="NE109" s="968"/>
      <c r="NF109" s="968"/>
      <c r="NG109" s="816" t="s">
        <v>1418</v>
      </c>
      <c r="NH109" s="816"/>
      <c r="NI109" s="816"/>
      <c r="NJ109" s="728" t="str">
        <f xml:space="preserve">
IF(MQ111&lt;1/3,"Введено значение укорочения ниже 0,3(3)",
IF(AND(OR(MQ111&gt;1/3,MQ111=1/3),OR(MQ111&lt;2/3,MQ111=2/3)),NG109,
IF(AND(MQ111&gt;2/3,OR(MQ111&lt;1,MQ111=1)),NG108,"Введено значение укорочения больше 1"
)))</f>
        <v>УКР - 2</v>
      </c>
      <c r="NK109" s="1053"/>
      <c r="NL109" s="1053"/>
      <c r="NM109" s="1053"/>
      <c r="NN109" s="1053"/>
      <c r="NO109" s="1053"/>
      <c r="NP109" s="1053"/>
      <c r="NQ109" s="1054"/>
      <c r="NR109" s="399"/>
      <c r="NS109" s="399"/>
      <c r="NT109" s="399"/>
      <c r="NU109" s="399"/>
      <c r="NV109" s="399"/>
      <c r="NW109" s="399"/>
      <c r="NX109" s="399"/>
      <c r="NY109" s="399"/>
      <c r="NZ109" s="399"/>
      <c r="OA109" s="399"/>
      <c r="OB109" s="399"/>
      <c r="OC109" s="399"/>
      <c r="OD109" s="399"/>
      <c r="OE109" s="399"/>
      <c r="OF109" s="399"/>
      <c r="OG109" s="399"/>
      <c r="OH109" s="399"/>
      <c r="OI109" s="399"/>
      <c r="OJ109" s="399"/>
      <c r="OK109" s="399"/>
      <c r="OL109" s="399"/>
      <c r="OM109" s="399"/>
      <c r="ON109" s="399"/>
      <c r="OO109" s="399"/>
      <c r="OP109" s="399"/>
      <c r="OQ109" s="399"/>
      <c r="OR109" s="399"/>
      <c r="OS109" s="400"/>
      <c r="OU109" s="144"/>
      <c r="OV109" s="144"/>
      <c r="OW109" s="144"/>
      <c r="OX109" s="144"/>
      <c r="OY109" s="144"/>
      <c r="OZ109" s="144"/>
      <c r="PA109" s="144"/>
      <c r="PB109" s="144"/>
      <c r="PC109" s="144"/>
      <c r="PJ109" s="826"/>
      <c r="PK109" s="696" t="s">
        <v>1180</v>
      </c>
      <c r="PL109" s="697"/>
      <c r="PM109" s="724">
        <f>$GW$24</f>
        <v>58</v>
      </c>
      <c r="PN109" s="724"/>
      <c r="PO109" s="548" t="s">
        <v>1708</v>
      </c>
      <c r="PP109" s="739">
        <f>$QA$65</f>
        <v>0.97</v>
      </c>
      <c r="PQ109" s="739"/>
      <c r="PR109" s="701" t="s">
        <v>184</v>
      </c>
      <c r="PS109" s="701"/>
      <c r="PT109" s="701"/>
      <c r="PU109" s="701"/>
      <c r="PV109" s="701"/>
      <c r="PW109" s="702"/>
      <c r="PX109" s="763">
        <f>(PO108/1000)*(PM110/1000)*PM109*PR108*PP109*PP110</f>
        <v>2.2252741586294955</v>
      </c>
      <c r="PY109" s="764"/>
      <c r="PZ109" s="895" t="s">
        <v>1702</v>
      </c>
      <c r="QA109" s="896"/>
      <c r="QB109" s="1085"/>
      <c r="QC109" s="993" t="s">
        <v>1721</v>
      </c>
      <c r="QD109" s="993"/>
      <c r="QE109" s="993"/>
      <c r="QF109" s="1085"/>
      <c r="QG109" s="767"/>
      <c r="QH109" s="767"/>
      <c r="QI109" s="767"/>
      <c r="QJ109" s="767"/>
      <c r="QK109" s="767"/>
      <c r="QL109" s="767"/>
      <c r="QM109" s="767"/>
      <c r="QN109" s="767"/>
      <c r="QO109" s="767"/>
      <c r="QP109" s="767"/>
      <c r="QQ109" s="767"/>
      <c r="QS109" s="144"/>
      <c r="QT109" s="144"/>
      <c r="QU109" s="144"/>
      <c r="QV109" s="144"/>
      <c r="QW109" s="144"/>
      <c r="RC109" s="369">
        <v>91</v>
      </c>
      <c r="RD109" s="668">
        <v>9.0999999999999998E-2</v>
      </c>
      <c r="RE109" s="669"/>
      <c r="RF109" s="670">
        <f t="shared" si="81"/>
        <v>7.4838651609977527</v>
      </c>
      <c r="RG109" s="670"/>
      <c r="RH109" s="670"/>
      <c r="RI109" s="670"/>
      <c r="RJ109" s="698">
        <f t="shared" si="69"/>
        <v>30</v>
      </c>
      <c r="RK109" s="699"/>
      <c r="RL109" s="726"/>
      <c r="RM109" s="670">
        <f t="shared" si="70"/>
        <v>7.6723663312141976</v>
      </c>
      <c r="RN109" s="670"/>
      <c r="RO109" s="670"/>
      <c r="RP109" s="670"/>
      <c r="RQ109" s="670"/>
      <c r="RR109" s="670"/>
      <c r="RS109" s="671">
        <f t="shared" si="64"/>
        <v>1.560804663639157</v>
      </c>
      <c r="RT109" s="671"/>
      <c r="RU109" s="671"/>
      <c r="RV109" s="671"/>
      <c r="RW109" s="671"/>
      <c r="RX109" s="671"/>
      <c r="RY109" s="681">
        <f t="shared" si="71"/>
        <v>7.8295157141669343</v>
      </c>
      <c r="RZ109" s="681"/>
      <c r="SA109" s="681"/>
      <c r="SB109" s="681"/>
      <c r="SC109" s="681">
        <f>'Вывод расчетов'!$AQ$6/RY109</f>
        <v>48.534291758610038</v>
      </c>
      <c r="SD109" s="681"/>
      <c r="SE109" s="681"/>
      <c r="SF109" s="681"/>
      <c r="SG109" s="867">
        <f t="shared" si="72"/>
        <v>0.97992859473180616</v>
      </c>
      <c r="SH109" s="867"/>
      <c r="SI109" s="867"/>
      <c r="SJ109" s="867"/>
      <c r="SK109" s="865">
        <f t="shared" si="73"/>
        <v>0.19934881295595275</v>
      </c>
      <c r="SL109" s="865"/>
      <c r="SM109" s="865"/>
      <c r="SN109" s="865"/>
      <c r="SO109" s="692">
        <f t="shared" si="80"/>
        <v>47.910462760449462</v>
      </c>
      <c r="SP109" s="693"/>
      <c r="SQ109" s="693"/>
      <c r="SR109" s="693"/>
      <c r="SS109" s="694"/>
      <c r="ST109" s="668">
        <f t="shared" si="78"/>
        <v>20.657330211732784</v>
      </c>
      <c r="SU109" s="678"/>
      <c r="SV109" s="678"/>
      <c r="SW109" s="678"/>
      <c r="SX109" s="678"/>
      <c r="SY109" s="669"/>
      <c r="SZ109" s="682">
        <f t="shared" si="74"/>
        <v>52.174109799755882</v>
      </c>
      <c r="TA109" s="683"/>
      <c r="TB109" s="683"/>
      <c r="TC109" s="683"/>
      <c r="TD109" s="683"/>
      <c r="TE109" s="684"/>
      <c r="TF109" s="682">
        <f>'Вывод расчетов'!$XC$174*SC109</f>
        <v>49.307230360156666</v>
      </c>
      <c r="TG109" s="683"/>
      <c r="TH109" s="684"/>
      <c r="TI109" s="681">
        <f t="shared" si="79"/>
        <v>54.617927546912391</v>
      </c>
      <c r="TJ109" s="681"/>
      <c r="TK109" s="681"/>
      <c r="TL109" s="681"/>
      <c r="TM109" s="685">
        <f t="shared" si="75"/>
        <v>1.5152471963361021</v>
      </c>
      <c r="TN109" s="686"/>
      <c r="TO109" s="686"/>
      <c r="TP109" s="687"/>
      <c r="TQ109" s="688">
        <f t="shared" si="76"/>
        <v>4.8126690094619429</v>
      </c>
      <c r="TR109" s="688"/>
      <c r="TS109" s="688"/>
      <c r="TT109" s="688"/>
      <c r="TU109" s="689">
        <f t="shared" si="77"/>
        <v>0.42982935909621051</v>
      </c>
      <c r="TV109" s="690"/>
      <c r="TW109" s="690"/>
      <c r="TX109" s="690"/>
      <c r="TY109" s="690"/>
      <c r="TZ109" s="691"/>
      <c r="UA109" s="679">
        <v>9.0999999999999998E-2</v>
      </c>
      <c r="UB109" s="680"/>
      <c r="UC109" s="650">
        <v>0.91</v>
      </c>
      <c r="UD109" s="866">
        <f t="shared" si="65"/>
        <v>7.6380323807216701</v>
      </c>
      <c r="UE109" s="866"/>
      <c r="UF109" s="866"/>
      <c r="UG109" s="866"/>
      <c r="UH109" s="866"/>
      <c r="UI109" s="866"/>
      <c r="UJ109" s="866"/>
      <c r="UK109" s="681">
        <f t="shared" si="66"/>
        <v>46.979895166190722</v>
      </c>
      <c r="UL109" s="681"/>
      <c r="UM109" s="681"/>
      <c r="UN109" s="681"/>
      <c r="UO109" s="816">
        <f t="shared" si="67"/>
        <v>0.86015521416184793</v>
      </c>
      <c r="UP109" s="816"/>
      <c r="UQ109" s="816"/>
      <c r="UR109" s="816"/>
      <c r="US109" s="866">
        <f t="shared" si="68"/>
        <v>0.91828040659111798</v>
      </c>
      <c r="UT109" s="866"/>
      <c r="UU109" s="866"/>
      <c r="UV109" s="866"/>
      <c r="UW109" s="866"/>
      <c r="XO109" s="827"/>
      <c r="XP109" s="485"/>
      <c r="XQ109" s="486"/>
      <c r="XR109" s="486"/>
      <c r="XS109" s="486"/>
      <c r="XT109" s="729"/>
      <c r="XU109" s="729"/>
      <c r="XV109" s="729"/>
      <c r="XW109" s="729"/>
      <c r="XX109" s="729"/>
      <c r="XY109" s="729"/>
      <c r="XZ109" s="729"/>
      <c r="YA109" s="729"/>
      <c r="YB109" s="730"/>
      <c r="YC109" s="765"/>
      <c r="YD109" s="766"/>
      <c r="YE109" s="851"/>
      <c r="YF109" s="852"/>
      <c r="YG109" s="979"/>
      <c r="YH109" s="994"/>
      <c r="YI109" s="994"/>
      <c r="YJ109" s="994"/>
      <c r="YK109" s="1086"/>
      <c r="YL109" s="768"/>
      <c r="YM109" s="768"/>
      <c r="YN109" s="768"/>
      <c r="YO109" s="768"/>
      <c r="YP109" s="768"/>
      <c r="YQ109" s="768"/>
      <c r="YR109" s="768"/>
      <c r="YS109" s="768"/>
      <c r="AAD109" s="947"/>
      <c r="AAE109" s="947"/>
      <c r="AAF109" s="947"/>
      <c r="AAG109" s="947"/>
      <c r="AAH109" s="535">
        <v>36</v>
      </c>
      <c r="AAI109" s="956"/>
      <c r="AAJ109" s="957"/>
      <c r="AAK109" s="958">
        <f t="shared" si="59"/>
        <v>0.48000000000000004</v>
      </c>
      <c r="AAL109" s="959"/>
      <c r="AAN109" s="947"/>
      <c r="AAO109" s="947"/>
      <c r="AAP109" s="947"/>
      <c r="AAQ109" s="947"/>
      <c r="AAR109" s="535">
        <v>96</v>
      </c>
      <c r="AAS109" s="956"/>
      <c r="AAT109" s="957"/>
      <c r="AAU109" s="958">
        <f t="shared" si="60"/>
        <v>1.28</v>
      </c>
      <c r="AAV109" s="959"/>
      <c r="AAX109" s="947"/>
      <c r="AAY109" s="947"/>
      <c r="AAZ109" s="947"/>
      <c r="ABA109" s="947"/>
      <c r="ABB109" s="535">
        <v>156</v>
      </c>
      <c r="ABC109" s="956"/>
      <c r="ABD109" s="957"/>
      <c r="ABE109" s="958">
        <f t="shared" si="61"/>
        <v>2.08</v>
      </c>
      <c r="ABF109" s="959"/>
      <c r="ABH109" s="947"/>
      <c r="ABI109" s="947"/>
      <c r="ABJ109" s="947"/>
      <c r="ABK109" s="947"/>
      <c r="ABL109" s="537">
        <v>216</v>
      </c>
      <c r="ABM109" s="956"/>
      <c r="ABN109" s="957"/>
      <c r="ABO109" s="958">
        <f t="shared" si="62"/>
        <v>2.8800000000000003</v>
      </c>
      <c r="ABP109" s="959"/>
      <c r="ABR109" s="947"/>
      <c r="ABS109" s="947"/>
      <c r="ABT109" s="947"/>
      <c r="ABU109" s="947"/>
      <c r="ABV109" s="537">
        <v>276</v>
      </c>
      <c r="ABW109" s="956"/>
      <c r="ABX109" s="957"/>
      <c r="ABY109" s="958">
        <f t="shared" si="63"/>
        <v>3.68</v>
      </c>
      <c r="ABZ109" s="959"/>
      <c r="ACU109" s="144"/>
      <c r="ACV109" s="144"/>
      <c r="ACW109" s="144"/>
      <c r="ACX109" s="144"/>
      <c r="ACY109" s="144"/>
      <c r="ACZ109" s="144"/>
      <c r="ADB109" s="1037"/>
      <c r="ADC109" s="1038"/>
      <c r="ADD109" s="863" t="s">
        <v>1375</v>
      </c>
      <c r="ADE109" s="863"/>
      <c r="ADF109" s="863"/>
      <c r="ADG109" s="863"/>
      <c r="ADH109" s="756">
        <f>$MN$142</f>
        <v>0.12738425053916749</v>
      </c>
      <c r="ADI109" s="756"/>
      <c r="ADJ109" s="1032"/>
      <c r="ADK109" s="1032"/>
      <c r="ADL109" s="1032"/>
      <c r="ADM109" s="1032"/>
      <c r="ADN109" s="1032"/>
      <c r="ADO109" s="1032"/>
      <c r="ADP109" s="1032"/>
      <c r="ADQ109" s="1032"/>
      <c r="ADR109" s="1032"/>
      <c r="ADS109" s="1032"/>
      <c r="ADT109" s="1032"/>
      <c r="ADU109" s="1032"/>
      <c r="ADV109" s="1032"/>
      <c r="ADW109" s="1032"/>
      <c r="ADX109" s="859"/>
      <c r="ADY109" s="1016"/>
      <c r="ADZ109" s="1016"/>
      <c r="AEA109" s="1016"/>
      <c r="AEB109" s="1016"/>
      <c r="AEC109" s="1016"/>
      <c r="AED109" s="1016"/>
      <c r="AEE109" s="1016"/>
      <c r="AEF109" s="1016"/>
      <c r="AEG109" s="1016"/>
      <c r="AEH109" s="860"/>
      <c r="AEI109" s="172"/>
      <c r="AEJ109" s="172"/>
      <c r="AEK109" s="177"/>
    </row>
    <row r="110" spans="68:947" ht="48" customHeight="1" thickBot="1">
      <c r="BP110" s="144"/>
      <c r="BT110" s="55"/>
      <c r="BV110" s="55"/>
      <c r="BX110" s="795"/>
      <c r="BY110" s="796"/>
      <c r="BZ110" s="797"/>
      <c r="CA110" s="826"/>
      <c r="CB110" s="731" t="s">
        <v>799</v>
      </c>
      <c r="CC110" s="732"/>
      <c r="CD110" s="732"/>
      <c r="CE110" s="732"/>
      <c r="CF110" s="732"/>
      <c r="CG110" s="732"/>
      <c r="CH110" s="732"/>
      <c r="CI110" s="732"/>
      <c r="CJ110" s="732"/>
      <c r="CK110" s="732"/>
      <c r="CL110" s="732"/>
      <c r="CM110" s="732"/>
      <c r="CN110" s="733"/>
      <c r="CO110" s="808">
        <f>CG108</f>
        <v>1.0940000000000001</v>
      </c>
      <c r="CP110" s="809"/>
      <c r="CQ110" s="812" t="s">
        <v>798</v>
      </c>
      <c r="CR110" s="813"/>
      <c r="CS110" s="1473"/>
      <c r="CT110" s="1315" t="s">
        <v>805</v>
      </c>
      <c r="CU110" s="1316"/>
      <c r="CV110" s="712"/>
      <c r="CW110" s="1066" t="s">
        <v>920</v>
      </c>
      <c r="CX110" s="1111"/>
      <c r="CY110" s="1067"/>
      <c r="DW110" s="144"/>
      <c r="DX110" s="144"/>
      <c r="DY110" s="144"/>
      <c r="DZ110" s="825"/>
      <c r="EA110" s="665" t="s">
        <v>442</v>
      </c>
      <c r="EB110" s="666"/>
      <c r="EC110" s="152"/>
      <c r="ED110" s="87"/>
      <c r="EE110" s="87"/>
      <c r="EF110" s="87"/>
      <c r="EG110" s="87"/>
      <c r="EH110" s="87"/>
      <c r="EI110" s="87"/>
      <c r="EJ110" s="152"/>
      <c r="EK110" s="85" t="s">
        <v>467</v>
      </c>
      <c r="EL110" s="757" t="s">
        <v>461</v>
      </c>
      <c r="EM110" s="758"/>
      <c r="EN110" s="819" t="s">
        <v>126</v>
      </c>
      <c r="EO110" s="820"/>
      <c r="EP110" s="675" t="s">
        <v>731</v>
      </c>
      <c r="EQ110" s="676"/>
      <c r="ER110" s="821" t="s">
        <v>473</v>
      </c>
      <c r="ES110" s="822"/>
      <c r="ET110" s="822"/>
      <c r="EU110" s="823"/>
      <c r="EV110" s="769" t="s">
        <v>462</v>
      </c>
      <c r="EW110" s="769"/>
      <c r="EX110" s="769"/>
      <c r="EY110" s="769"/>
      <c r="EZ110" s="769"/>
      <c r="FA110" s="769"/>
      <c r="FB110" s="769"/>
      <c r="FC110" s="769"/>
      <c r="FD110" s="769"/>
      <c r="FE110" s="769"/>
      <c r="FG110" s="139"/>
      <c r="FH110" s="139"/>
      <c r="FI110" s="139"/>
      <c r="FJ110" s="139"/>
      <c r="FK110" s="139"/>
      <c r="FL110" s="139"/>
      <c r="FM110" s="139"/>
      <c r="FN110" s="139"/>
      <c r="FO110" s="139"/>
      <c r="FP110" s="139"/>
      <c r="FQ110" s="139"/>
      <c r="FR110" s="139"/>
      <c r="FS110" s="139"/>
      <c r="FT110" s="139"/>
      <c r="FU110" s="139"/>
      <c r="FV110" s="139"/>
      <c r="FW110" s="139"/>
      <c r="FX110" s="139"/>
      <c r="GA110" s="144"/>
      <c r="GD110" s="144"/>
      <c r="GE110" s="144"/>
      <c r="GF110" s="767"/>
      <c r="GG110" s="665" t="s">
        <v>442</v>
      </c>
      <c r="GH110" s="667"/>
      <c r="GI110" s="343"/>
      <c r="GJ110" s="863" t="s">
        <v>1477</v>
      </c>
      <c r="GK110" s="863"/>
      <c r="GL110" s="739">
        <f>$GT$106</f>
        <v>37.311671496815286</v>
      </c>
      <c r="GM110" s="739"/>
      <c r="GN110" s="87"/>
      <c r="GO110" s="87"/>
      <c r="GP110" s="150"/>
      <c r="GQ110" s="85" t="s">
        <v>467</v>
      </c>
      <c r="GR110" s="757" t="s">
        <v>461</v>
      </c>
      <c r="GS110" s="758"/>
      <c r="GT110" s="819" t="s">
        <v>126</v>
      </c>
      <c r="GU110" s="820"/>
      <c r="GV110" s="675" t="s">
        <v>731</v>
      </c>
      <c r="GW110" s="1094"/>
      <c r="GX110" s="676"/>
      <c r="GY110" s="821" t="s">
        <v>473</v>
      </c>
      <c r="GZ110" s="822"/>
      <c r="HA110" s="822"/>
      <c r="HB110" s="823"/>
      <c r="HC110" s="821" t="s">
        <v>462</v>
      </c>
      <c r="HD110" s="822"/>
      <c r="HE110" s="823"/>
      <c r="HP110" s="144"/>
      <c r="HQ110" s="144"/>
      <c r="HR110" s="144"/>
      <c r="HV110" s="5"/>
      <c r="HW110" s="6"/>
      <c r="HX110" s="3"/>
      <c r="HY110" s="157"/>
      <c r="HZ110" s="157"/>
      <c r="IA110" s="157"/>
      <c r="IB110" s="157"/>
      <c r="IC110" s="157"/>
      <c r="ID110" s="3"/>
      <c r="IE110" s="144"/>
      <c r="IF110" s="144"/>
      <c r="IG110" s="144"/>
      <c r="IH110" s="144"/>
      <c r="II110" s="144"/>
      <c r="IR110" s="934"/>
      <c r="IS110" s="826"/>
      <c r="IT110" s="966" t="s">
        <v>1176</v>
      </c>
      <c r="IU110" s="1121"/>
      <c r="IV110" s="1121"/>
      <c r="IW110" s="1121"/>
      <c r="IX110" s="1121"/>
      <c r="IY110" s="1121"/>
      <c r="IZ110" s="1121"/>
      <c r="JA110" s="1121"/>
      <c r="JB110" s="1121"/>
      <c r="JC110" s="1121"/>
      <c r="JD110" s="1121"/>
      <c r="JE110" s="1121"/>
      <c r="JF110" s="1351"/>
      <c r="JG110" s="1573">
        <f>4*3.14*10^-7</f>
        <v>1.2559999999999999E-6</v>
      </c>
      <c r="JH110" s="1574"/>
      <c r="JI110" s="1575"/>
      <c r="JJ110" s="1328" t="s">
        <v>1174</v>
      </c>
      <c r="JK110" s="1123"/>
      <c r="JL110" s="714"/>
      <c r="JM110" s="740" t="s">
        <v>1177</v>
      </c>
      <c r="JN110" s="742"/>
      <c r="JO110" s="746"/>
      <c r="LV110" s="403"/>
      <c r="LW110" s="399"/>
      <c r="LX110" s="399"/>
      <c r="LY110" s="399"/>
      <c r="LZ110" s="792" t="s">
        <v>1013</v>
      </c>
      <c r="MA110" s="793"/>
      <c r="MB110" s="794"/>
      <c r="MC110" s="826"/>
      <c r="MD110" s="407" t="s">
        <v>442</v>
      </c>
      <c r="ME110" s="148"/>
      <c r="MF110" s="370"/>
      <c r="MG110" s="87"/>
      <c r="MH110" s="87"/>
      <c r="MI110" s="87"/>
      <c r="MJ110" s="87"/>
      <c r="MK110" s="87"/>
      <c r="ML110" s="87"/>
      <c r="MM110" s="370"/>
      <c r="MN110" s="85" t="s">
        <v>467</v>
      </c>
      <c r="MO110" s="757" t="s">
        <v>461</v>
      </c>
      <c r="MP110" s="758"/>
      <c r="MQ110" s="1130" t="s">
        <v>126</v>
      </c>
      <c r="MR110" s="1131"/>
      <c r="MS110" s="675" t="s">
        <v>731</v>
      </c>
      <c r="MT110" s="676"/>
      <c r="MU110" s="821" t="s">
        <v>473</v>
      </c>
      <c r="MV110" s="822"/>
      <c r="MW110" s="822"/>
      <c r="MX110" s="823"/>
      <c r="MY110" s="399"/>
      <c r="MZ110" s="399"/>
      <c r="NA110" s="399"/>
      <c r="NB110" s="399"/>
      <c r="NC110" s="399"/>
      <c r="ND110" s="399"/>
      <c r="NE110" s="399"/>
      <c r="NF110" s="399"/>
      <c r="NG110" s="399"/>
      <c r="NH110" s="399"/>
      <c r="NI110" s="399"/>
      <c r="NJ110" s="399"/>
      <c r="NK110" s="399"/>
      <c r="NL110" s="399"/>
      <c r="NM110" s="399"/>
      <c r="NN110" s="399"/>
      <c r="NO110" s="399"/>
      <c r="NP110" s="399"/>
      <c r="NQ110" s="399"/>
      <c r="NR110" s="399"/>
      <c r="NS110" s="399"/>
      <c r="NT110" s="399"/>
      <c r="NU110" s="399"/>
      <c r="NV110" s="399"/>
      <c r="NW110" s="399"/>
      <c r="NX110" s="399"/>
      <c r="NY110" s="399"/>
      <c r="NZ110" s="399"/>
      <c r="OA110" s="399"/>
      <c r="OB110" s="399"/>
      <c r="OC110" s="399"/>
      <c r="OD110" s="399"/>
      <c r="OE110" s="399"/>
      <c r="OF110" s="399"/>
      <c r="OG110" s="399"/>
      <c r="OH110" s="399"/>
      <c r="OI110" s="399"/>
      <c r="OJ110" s="399"/>
      <c r="OK110" s="399"/>
      <c r="OL110" s="399"/>
      <c r="OM110" s="399"/>
      <c r="ON110" s="399"/>
      <c r="OO110" s="399"/>
      <c r="OP110" s="399"/>
      <c r="OQ110" s="399"/>
      <c r="OR110" s="399"/>
      <c r="OS110" s="400"/>
      <c r="OU110" s="144"/>
      <c r="OV110" s="144"/>
      <c r="OW110" s="144"/>
      <c r="OX110" s="144"/>
      <c r="OY110" s="144"/>
      <c r="OZ110" s="144"/>
      <c r="PA110" s="144"/>
      <c r="PB110" s="144"/>
      <c r="PC110" s="144"/>
      <c r="PJ110" s="827"/>
      <c r="PK110" s="949" t="s">
        <v>1218</v>
      </c>
      <c r="PL110" s="950"/>
      <c r="PM110" s="672">
        <f>$GT$81</f>
        <v>3.8167608251202525</v>
      </c>
      <c r="PN110" s="672"/>
      <c r="PO110" s="550" t="s">
        <v>1709</v>
      </c>
      <c r="PP110" s="828">
        <f>$PY$45</f>
        <v>7800</v>
      </c>
      <c r="PQ110" s="828"/>
      <c r="PR110" s="707"/>
      <c r="PS110" s="707"/>
      <c r="PT110" s="707"/>
      <c r="PU110" s="707"/>
      <c r="PV110" s="707"/>
      <c r="PW110" s="708"/>
      <c r="PX110" s="765"/>
      <c r="PY110" s="766"/>
      <c r="PZ110" s="897"/>
      <c r="QA110" s="898"/>
      <c r="QB110" s="1086"/>
      <c r="QC110" s="994"/>
      <c r="QD110" s="994"/>
      <c r="QE110" s="994"/>
      <c r="QF110" s="1086"/>
      <c r="QG110" s="768"/>
      <c r="QH110" s="768"/>
      <c r="QI110" s="768"/>
      <c r="QJ110" s="768"/>
      <c r="QK110" s="768"/>
      <c r="QL110" s="768"/>
      <c r="QM110" s="768"/>
      <c r="QN110" s="768"/>
      <c r="QO110" s="768"/>
      <c r="QP110" s="768"/>
      <c r="QQ110" s="768"/>
      <c r="QS110" s="144"/>
      <c r="QT110" s="144"/>
      <c r="QU110" s="144"/>
      <c r="QV110" s="144"/>
      <c r="QW110" s="144"/>
      <c r="RC110" s="369">
        <v>92</v>
      </c>
      <c r="RD110" s="668">
        <v>9.1999999999999998E-2</v>
      </c>
      <c r="RE110" s="669"/>
      <c r="RF110" s="670">
        <f t="shared" si="81"/>
        <v>7.4025188005521247</v>
      </c>
      <c r="RG110" s="670"/>
      <c r="RH110" s="670"/>
      <c r="RI110" s="670"/>
      <c r="RJ110" s="698">
        <f t="shared" si="69"/>
        <v>30</v>
      </c>
      <c r="RK110" s="699"/>
      <c r="RL110" s="726"/>
      <c r="RM110" s="670">
        <f t="shared" si="70"/>
        <v>7.5910199707685697</v>
      </c>
      <c r="RN110" s="670"/>
      <c r="RO110" s="670"/>
      <c r="RP110" s="670"/>
      <c r="RQ110" s="670"/>
      <c r="RR110" s="670"/>
      <c r="RS110" s="671">
        <f t="shared" si="64"/>
        <v>1.560804663639157</v>
      </c>
      <c r="RT110" s="671"/>
      <c r="RU110" s="671"/>
      <c r="RV110" s="671"/>
      <c r="RW110" s="671"/>
      <c r="RX110" s="671"/>
      <c r="RY110" s="681">
        <f t="shared" si="71"/>
        <v>7.7498190556067179</v>
      </c>
      <c r="RZ110" s="681"/>
      <c r="SA110" s="681"/>
      <c r="SB110" s="681"/>
      <c r="SC110" s="681">
        <f>'Вывод расчетов'!$AQ$6/RY110</f>
        <v>49.033402879914149</v>
      </c>
      <c r="SD110" s="681"/>
      <c r="SE110" s="681"/>
      <c r="SF110" s="681"/>
      <c r="SG110" s="867">
        <f t="shared" si="72"/>
        <v>0.97950931709518263</v>
      </c>
      <c r="SH110" s="867"/>
      <c r="SI110" s="867"/>
      <c r="SJ110" s="867"/>
      <c r="SK110" s="865">
        <f t="shared" si="73"/>
        <v>0.2013988523396518</v>
      </c>
      <c r="SL110" s="865"/>
      <c r="SM110" s="865"/>
      <c r="SN110" s="865"/>
      <c r="SO110" s="692">
        <f t="shared" si="80"/>
        <v>48.378997410888914</v>
      </c>
      <c r="SP110" s="693"/>
      <c r="SQ110" s="693"/>
      <c r="SR110" s="693"/>
      <c r="SS110" s="694"/>
      <c r="ST110" s="668">
        <f t="shared" si="78"/>
        <v>20.857347828318481</v>
      </c>
      <c r="SU110" s="678"/>
      <c r="SV110" s="678"/>
      <c r="SW110" s="678"/>
      <c r="SX110" s="678"/>
      <c r="SY110" s="669"/>
      <c r="SZ110" s="682">
        <f t="shared" si="74"/>
        <v>52.683549129820953</v>
      </c>
      <c r="TA110" s="683"/>
      <c r="TB110" s="683"/>
      <c r="TC110" s="683"/>
      <c r="TD110" s="683"/>
      <c r="TE110" s="684"/>
      <c r="TF110" s="682">
        <f>'Вывод расчетов'!$XC$174*SC110</f>
        <v>49.814290134632351</v>
      </c>
      <c r="TG110" s="683"/>
      <c r="TH110" s="684"/>
      <c r="TI110" s="681">
        <f t="shared" si="79"/>
        <v>55.152057048413361</v>
      </c>
      <c r="TJ110" s="681"/>
      <c r="TK110" s="681"/>
      <c r="TL110" s="681"/>
      <c r="TM110" s="685">
        <f t="shared" si="75"/>
        <v>1.5449820647821961</v>
      </c>
      <c r="TN110" s="686"/>
      <c r="TO110" s="686"/>
      <c r="TP110" s="687"/>
      <c r="TQ110" s="688">
        <f t="shared" si="76"/>
        <v>4.9121618640614875</v>
      </c>
      <c r="TR110" s="688"/>
      <c r="TS110" s="688"/>
      <c r="TT110" s="688"/>
      <c r="TU110" s="689">
        <f t="shared" si="77"/>
        <v>0.43826423327245001</v>
      </c>
      <c r="TV110" s="690"/>
      <c r="TW110" s="690"/>
      <c r="TX110" s="690"/>
      <c r="TY110" s="690"/>
      <c r="TZ110" s="691"/>
      <c r="UA110" s="679">
        <v>9.1999999999999998E-2</v>
      </c>
      <c r="UB110" s="680"/>
      <c r="UC110" s="650">
        <v>0.92</v>
      </c>
      <c r="UD110" s="866">
        <f t="shared" si="65"/>
        <v>7.775694977943548</v>
      </c>
      <c r="UE110" s="866"/>
      <c r="UF110" s="866"/>
      <c r="UG110" s="866"/>
      <c r="UH110" s="866"/>
      <c r="UI110" s="866"/>
      <c r="UJ110" s="866"/>
      <c r="UK110" s="681">
        <f t="shared" si="66"/>
        <v>47.37636207046981</v>
      </c>
      <c r="UL110" s="681"/>
      <c r="UM110" s="681"/>
      <c r="UN110" s="681"/>
      <c r="UO110" s="816">
        <f t="shared" si="67"/>
        <v>0.85901350930359821</v>
      </c>
      <c r="UP110" s="816"/>
      <c r="UQ110" s="816"/>
      <c r="UR110" s="816"/>
      <c r="US110" s="866">
        <f t="shared" si="68"/>
        <v>0.91829419638519583</v>
      </c>
      <c r="UT110" s="866"/>
      <c r="UU110" s="866"/>
      <c r="UV110" s="866"/>
      <c r="UW110" s="866"/>
      <c r="AAD110" s="947"/>
      <c r="AAE110" s="947"/>
      <c r="AAF110" s="947"/>
      <c r="AAG110" s="947"/>
      <c r="AAH110" s="535">
        <v>37</v>
      </c>
      <c r="AAI110" s="956"/>
      <c r="AAJ110" s="957"/>
      <c r="AAK110" s="958">
        <f t="shared" si="59"/>
        <v>0.49333333333333335</v>
      </c>
      <c r="AAL110" s="959"/>
      <c r="AAN110" s="947"/>
      <c r="AAO110" s="947"/>
      <c r="AAP110" s="947"/>
      <c r="AAQ110" s="947"/>
      <c r="AAR110" s="535">
        <v>97</v>
      </c>
      <c r="AAS110" s="956"/>
      <c r="AAT110" s="957"/>
      <c r="AAU110" s="958">
        <f t="shared" si="60"/>
        <v>1.2933333333333334</v>
      </c>
      <c r="AAV110" s="959"/>
      <c r="AAX110" s="947"/>
      <c r="AAY110" s="947"/>
      <c r="AAZ110" s="947"/>
      <c r="ABA110" s="947"/>
      <c r="ABB110" s="535">
        <v>157</v>
      </c>
      <c r="ABC110" s="956"/>
      <c r="ABD110" s="957"/>
      <c r="ABE110" s="958">
        <f t="shared" si="61"/>
        <v>2.0933333333333333</v>
      </c>
      <c r="ABF110" s="959"/>
      <c r="ABH110" s="947"/>
      <c r="ABI110" s="947"/>
      <c r="ABJ110" s="947"/>
      <c r="ABK110" s="947"/>
      <c r="ABL110" s="537">
        <v>217</v>
      </c>
      <c r="ABM110" s="956"/>
      <c r="ABN110" s="957"/>
      <c r="ABO110" s="958">
        <f t="shared" si="62"/>
        <v>2.8933333333333335</v>
      </c>
      <c r="ABP110" s="959"/>
      <c r="ABR110" s="947"/>
      <c r="ABS110" s="947"/>
      <c r="ABT110" s="947"/>
      <c r="ABU110" s="947"/>
      <c r="ABV110" s="537">
        <v>277</v>
      </c>
      <c r="ABW110" s="956"/>
      <c r="ABX110" s="957"/>
      <c r="ABY110" s="958">
        <f t="shared" si="63"/>
        <v>3.6933333333333334</v>
      </c>
      <c r="ABZ110" s="959"/>
      <c r="ACU110" s="144"/>
      <c r="ACV110" s="144"/>
      <c r="ACW110" s="144"/>
      <c r="ACX110" s="144"/>
      <c r="ACY110" s="144"/>
      <c r="ACZ110" s="144"/>
      <c r="ADB110" s="1037"/>
      <c r="ADC110" s="1038"/>
      <c r="ADD110" s="1025" t="s">
        <v>1468</v>
      </c>
      <c r="ADE110" s="1025"/>
      <c r="ADF110" s="1025"/>
      <c r="ADG110" s="1025"/>
      <c r="ADH110" s="756">
        <f>$MN$98</f>
        <v>0.55105560251025065</v>
      </c>
      <c r="ADI110" s="756"/>
      <c r="ADJ110" s="1032"/>
      <c r="ADK110" s="1032"/>
      <c r="ADL110" s="1032"/>
      <c r="ADM110" s="1032"/>
      <c r="ADN110" s="1032"/>
      <c r="ADO110" s="1032"/>
      <c r="ADP110" s="1032"/>
      <c r="ADQ110" s="1032"/>
      <c r="ADR110" s="1032"/>
      <c r="ADS110" s="1032"/>
      <c r="ADT110" s="1032"/>
      <c r="ADU110" s="1032"/>
      <c r="ADV110" s="1032"/>
      <c r="ADW110" s="1032"/>
      <c r="ADX110" s="861"/>
      <c r="ADY110" s="1017"/>
      <c r="ADZ110" s="1017"/>
      <c r="AEA110" s="1017"/>
      <c r="AEB110" s="1017"/>
      <c r="AEC110" s="1017"/>
      <c r="AED110" s="1017"/>
      <c r="AEE110" s="1017"/>
      <c r="AEF110" s="1017"/>
      <c r="AEG110" s="1017"/>
      <c r="AEH110" s="862"/>
      <c r="AEI110" s="172"/>
      <c r="AEJ110" s="172"/>
      <c r="AEK110" s="177"/>
      <c r="AIM110" s="792" t="s">
        <v>1078</v>
      </c>
      <c r="AIN110" s="793"/>
      <c r="AIO110" s="794"/>
      <c r="AIP110" s="825"/>
      <c r="AIQ110" s="665" t="s">
        <v>442</v>
      </c>
      <c r="AIR110" s="666"/>
      <c r="AIS110" s="156"/>
      <c r="AIT110" s="87"/>
      <c r="AIU110" s="87"/>
      <c r="AIV110" s="87"/>
      <c r="AIW110" s="87"/>
      <c r="AIX110" s="216"/>
      <c r="AIY110" s="84" t="s">
        <v>477</v>
      </c>
      <c r="AIZ110" s="156"/>
      <c r="AJA110" s="85" t="s">
        <v>467</v>
      </c>
      <c r="AJB110" s="757" t="s">
        <v>461</v>
      </c>
      <c r="AJC110" s="758"/>
      <c r="AJD110" s="819" t="s">
        <v>126</v>
      </c>
      <c r="AJE110" s="820"/>
      <c r="AJF110" s="675" t="s">
        <v>731</v>
      </c>
      <c r="AJG110" s="676"/>
      <c r="AJH110" s="821" t="s">
        <v>473</v>
      </c>
      <c r="AJI110" s="822"/>
      <c r="AJJ110" s="822"/>
      <c r="AJK110" s="823"/>
    </row>
    <row r="111" spans="68:947" ht="48" customHeight="1" thickBot="1">
      <c r="BT111" s="55"/>
      <c r="BV111" s="55"/>
      <c r="BX111" s="798"/>
      <c r="BY111" s="799"/>
      <c r="BZ111" s="800"/>
      <c r="CA111" s="827"/>
      <c r="CB111" s="734"/>
      <c r="CC111" s="735"/>
      <c r="CD111" s="735"/>
      <c r="CE111" s="735"/>
      <c r="CF111" s="735"/>
      <c r="CG111" s="735"/>
      <c r="CH111" s="735"/>
      <c r="CI111" s="735"/>
      <c r="CJ111" s="735"/>
      <c r="CK111" s="735"/>
      <c r="CL111" s="735"/>
      <c r="CM111" s="735"/>
      <c r="CN111" s="736"/>
      <c r="CO111" s="810"/>
      <c r="CP111" s="811"/>
      <c r="CQ111" s="814"/>
      <c r="CR111" s="815"/>
      <c r="CS111" s="1474"/>
      <c r="CT111" s="1317"/>
      <c r="CU111" s="1318"/>
      <c r="CV111" s="713"/>
      <c r="CW111" s="1112"/>
      <c r="CX111" s="1113"/>
      <c r="CY111" s="1114"/>
      <c r="DW111" s="144"/>
      <c r="DX111" s="144"/>
      <c r="DY111" s="144"/>
      <c r="DZ111" s="826"/>
      <c r="EA111" s="829" t="s">
        <v>1791</v>
      </c>
      <c r="EB111" s="829"/>
      <c r="EC111" s="829"/>
      <c r="ED111" s="829"/>
      <c r="EE111" s="829"/>
      <c r="EF111" s="829"/>
      <c r="EG111" s="829"/>
      <c r="EH111" s="829"/>
      <c r="EI111" s="829"/>
      <c r="EJ111" s="829"/>
      <c r="EK111" s="829"/>
      <c r="EL111" s="829"/>
      <c r="EM111" s="830"/>
      <c r="EN111" s="763">
        <f>((EQ95+EQ103)/2)*EN107-EN119-EN123</f>
        <v>241.84642617068167</v>
      </c>
      <c r="EO111" s="764"/>
      <c r="EP111" s="812" t="s">
        <v>798</v>
      </c>
      <c r="EQ111" s="813"/>
      <c r="ER111" s="712"/>
      <c r="ES111" s="716" t="s">
        <v>1062</v>
      </c>
      <c r="ET111" s="717"/>
      <c r="EU111" s="746"/>
      <c r="EV111" s="767"/>
      <c r="EW111" s="767"/>
      <c r="EX111" s="767"/>
      <c r="EY111" s="767"/>
      <c r="EZ111" s="767"/>
      <c r="FA111" s="767"/>
      <c r="FB111" s="767"/>
      <c r="FC111" s="767"/>
      <c r="FD111" s="767"/>
      <c r="FE111" s="767"/>
      <c r="FJ111" s="139"/>
      <c r="FK111" s="139"/>
      <c r="FL111" s="139"/>
      <c r="FM111" s="139"/>
      <c r="FN111" s="139"/>
      <c r="FO111" s="139"/>
      <c r="FP111" s="139"/>
      <c r="FQ111" s="139"/>
      <c r="FR111" s="139"/>
      <c r="FS111" s="139"/>
      <c r="FT111" s="139"/>
      <c r="FU111" s="139"/>
      <c r="FV111" s="139"/>
      <c r="FW111" s="139"/>
      <c r="FX111" s="139"/>
      <c r="GD111" s="144"/>
      <c r="GE111" s="144"/>
      <c r="GF111" s="767"/>
      <c r="GG111" s="863" t="s">
        <v>1364</v>
      </c>
      <c r="GH111" s="863"/>
      <c r="GI111" s="677">
        <f>$GT$48</f>
        <v>300.28735632183907</v>
      </c>
      <c r="GJ111" s="833"/>
      <c r="GK111" s="941" t="s">
        <v>1299</v>
      </c>
      <c r="GL111" s="942"/>
      <c r="GM111" s="942"/>
      <c r="GN111" s="940"/>
      <c r="GO111" s="940"/>
      <c r="GP111" s="940"/>
      <c r="GQ111" s="940"/>
      <c r="GR111" s="940"/>
      <c r="GS111" s="1003"/>
      <c r="GT111" s="1087">
        <f>(GT48/((GT106*10^(-6)))/10^6)</f>
        <v>8.0480810501204658</v>
      </c>
      <c r="GU111" s="1006"/>
      <c r="GV111" s="917" t="s">
        <v>831</v>
      </c>
      <c r="GW111" s="895"/>
      <c r="GX111" s="896"/>
      <c r="GY111" s="714"/>
      <c r="GZ111" s="716" t="s">
        <v>860</v>
      </c>
      <c r="HA111" s="717"/>
      <c r="HB111" s="746"/>
      <c r="HC111" s="919"/>
      <c r="HD111" s="840"/>
      <c r="HE111" s="920"/>
      <c r="HP111" s="144"/>
      <c r="HQ111" s="144"/>
      <c r="HR111" s="144"/>
      <c r="IE111" s="144"/>
      <c r="IF111" s="144"/>
      <c r="IG111" s="144"/>
      <c r="IH111" s="144"/>
      <c r="II111" s="144"/>
      <c r="IJ111" s="3"/>
      <c r="IK111" s="3"/>
      <c r="IR111" s="935"/>
      <c r="IS111" s="827"/>
      <c r="IT111" s="1352"/>
      <c r="IU111" s="1255"/>
      <c r="IV111" s="1255"/>
      <c r="IW111" s="1255"/>
      <c r="IX111" s="1255"/>
      <c r="IY111" s="1255"/>
      <c r="IZ111" s="1255"/>
      <c r="JA111" s="1255"/>
      <c r="JB111" s="1255"/>
      <c r="JC111" s="1255"/>
      <c r="JD111" s="1255"/>
      <c r="JE111" s="1255"/>
      <c r="JF111" s="1353"/>
      <c r="JG111" s="1576"/>
      <c r="JH111" s="1577"/>
      <c r="JI111" s="1578"/>
      <c r="JJ111" s="1330"/>
      <c r="JK111" s="1125"/>
      <c r="JL111" s="715"/>
      <c r="JM111" s="743"/>
      <c r="JN111" s="745"/>
      <c r="JO111" s="747"/>
      <c r="LV111" s="403"/>
      <c r="LW111" s="399"/>
      <c r="LX111" s="399"/>
      <c r="LY111" s="399"/>
      <c r="LZ111" s="795"/>
      <c r="MA111" s="796"/>
      <c r="MB111" s="797"/>
      <c r="MC111" s="826"/>
      <c r="MD111" s="700" t="s">
        <v>1422</v>
      </c>
      <c r="ME111" s="701"/>
      <c r="MF111" s="701"/>
      <c r="MG111" s="701"/>
      <c r="MH111" s="701"/>
      <c r="MI111" s="701"/>
      <c r="MJ111" s="701"/>
      <c r="MK111" s="701"/>
      <c r="ML111" s="701"/>
      <c r="MM111" s="701"/>
      <c r="MN111" s="701"/>
      <c r="MO111" s="701"/>
      <c r="MP111" s="702"/>
      <c r="MQ111" s="974">
        <f>ME109</f>
        <v>0.33333333333333331</v>
      </c>
      <c r="MR111" s="975"/>
      <c r="MS111" s="849" t="s">
        <v>762</v>
      </c>
      <c r="MT111" s="850"/>
      <c r="MU111" s="714"/>
      <c r="MV111" s="740" t="s">
        <v>451</v>
      </c>
      <c r="MW111" s="742"/>
      <c r="MX111" s="746"/>
      <c r="MY111" s="399"/>
      <c r="MZ111" s="399"/>
      <c r="NA111" s="399"/>
      <c r="NB111" s="399"/>
      <c r="NC111" s="399"/>
      <c r="ND111" s="399"/>
      <c r="NE111" s="399"/>
      <c r="NF111" s="399"/>
      <c r="NG111" s="399"/>
      <c r="NH111" s="399"/>
      <c r="NI111" s="399"/>
      <c r="NJ111" s="399"/>
      <c r="NK111" s="399"/>
      <c r="NL111" s="399"/>
      <c r="NM111" s="399"/>
      <c r="NN111" s="399"/>
      <c r="NO111" s="399"/>
      <c r="NP111" s="399"/>
      <c r="NQ111" s="399"/>
      <c r="NR111" s="399"/>
      <c r="NS111" s="399"/>
      <c r="NT111" s="399"/>
      <c r="NU111" s="399"/>
      <c r="NV111" s="399"/>
      <c r="NW111" s="399"/>
      <c r="NX111" s="399"/>
      <c r="NY111" s="399"/>
      <c r="NZ111" s="399"/>
      <c r="OA111" s="399"/>
      <c r="OB111" s="399"/>
      <c r="OC111" s="399"/>
      <c r="OD111" s="399"/>
      <c r="OE111" s="399"/>
      <c r="OF111" s="399"/>
      <c r="OG111" s="399"/>
      <c r="OH111" s="399"/>
      <c r="OI111" s="399"/>
      <c r="OJ111" s="399"/>
      <c r="OK111" s="399"/>
      <c r="OL111" s="399"/>
      <c r="OM111" s="399"/>
      <c r="ON111" s="399"/>
      <c r="OO111" s="399"/>
      <c r="OP111" s="399"/>
      <c r="OQ111" s="399"/>
      <c r="OR111" s="399"/>
      <c r="OS111" s="400"/>
      <c r="OW111" s="144"/>
      <c r="OX111" s="144"/>
      <c r="OY111" s="144"/>
      <c r="OZ111" s="144"/>
      <c r="PA111" s="144"/>
      <c r="PB111" s="144"/>
      <c r="PC111" s="144"/>
      <c r="QS111" s="144"/>
      <c r="QT111" s="144"/>
      <c r="QU111" s="144"/>
      <c r="QV111" s="144"/>
      <c r="QW111" s="144"/>
      <c r="RC111" s="369">
        <v>93</v>
      </c>
      <c r="RD111" s="668">
        <v>9.2999999999999999E-2</v>
      </c>
      <c r="RE111" s="669"/>
      <c r="RF111" s="670">
        <f t="shared" si="81"/>
        <v>7.3229218242021021</v>
      </c>
      <c r="RG111" s="670"/>
      <c r="RH111" s="670"/>
      <c r="RI111" s="670"/>
      <c r="RJ111" s="698">
        <f t="shared" si="69"/>
        <v>30</v>
      </c>
      <c r="RK111" s="699"/>
      <c r="RL111" s="726"/>
      <c r="RM111" s="670">
        <f t="shared" si="70"/>
        <v>7.5114229944185471</v>
      </c>
      <c r="RN111" s="670"/>
      <c r="RO111" s="670"/>
      <c r="RP111" s="670"/>
      <c r="RQ111" s="670"/>
      <c r="RR111" s="670"/>
      <c r="RS111" s="671">
        <f t="shared" si="64"/>
        <v>1.560804663639157</v>
      </c>
      <c r="RT111" s="671"/>
      <c r="RU111" s="671"/>
      <c r="RV111" s="671"/>
      <c r="RW111" s="671"/>
      <c r="RX111" s="671"/>
      <c r="RY111" s="681">
        <f t="shared" si="71"/>
        <v>7.6718698241769872</v>
      </c>
      <c r="RZ111" s="681"/>
      <c r="SA111" s="681"/>
      <c r="SB111" s="681"/>
      <c r="SC111" s="681">
        <f>'Вывод расчетов'!$AQ$6/RY111</f>
        <v>49.531601644552822</v>
      </c>
      <c r="SD111" s="681"/>
      <c r="SE111" s="681"/>
      <c r="SF111" s="681"/>
      <c r="SG111" s="867">
        <f t="shared" si="72"/>
        <v>0.97908634616650936</v>
      </c>
      <c r="SH111" s="867"/>
      <c r="SI111" s="867"/>
      <c r="SJ111" s="867"/>
      <c r="SK111" s="865">
        <f t="shared" si="73"/>
        <v>0.20344514432719732</v>
      </c>
      <c r="SL111" s="865"/>
      <c r="SM111" s="865"/>
      <c r="SN111" s="865"/>
      <c r="SO111" s="692">
        <f t="shared" si="80"/>
        <v>48.846037315071534</v>
      </c>
      <c r="SP111" s="693"/>
      <c r="SQ111" s="693"/>
      <c r="SR111" s="693"/>
      <c r="SS111" s="694"/>
      <c r="ST111" s="668">
        <f t="shared" si="78"/>
        <v>21.059040607329287</v>
      </c>
      <c r="SU111" s="678"/>
      <c r="SV111" s="678"/>
      <c r="SW111" s="678"/>
      <c r="SX111" s="678"/>
      <c r="SY111" s="669"/>
      <c r="SZ111" s="682">
        <f t="shared" si="74"/>
        <v>53.192279070241995</v>
      </c>
      <c r="TA111" s="683"/>
      <c r="TB111" s="683"/>
      <c r="TC111" s="683"/>
      <c r="TD111" s="683"/>
      <c r="TE111" s="684"/>
      <c r="TF111" s="682">
        <f>'Вывод расчетов'!$XC$174*SC111</f>
        <v>50.320423022598654</v>
      </c>
      <c r="TG111" s="683"/>
      <c r="TH111" s="684"/>
      <c r="TI111" s="681">
        <f t="shared" si="79"/>
        <v>55.684482539181545</v>
      </c>
      <c r="TJ111" s="681"/>
      <c r="TK111" s="681"/>
      <c r="TL111" s="681"/>
      <c r="TM111" s="685">
        <f t="shared" si="75"/>
        <v>1.5749638516157862</v>
      </c>
      <c r="TN111" s="686"/>
      <c r="TO111" s="686"/>
      <c r="TP111" s="687"/>
      <c r="TQ111" s="688">
        <f t="shared" si="76"/>
        <v>5.0124879787230086</v>
      </c>
      <c r="TR111" s="688"/>
      <c r="TS111" s="688"/>
      <c r="TT111" s="688"/>
      <c r="TU111" s="689">
        <f t="shared" si="77"/>
        <v>0.44676915065517298</v>
      </c>
      <c r="TV111" s="690"/>
      <c r="TW111" s="690"/>
      <c r="TX111" s="690"/>
      <c r="TY111" s="690"/>
      <c r="TZ111" s="691"/>
      <c r="UA111" s="756">
        <v>9.2999999999999999E-2</v>
      </c>
      <c r="UB111" s="756"/>
      <c r="UC111" s="650">
        <v>0.93</v>
      </c>
      <c r="UD111" s="866">
        <f t="shared" si="65"/>
        <v>7.9145077968213808</v>
      </c>
      <c r="UE111" s="866"/>
      <c r="UF111" s="866"/>
      <c r="UG111" s="866"/>
      <c r="UH111" s="866"/>
      <c r="UI111" s="866"/>
      <c r="UJ111" s="866"/>
      <c r="UK111" s="681">
        <f t="shared" si="66"/>
        <v>47.769974742360162</v>
      </c>
      <c r="UL111" s="681"/>
      <c r="UM111" s="681"/>
      <c r="UN111" s="681"/>
      <c r="UO111" s="816">
        <f t="shared" si="67"/>
        <v>0.8578687017293829</v>
      </c>
      <c r="UP111" s="816"/>
      <c r="UQ111" s="816"/>
      <c r="UR111" s="816"/>
      <c r="US111" s="866">
        <f t="shared" si="68"/>
        <v>0.91829186808425489</v>
      </c>
      <c r="UT111" s="866"/>
      <c r="UU111" s="866"/>
      <c r="UV111" s="866"/>
      <c r="UW111" s="866"/>
      <c r="XQ111" s="216"/>
      <c r="XR111" s="665" t="s">
        <v>932</v>
      </c>
      <c r="XS111" s="667"/>
      <c r="XT111" s="216"/>
      <c r="XU111" s="728" t="s">
        <v>1117</v>
      </c>
      <c r="XV111" s="1053"/>
      <c r="XW111" s="1053"/>
      <c r="XX111" s="1053"/>
      <c r="XY111" s="1053"/>
      <c r="XZ111" s="1053"/>
      <c r="YA111" s="1053"/>
      <c r="YB111" s="1053"/>
      <c r="YC111" s="1053"/>
      <c r="YD111" s="1053"/>
      <c r="YE111" s="1054"/>
      <c r="YF111" s="216"/>
      <c r="YT111" s="144"/>
      <c r="YU111" s="144"/>
      <c r="YV111" s="144"/>
      <c r="YW111" s="144"/>
      <c r="AAD111" s="947"/>
      <c r="AAE111" s="947"/>
      <c r="AAF111" s="947"/>
      <c r="AAG111" s="947"/>
      <c r="AAH111" s="535">
        <v>38</v>
      </c>
      <c r="AAI111" s="956"/>
      <c r="AAJ111" s="957"/>
      <c r="AAK111" s="958">
        <f t="shared" si="59"/>
        <v>0.50666666666666671</v>
      </c>
      <c r="AAL111" s="959"/>
      <c r="AAN111" s="947"/>
      <c r="AAO111" s="947"/>
      <c r="AAP111" s="947"/>
      <c r="AAQ111" s="947"/>
      <c r="AAR111" s="535">
        <v>98</v>
      </c>
      <c r="AAS111" s="956"/>
      <c r="AAT111" s="957"/>
      <c r="AAU111" s="958">
        <f t="shared" si="60"/>
        <v>1.3066666666666666</v>
      </c>
      <c r="AAV111" s="959"/>
      <c r="AAX111" s="947"/>
      <c r="AAY111" s="947"/>
      <c r="AAZ111" s="947"/>
      <c r="ABA111" s="947"/>
      <c r="ABB111" s="535">
        <v>158</v>
      </c>
      <c r="ABC111" s="956"/>
      <c r="ABD111" s="957"/>
      <c r="ABE111" s="958">
        <f t="shared" si="61"/>
        <v>2.1066666666666669</v>
      </c>
      <c r="ABF111" s="959"/>
      <c r="ABH111" s="947"/>
      <c r="ABI111" s="947"/>
      <c r="ABJ111" s="947"/>
      <c r="ABK111" s="947"/>
      <c r="ABL111" s="537">
        <v>218</v>
      </c>
      <c r="ABM111" s="956"/>
      <c r="ABN111" s="957"/>
      <c r="ABO111" s="958">
        <f t="shared" si="62"/>
        <v>2.9066666666666667</v>
      </c>
      <c r="ABP111" s="959"/>
      <c r="ABR111" s="947"/>
      <c r="ABS111" s="947"/>
      <c r="ABT111" s="947"/>
      <c r="ABU111" s="947"/>
      <c r="ABV111" s="537">
        <v>278</v>
      </c>
      <c r="ABW111" s="956"/>
      <c r="ABX111" s="957"/>
      <c r="ABY111" s="958">
        <f t="shared" si="63"/>
        <v>3.706666666666667</v>
      </c>
      <c r="ABZ111" s="959"/>
      <c r="ACU111" s="144"/>
      <c r="ACV111" s="144"/>
      <c r="ACW111" s="144"/>
      <c r="ACX111" s="144"/>
      <c r="ACY111" s="144"/>
      <c r="ACZ111" s="144"/>
      <c r="ADB111" s="1035">
        <v>29</v>
      </c>
      <c r="ADC111" s="1036"/>
      <c r="ADD111" s="696" t="s">
        <v>1391</v>
      </c>
      <c r="ADE111" s="720"/>
      <c r="ADF111" s="720"/>
      <c r="ADG111" s="697"/>
      <c r="ADH111" s="756">
        <f>$MQ$200</f>
        <v>4.8197321291167521</v>
      </c>
      <c r="ADI111" s="756"/>
      <c r="ADJ111" s="1032" t="s">
        <v>415</v>
      </c>
      <c r="ADK111" s="1032"/>
      <c r="ADL111" s="1032"/>
      <c r="ADM111" s="1032"/>
      <c r="ADN111" s="1032"/>
      <c r="ADO111" s="1032"/>
      <c r="ADP111" s="1032"/>
      <c r="ADQ111" s="1032"/>
      <c r="ADR111" s="1032"/>
      <c r="ADS111" s="1032"/>
      <c r="ADT111" s="1032"/>
      <c r="ADU111" s="1032"/>
      <c r="ADV111" s="1032"/>
      <c r="ADW111" s="1032"/>
      <c r="ADX111" s="857"/>
      <c r="ADY111" s="1015"/>
      <c r="ADZ111" s="1015"/>
      <c r="AEA111" s="1015"/>
      <c r="AEB111" s="1015"/>
      <c r="AEC111" s="1015"/>
      <c r="AED111" s="1015"/>
      <c r="AEE111" s="1015"/>
      <c r="AEF111" s="1015"/>
      <c r="AEG111" s="1015"/>
      <c r="AEH111" s="858"/>
      <c r="AEI111" s="172"/>
      <c r="AEJ111" s="172"/>
      <c r="AEK111" s="177"/>
      <c r="AIM111" s="795"/>
      <c r="AIN111" s="796"/>
      <c r="AIO111" s="797"/>
      <c r="AIP111" s="826"/>
      <c r="AIQ111" s="816" t="s">
        <v>985</v>
      </c>
      <c r="AIR111" s="816"/>
      <c r="AIS111" s="816"/>
      <c r="AIT111" s="816"/>
      <c r="AIU111" s="816"/>
      <c r="AIV111" s="816"/>
      <c r="AIW111" s="816"/>
      <c r="AIX111" s="816"/>
      <c r="AIY111" s="816"/>
      <c r="AIZ111" s="816"/>
      <c r="AJA111" s="816"/>
      <c r="AJB111" s="816"/>
      <c r="AJC111" s="816"/>
      <c r="AJD111" s="763">
        <f>0.26</f>
        <v>0.26</v>
      </c>
      <c r="AJE111" s="764"/>
      <c r="AJF111" s="1005"/>
      <c r="AJG111" s="1006"/>
      <c r="AJH111" s="712"/>
      <c r="AJI111" s="716" t="s">
        <v>1515</v>
      </c>
      <c r="AJJ111" s="717"/>
      <c r="AJK111" s="746"/>
    </row>
    <row r="112" spans="68:947" ht="48" customHeight="1" thickBot="1">
      <c r="BT112" s="55"/>
      <c r="BV112" s="55"/>
      <c r="DZ112" s="827"/>
      <c r="EA112" s="831"/>
      <c r="EB112" s="831"/>
      <c r="EC112" s="831"/>
      <c r="ED112" s="831"/>
      <c r="EE112" s="831"/>
      <c r="EF112" s="831"/>
      <c r="EG112" s="831"/>
      <c r="EH112" s="831"/>
      <c r="EI112" s="831"/>
      <c r="EJ112" s="831"/>
      <c r="EK112" s="831"/>
      <c r="EL112" s="831"/>
      <c r="EM112" s="832"/>
      <c r="EN112" s="765"/>
      <c r="EO112" s="766"/>
      <c r="EP112" s="814"/>
      <c r="EQ112" s="815"/>
      <c r="ER112" s="713"/>
      <c r="ES112" s="718"/>
      <c r="ET112" s="719"/>
      <c r="EU112" s="747"/>
      <c r="EV112" s="768"/>
      <c r="EW112" s="768"/>
      <c r="EX112" s="768"/>
      <c r="EY112" s="768"/>
      <c r="EZ112" s="768"/>
      <c r="FA112" s="768"/>
      <c r="FB112" s="768"/>
      <c r="FC112" s="768"/>
      <c r="FD112" s="768"/>
      <c r="FE112" s="768"/>
      <c r="FF112" s="139"/>
      <c r="FJ112" s="139"/>
      <c r="FK112" s="139"/>
      <c r="FL112" s="139"/>
      <c r="FM112" s="139"/>
      <c r="FN112" s="139"/>
      <c r="FO112" s="139"/>
      <c r="FP112" s="139"/>
      <c r="FQ112" s="139"/>
      <c r="FR112" s="139"/>
      <c r="FS112" s="139"/>
      <c r="FT112" s="139"/>
      <c r="FU112" s="139"/>
      <c r="FV112" s="139"/>
      <c r="FW112" s="139"/>
      <c r="FX112" s="139"/>
      <c r="GC112" s="144"/>
      <c r="GD112" s="144"/>
      <c r="GE112" s="144"/>
      <c r="GF112" s="768"/>
      <c r="GG112" s="709" t="s">
        <v>1476</v>
      </c>
      <c r="GH112" s="709"/>
      <c r="GI112" s="828">
        <f>$GT$60</f>
        <v>37.535919540229884</v>
      </c>
      <c r="GJ112" s="828"/>
      <c r="GK112" s="943"/>
      <c r="GL112" s="944"/>
      <c r="GM112" s="944"/>
      <c r="GN112" s="944"/>
      <c r="GO112" s="944"/>
      <c r="GP112" s="944"/>
      <c r="GQ112" s="944"/>
      <c r="GR112" s="944"/>
      <c r="GS112" s="1004"/>
      <c r="GT112" s="1089"/>
      <c r="GU112" s="708"/>
      <c r="GV112" s="918"/>
      <c r="GW112" s="897"/>
      <c r="GX112" s="898"/>
      <c r="GY112" s="715"/>
      <c r="GZ112" s="718"/>
      <c r="HA112" s="719"/>
      <c r="HB112" s="747"/>
      <c r="HC112" s="892"/>
      <c r="HD112" s="893"/>
      <c r="HE112" s="894"/>
      <c r="HP112" s="144"/>
      <c r="IE112" s="144"/>
      <c r="IF112" s="144"/>
      <c r="IG112" s="144"/>
      <c r="IH112" s="144"/>
      <c r="II112" s="144"/>
      <c r="IJ112" s="3"/>
      <c r="IK112" s="3"/>
      <c r="LV112" s="403"/>
      <c r="LW112" s="399"/>
      <c r="LX112" s="399"/>
      <c r="LY112" s="399"/>
      <c r="LZ112" s="798"/>
      <c r="MA112" s="799"/>
      <c r="MB112" s="800"/>
      <c r="MC112" s="827"/>
      <c r="MD112" s="706"/>
      <c r="ME112" s="707"/>
      <c r="MF112" s="707"/>
      <c r="MG112" s="707"/>
      <c r="MH112" s="707"/>
      <c r="MI112" s="707"/>
      <c r="MJ112" s="707"/>
      <c r="MK112" s="707"/>
      <c r="ML112" s="707"/>
      <c r="MM112" s="707"/>
      <c r="MN112" s="707"/>
      <c r="MO112" s="707"/>
      <c r="MP112" s="708"/>
      <c r="MQ112" s="976"/>
      <c r="MR112" s="977"/>
      <c r="MS112" s="851"/>
      <c r="MT112" s="852"/>
      <c r="MU112" s="715"/>
      <c r="MV112" s="743"/>
      <c r="MW112" s="745"/>
      <c r="MX112" s="747"/>
      <c r="MY112" s="399"/>
      <c r="MZ112" s="399"/>
      <c r="NA112" s="399"/>
      <c r="NB112" s="399"/>
      <c r="NC112" s="399"/>
      <c r="ND112" s="399"/>
      <c r="NE112" s="399"/>
      <c r="NF112" s="399"/>
      <c r="NG112" s="399"/>
      <c r="NH112" s="399"/>
      <c r="NI112" s="399"/>
      <c r="NJ112" s="399"/>
      <c r="NK112" s="399"/>
      <c r="NL112" s="399"/>
      <c r="NM112" s="399"/>
      <c r="NN112" s="399"/>
      <c r="NO112" s="399"/>
      <c r="NP112" s="399"/>
      <c r="NQ112" s="399"/>
      <c r="NR112" s="399"/>
      <c r="NS112" s="399"/>
      <c r="NT112" s="399"/>
      <c r="NU112" s="399"/>
      <c r="NV112" s="399"/>
      <c r="NW112" s="399"/>
      <c r="NX112" s="399"/>
      <c r="NY112" s="399"/>
      <c r="NZ112" s="399"/>
      <c r="OA112" s="399"/>
      <c r="OB112" s="399"/>
      <c r="OC112" s="399"/>
      <c r="OD112" s="399"/>
      <c r="OE112" s="399"/>
      <c r="OF112" s="399"/>
      <c r="OG112" s="399"/>
      <c r="OH112" s="399"/>
      <c r="OI112" s="399"/>
      <c r="OJ112" s="399"/>
      <c r="OK112" s="399"/>
      <c r="OL112" s="399"/>
      <c r="OM112" s="399"/>
      <c r="ON112" s="399"/>
      <c r="OO112" s="399"/>
      <c r="OP112" s="399"/>
      <c r="OQ112" s="399"/>
      <c r="OR112" s="399"/>
      <c r="OS112" s="400"/>
      <c r="PJ112" s="825"/>
      <c r="PK112" s="695" t="s">
        <v>442</v>
      </c>
      <c r="PL112" s="695"/>
      <c r="PM112" s="510"/>
      <c r="PN112" s="87"/>
      <c r="PO112" s="87"/>
      <c r="PP112" s="87"/>
      <c r="PQ112" s="87"/>
      <c r="PR112" s="87"/>
      <c r="PS112" s="87"/>
      <c r="PT112" s="510"/>
      <c r="PU112" s="85" t="s">
        <v>467</v>
      </c>
      <c r="PV112" s="757" t="s">
        <v>461</v>
      </c>
      <c r="PW112" s="758"/>
      <c r="PX112" s="819" t="s">
        <v>126</v>
      </c>
      <c r="PY112" s="820"/>
      <c r="PZ112" s="675" t="s">
        <v>731</v>
      </c>
      <c r="QA112" s="676"/>
      <c r="QB112" s="821" t="s">
        <v>473</v>
      </c>
      <c r="QC112" s="822"/>
      <c r="QD112" s="822"/>
      <c r="QE112" s="822"/>
      <c r="QF112" s="823"/>
      <c r="QG112" s="821" t="s">
        <v>462</v>
      </c>
      <c r="QH112" s="822"/>
      <c r="QI112" s="822"/>
      <c r="QJ112" s="822"/>
      <c r="QK112" s="822"/>
      <c r="QL112" s="822"/>
      <c r="QM112" s="822"/>
      <c r="QN112" s="823"/>
      <c r="QS112" s="144"/>
      <c r="QT112" s="144"/>
      <c r="QU112" s="144"/>
      <c r="QV112" s="144"/>
      <c r="QW112" s="144"/>
      <c r="RC112" s="369">
        <v>94</v>
      </c>
      <c r="RD112" s="668">
        <v>9.4E-2</v>
      </c>
      <c r="RE112" s="669"/>
      <c r="RF112" s="670">
        <f t="shared" si="81"/>
        <v>7.2450184005403777</v>
      </c>
      <c r="RG112" s="670"/>
      <c r="RH112" s="670"/>
      <c r="RI112" s="670"/>
      <c r="RJ112" s="698">
        <f t="shared" si="69"/>
        <v>30</v>
      </c>
      <c r="RK112" s="699"/>
      <c r="RL112" s="726"/>
      <c r="RM112" s="670">
        <f t="shared" si="70"/>
        <v>7.4335195707568227</v>
      </c>
      <c r="RN112" s="670"/>
      <c r="RO112" s="670"/>
      <c r="RP112" s="670"/>
      <c r="RQ112" s="670"/>
      <c r="RR112" s="670"/>
      <c r="RS112" s="671">
        <f t="shared" si="64"/>
        <v>1.560804663639157</v>
      </c>
      <c r="RT112" s="671"/>
      <c r="RU112" s="671"/>
      <c r="RV112" s="671"/>
      <c r="RW112" s="671"/>
      <c r="RX112" s="671"/>
      <c r="RY112" s="681">
        <f t="shared" si="71"/>
        <v>7.5956121811781863</v>
      </c>
      <c r="RZ112" s="681"/>
      <c r="SA112" s="681"/>
      <c r="SB112" s="681"/>
      <c r="SC112" s="681">
        <f>'Вывод расчетов'!$AQ$6/RY112</f>
        <v>50.028883905056965</v>
      </c>
      <c r="SD112" s="681"/>
      <c r="SE112" s="681"/>
      <c r="SF112" s="681"/>
      <c r="SG112" s="867">
        <f t="shared" si="72"/>
        <v>0.97865970424042625</v>
      </c>
      <c r="SH112" s="867"/>
      <c r="SI112" s="867"/>
      <c r="SJ112" s="867"/>
      <c r="SK112" s="865">
        <f t="shared" si="73"/>
        <v>0.20548767188335493</v>
      </c>
      <c r="SL112" s="865"/>
      <c r="SM112" s="865"/>
      <c r="SN112" s="865"/>
      <c r="SO112" s="692">
        <f t="shared" si="80"/>
        <v>49.311575167132915</v>
      </c>
      <c r="SP112" s="693"/>
      <c r="SQ112" s="693"/>
      <c r="SR112" s="693"/>
      <c r="SS112" s="694"/>
      <c r="ST112" s="668">
        <f t="shared" si="78"/>
        <v>21.262395642568798</v>
      </c>
      <c r="SU112" s="678"/>
      <c r="SV112" s="678"/>
      <c r="SW112" s="678"/>
      <c r="SX112" s="678"/>
      <c r="SY112" s="669"/>
      <c r="SZ112" s="682">
        <f t="shared" si="74"/>
        <v>53.700287838380603</v>
      </c>
      <c r="TA112" s="683"/>
      <c r="TB112" s="683"/>
      <c r="TC112" s="683"/>
      <c r="TD112" s="683"/>
      <c r="TE112" s="684"/>
      <c r="TF112" s="682">
        <f>'Вывод расчетов'!$XC$174*SC112</f>
        <v>50.82562481053548</v>
      </c>
      <c r="TG112" s="683"/>
      <c r="TH112" s="684"/>
      <c r="TI112" s="681">
        <f t="shared" si="79"/>
        <v>56.215195690531523</v>
      </c>
      <c r="TJ112" s="681"/>
      <c r="TK112" s="681"/>
      <c r="TL112" s="681"/>
      <c r="TM112" s="685">
        <f t="shared" si="75"/>
        <v>1.6051906471270738</v>
      </c>
      <c r="TN112" s="686"/>
      <c r="TO112" s="686"/>
      <c r="TP112" s="687"/>
      <c r="TQ112" s="688">
        <f t="shared" si="76"/>
        <v>5.1136409336403661</v>
      </c>
      <c r="TR112" s="688"/>
      <c r="TS112" s="688"/>
      <c r="TT112" s="688"/>
      <c r="TU112" s="689">
        <f t="shared" si="77"/>
        <v>0.45534356951802574</v>
      </c>
      <c r="TV112" s="690"/>
      <c r="TW112" s="690"/>
      <c r="TX112" s="690"/>
      <c r="TY112" s="690"/>
      <c r="TZ112" s="691"/>
      <c r="UA112" s="679">
        <v>9.4E-2</v>
      </c>
      <c r="UB112" s="680"/>
      <c r="UC112" s="650">
        <v>0.94</v>
      </c>
      <c r="UD112" s="866">
        <f t="shared" si="65"/>
        <v>8.0544619661128802</v>
      </c>
      <c r="UE112" s="866"/>
      <c r="UF112" s="866"/>
      <c r="UG112" s="866"/>
      <c r="UH112" s="866"/>
      <c r="UI112" s="866"/>
      <c r="UJ112" s="866"/>
      <c r="UK112" s="681">
        <f t="shared" si="66"/>
        <v>48.160733724418641</v>
      </c>
      <c r="UL112" s="681"/>
      <c r="UM112" s="681"/>
      <c r="UN112" s="681"/>
      <c r="UO112" s="816">
        <f t="shared" si="67"/>
        <v>0.8567209120741438</v>
      </c>
      <c r="UP112" s="816"/>
      <c r="UQ112" s="816"/>
      <c r="UR112" s="816"/>
      <c r="US112" s="866">
        <f t="shared" si="68"/>
        <v>0.91827394511448046</v>
      </c>
      <c r="UT112" s="866"/>
      <c r="UU112" s="866"/>
      <c r="UV112" s="866"/>
      <c r="UW112" s="866"/>
      <c r="YR112" s="144"/>
      <c r="YS112" s="144"/>
      <c r="YT112" s="144"/>
      <c r="YU112" s="144"/>
      <c r="YV112" s="144"/>
      <c r="YW112" s="144"/>
      <c r="AAD112" s="947"/>
      <c r="AAE112" s="947"/>
      <c r="AAF112" s="947"/>
      <c r="AAG112" s="947"/>
      <c r="AAH112" s="535">
        <v>39</v>
      </c>
      <c r="AAI112" s="956"/>
      <c r="AAJ112" s="957"/>
      <c r="AAK112" s="958">
        <f t="shared" si="59"/>
        <v>0.52</v>
      </c>
      <c r="AAL112" s="959"/>
      <c r="AAN112" s="947"/>
      <c r="AAO112" s="947"/>
      <c r="AAP112" s="947"/>
      <c r="AAQ112" s="947"/>
      <c r="AAR112" s="535">
        <v>99</v>
      </c>
      <c r="AAS112" s="956"/>
      <c r="AAT112" s="957"/>
      <c r="AAU112" s="958">
        <f t="shared" si="60"/>
        <v>1.32</v>
      </c>
      <c r="AAV112" s="959"/>
      <c r="AAX112" s="947"/>
      <c r="AAY112" s="947"/>
      <c r="AAZ112" s="947"/>
      <c r="ABA112" s="947"/>
      <c r="ABB112" s="535">
        <v>159</v>
      </c>
      <c r="ABC112" s="956"/>
      <c r="ABD112" s="957"/>
      <c r="ABE112" s="958">
        <f t="shared" si="61"/>
        <v>2.12</v>
      </c>
      <c r="ABF112" s="959"/>
      <c r="ABH112" s="947"/>
      <c r="ABI112" s="947"/>
      <c r="ABJ112" s="947"/>
      <c r="ABK112" s="947"/>
      <c r="ABL112" s="537">
        <v>219</v>
      </c>
      <c r="ABM112" s="956"/>
      <c r="ABN112" s="957"/>
      <c r="ABO112" s="958">
        <f t="shared" si="62"/>
        <v>2.9200000000000004</v>
      </c>
      <c r="ABP112" s="959"/>
      <c r="ABR112" s="947"/>
      <c r="ABS112" s="947"/>
      <c r="ABT112" s="947"/>
      <c r="ABU112" s="947"/>
      <c r="ABV112" s="537">
        <v>279</v>
      </c>
      <c r="ABW112" s="956"/>
      <c r="ABX112" s="957"/>
      <c r="ABY112" s="958">
        <f t="shared" si="63"/>
        <v>3.72</v>
      </c>
      <c r="ABZ112" s="959"/>
      <c r="ACU112" s="144"/>
      <c r="ACV112" s="144"/>
      <c r="ACW112" s="144"/>
      <c r="ACX112" s="144"/>
      <c r="ACY112" s="144"/>
      <c r="ACZ112" s="144"/>
      <c r="ADB112" s="1037"/>
      <c r="ADC112" s="1038"/>
      <c r="ADD112" s="863" t="s">
        <v>1392</v>
      </c>
      <c r="ADE112" s="863"/>
      <c r="ADF112" s="863"/>
      <c r="ADG112" s="863"/>
      <c r="ADH112" s="756">
        <f>$MN$222</f>
        <v>3.9395141989168017</v>
      </c>
      <c r="ADI112" s="756"/>
      <c r="ADJ112" s="1032"/>
      <c r="ADK112" s="1032"/>
      <c r="ADL112" s="1032"/>
      <c r="ADM112" s="1032"/>
      <c r="ADN112" s="1032"/>
      <c r="ADO112" s="1032"/>
      <c r="ADP112" s="1032"/>
      <c r="ADQ112" s="1032"/>
      <c r="ADR112" s="1032"/>
      <c r="ADS112" s="1032"/>
      <c r="ADT112" s="1032"/>
      <c r="ADU112" s="1032"/>
      <c r="ADV112" s="1032"/>
      <c r="ADW112" s="1032"/>
      <c r="ADX112" s="859"/>
      <c r="ADY112" s="1016"/>
      <c r="ADZ112" s="1016"/>
      <c r="AEA112" s="1016"/>
      <c r="AEB112" s="1016"/>
      <c r="AEC112" s="1016"/>
      <c r="AED112" s="1016"/>
      <c r="AEE112" s="1016"/>
      <c r="AEF112" s="1016"/>
      <c r="AEG112" s="1016"/>
      <c r="AEH112" s="860"/>
      <c r="AEI112" s="172"/>
      <c r="AEJ112" s="172"/>
      <c r="AEK112" s="177"/>
      <c r="AIM112" s="798"/>
      <c r="AIN112" s="799"/>
      <c r="AIO112" s="800"/>
      <c r="AIP112" s="827"/>
      <c r="AIQ112" s="818"/>
      <c r="AIR112" s="818"/>
      <c r="AIS112" s="818"/>
      <c r="AIT112" s="818"/>
      <c r="AIU112" s="818"/>
      <c r="AIV112" s="818"/>
      <c r="AIW112" s="818"/>
      <c r="AIX112" s="818"/>
      <c r="AIY112" s="818"/>
      <c r="AIZ112" s="818"/>
      <c r="AJA112" s="818"/>
      <c r="AJB112" s="818"/>
      <c r="AJC112" s="818"/>
      <c r="AJD112" s="765"/>
      <c r="AJE112" s="766"/>
      <c r="AJF112" s="706"/>
      <c r="AJG112" s="708"/>
      <c r="AJH112" s="713"/>
      <c r="AJI112" s="718"/>
      <c r="AJJ112" s="719"/>
      <c r="AJK112" s="747"/>
    </row>
    <row r="113" spans="60:948" ht="48" customHeight="1" thickBot="1">
      <c r="BR113" s="144"/>
      <c r="BS113" s="144"/>
      <c r="BT113" s="55"/>
      <c r="BV113" s="55"/>
      <c r="BX113" s="792" t="s">
        <v>1078</v>
      </c>
      <c r="BY113" s="793"/>
      <c r="BZ113" s="794"/>
      <c r="CA113" s="84" t="s">
        <v>1816</v>
      </c>
      <c r="CB113" s="665" t="s">
        <v>442</v>
      </c>
      <c r="CC113" s="666"/>
      <c r="CD113" s="232"/>
      <c r="CE113" s="87"/>
      <c r="CF113" s="87"/>
      <c r="CG113" s="87"/>
      <c r="CH113" s="87"/>
      <c r="CI113" s="232"/>
      <c r="CJ113" s="84" t="s">
        <v>477</v>
      </c>
      <c r="CK113" s="232"/>
      <c r="CL113" s="85" t="s">
        <v>467</v>
      </c>
      <c r="CM113" s="757" t="s">
        <v>461</v>
      </c>
      <c r="CN113" s="758"/>
      <c r="CO113" s="819" t="s">
        <v>126</v>
      </c>
      <c r="CP113" s="820"/>
      <c r="CQ113" s="675" t="s">
        <v>731</v>
      </c>
      <c r="CR113" s="676"/>
      <c r="CS113" s="821" t="s">
        <v>473</v>
      </c>
      <c r="CT113" s="1224"/>
      <c r="CU113" s="1224"/>
      <c r="CV113" s="823"/>
      <c r="FF113" s="139"/>
      <c r="FJ113" s="139"/>
      <c r="FK113" s="139"/>
      <c r="FL113" s="139"/>
      <c r="FM113" s="139"/>
      <c r="FN113" s="139"/>
      <c r="FO113" s="139"/>
      <c r="FP113" s="139"/>
      <c r="FQ113" s="139"/>
      <c r="FR113" s="139"/>
      <c r="FS113" s="139"/>
      <c r="FT113" s="139"/>
      <c r="FU113" s="139"/>
      <c r="FV113" s="139"/>
      <c r="FW113" s="139"/>
      <c r="FX113" s="139"/>
      <c r="GC113" s="144"/>
      <c r="GD113" s="144"/>
      <c r="GE113" s="144"/>
      <c r="GF113" s="144"/>
      <c r="GG113" s="144"/>
      <c r="GH113" s="144"/>
      <c r="GI113" s="144"/>
      <c r="GJ113" s="144"/>
      <c r="GK113" s="144"/>
      <c r="GL113" s="144"/>
      <c r="GM113" s="144"/>
      <c r="GN113" s="144"/>
      <c r="GO113" s="144"/>
      <c r="GP113" s="144"/>
      <c r="GQ113" s="144"/>
      <c r="GR113" s="144"/>
      <c r="GS113" s="144"/>
      <c r="GT113" s="144"/>
      <c r="GU113" s="144"/>
      <c r="GV113" s="144"/>
      <c r="IE113" s="144"/>
      <c r="IF113" s="144"/>
      <c r="IG113" s="144"/>
      <c r="IH113" s="144"/>
      <c r="IJ113" s="3"/>
      <c r="IK113" s="3"/>
      <c r="IR113" s="767"/>
      <c r="IS113" s="665" t="s">
        <v>442</v>
      </c>
      <c r="IT113" s="667"/>
      <c r="IU113" s="245"/>
      <c r="IV113" s="255" t="s">
        <v>757</v>
      </c>
      <c r="IW113" s="677">
        <f>$GW$12</f>
        <v>2</v>
      </c>
      <c r="IX113" s="677"/>
      <c r="IY113" s="343"/>
      <c r="IZ113" s="87"/>
      <c r="JA113" s="87"/>
      <c r="JB113" s="152"/>
      <c r="JC113" s="85" t="s">
        <v>467</v>
      </c>
      <c r="JD113" s="757" t="s">
        <v>461</v>
      </c>
      <c r="JE113" s="899"/>
      <c r="JF113" s="1130" t="s">
        <v>126</v>
      </c>
      <c r="JG113" s="1131"/>
      <c r="JH113" s="675" t="s">
        <v>731</v>
      </c>
      <c r="JI113" s="676"/>
      <c r="JJ113" s="821" t="s">
        <v>473</v>
      </c>
      <c r="JK113" s="822"/>
      <c r="JL113" s="822"/>
      <c r="JM113" s="823"/>
      <c r="JN113" s="821" t="s">
        <v>462</v>
      </c>
      <c r="JO113" s="822"/>
      <c r="JP113" s="822"/>
      <c r="JQ113" s="823"/>
      <c r="LV113" s="403"/>
      <c r="LW113" s="399"/>
      <c r="LX113" s="399"/>
      <c r="LY113" s="399"/>
      <c r="LZ113" s="405"/>
      <c r="MA113" s="405"/>
      <c r="MB113" s="405"/>
      <c r="MC113" s="405"/>
      <c r="MD113" s="405"/>
      <c r="ME113" s="405"/>
      <c r="MF113" s="405"/>
      <c r="MG113" s="405"/>
      <c r="MH113" s="405"/>
      <c r="MI113" s="405"/>
      <c r="MJ113" s="405"/>
      <c r="MK113" s="405"/>
      <c r="ML113" s="405"/>
      <c r="MM113" s="405"/>
      <c r="MN113" s="405"/>
      <c r="MO113" s="405"/>
      <c r="MP113" s="405"/>
      <c r="MQ113" s="399"/>
      <c r="MR113" s="399"/>
      <c r="MS113" s="399"/>
      <c r="MT113" s="399"/>
      <c r="MU113" s="399"/>
      <c r="MV113" s="399"/>
      <c r="MW113" s="399"/>
      <c r="MX113" s="399"/>
      <c r="MY113" s="399"/>
      <c r="MZ113" s="399"/>
      <c r="NA113" s="399"/>
      <c r="NB113" s="399"/>
      <c r="NC113" s="399"/>
      <c r="ND113" s="399"/>
      <c r="NE113" s="399"/>
      <c r="NF113" s="399"/>
      <c r="NG113" s="399"/>
      <c r="NH113" s="399"/>
      <c r="NI113" s="399"/>
      <c r="NJ113" s="399"/>
      <c r="NK113" s="399"/>
      <c r="NL113" s="399"/>
      <c r="NM113" s="399"/>
      <c r="NN113" s="399"/>
      <c r="NO113" s="399"/>
      <c r="NP113" s="399"/>
      <c r="NQ113" s="399"/>
      <c r="NR113" s="399"/>
      <c r="NS113" s="399"/>
      <c r="NT113" s="399"/>
      <c r="NU113" s="399"/>
      <c r="NV113" s="399"/>
      <c r="NW113" s="399"/>
      <c r="NX113" s="399"/>
      <c r="NY113" s="399"/>
      <c r="NZ113" s="399"/>
      <c r="OA113" s="399"/>
      <c r="OB113" s="399"/>
      <c r="OC113" s="399"/>
      <c r="OD113" s="399"/>
      <c r="OE113" s="399"/>
      <c r="OF113" s="399"/>
      <c r="OG113" s="399"/>
      <c r="OH113" s="399"/>
      <c r="OI113" s="399"/>
      <c r="OJ113" s="399"/>
      <c r="OK113" s="399"/>
      <c r="OL113" s="399"/>
      <c r="OM113" s="399"/>
      <c r="ON113" s="399"/>
      <c r="OO113" s="399"/>
      <c r="OP113" s="399"/>
      <c r="OQ113" s="399"/>
      <c r="OR113" s="399"/>
      <c r="OS113" s="400"/>
      <c r="PJ113" s="826"/>
      <c r="PK113" s="508"/>
      <c r="PL113" s="677"/>
      <c r="PM113" s="677"/>
      <c r="PN113" s="700" t="s">
        <v>420</v>
      </c>
      <c r="PO113" s="701"/>
      <c r="PP113" s="701"/>
      <c r="PQ113" s="701"/>
      <c r="PR113" s="701"/>
      <c r="PS113" s="701"/>
      <c r="PT113" s="701"/>
      <c r="PU113" s="701"/>
      <c r="PV113" s="701"/>
      <c r="PW113" s="702"/>
      <c r="PX113" s="752">
        <v>1.81</v>
      </c>
      <c r="PY113" s="753"/>
      <c r="PZ113" s="759" t="s">
        <v>50</v>
      </c>
      <c r="QA113" s="760"/>
      <c r="QB113" s="712"/>
      <c r="QC113" s="952" t="s">
        <v>1680</v>
      </c>
      <c r="QD113" s="1151"/>
      <c r="QE113" s="953"/>
      <c r="QF113" s="746"/>
      <c r="QG113" s="919"/>
      <c r="QH113" s="840"/>
      <c r="QI113" s="840"/>
      <c r="QJ113" s="840"/>
      <c r="QK113" s="840"/>
      <c r="QL113" s="840"/>
      <c r="QM113" s="840"/>
      <c r="QN113" s="920"/>
      <c r="RC113" s="369">
        <v>95</v>
      </c>
      <c r="RD113" s="668">
        <v>9.5000000000000001E-2</v>
      </c>
      <c r="RE113" s="669"/>
      <c r="RF113" s="670">
        <f t="shared" si="81"/>
        <v>7.1687550489557417</v>
      </c>
      <c r="RG113" s="670"/>
      <c r="RH113" s="670"/>
      <c r="RI113" s="670"/>
      <c r="RJ113" s="698">
        <f t="shared" si="69"/>
        <v>30</v>
      </c>
      <c r="RK113" s="699"/>
      <c r="RL113" s="726"/>
      <c r="RM113" s="670">
        <f t="shared" si="70"/>
        <v>7.3572562191721866</v>
      </c>
      <c r="RN113" s="670"/>
      <c r="RO113" s="670"/>
      <c r="RP113" s="670"/>
      <c r="RQ113" s="670"/>
      <c r="RR113" s="670"/>
      <c r="RS113" s="671">
        <f t="shared" si="64"/>
        <v>1.560804663639157</v>
      </c>
      <c r="RT113" s="671"/>
      <c r="RU113" s="671"/>
      <c r="RV113" s="671"/>
      <c r="RW113" s="671"/>
      <c r="RX113" s="671"/>
      <c r="RY113" s="681">
        <f t="shared" si="71"/>
        <v>7.5209926387801742</v>
      </c>
      <c r="RZ113" s="681"/>
      <c r="SA113" s="681"/>
      <c r="SB113" s="681"/>
      <c r="SC113" s="681">
        <f>'Вывод расчетов'!$AQ$6/RY113</f>
        <v>50.525245569397605</v>
      </c>
      <c r="SD113" s="681"/>
      <c r="SE113" s="681"/>
      <c r="SF113" s="681"/>
      <c r="SG113" s="867">
        <f t="shared" si="72"/>
        <v>0.9782294136596118</v>
      </c>
      <c r="SH113" s="867"/>
      <c r="SI113" s="867"/>
      <c r="SJ113" s="867"/>
      <c r="SK113" s="865">
        <f t="shared" si="73"/>
        <v>0.20752641820060377</v>
      </c>
      <c r="SL113" s="865"/>
      <c r="SM113" s="865"/>
      <c r="SN113" s="865"/>
      <c r="SO113" s="692">
        <f t="shared" si="80"/>
        <v>49.775603789490965</v>
      </c>
      <c r="SP113" s="693"/>
      <c r="SQ113" s="693"/>
      <c r="SR113" s="693"/>
      <c r="SS113" s="694"/>
      <c r="ST113" s="668">
        <f t="shared" si="78"/>
        <v>21.467400003719007</v>
      </c>
      <c r="SU113" s="678"/>
      <c r="SV113" s="678"/>
      <c r="SW113" s="678"/>
      <c r="SX113" s="678"/>
      <c r="SY113" s="669"/>
      <c r="SZ113" s="682">
        <f t="shared" si="74"/>
        <v>54.207564006585486</v>
      </c>
      <c r="TA113" s="683"/>
      <c r="TB113" s="683"/>
      <c r="TC113" s="683"/>
      <c r="TD113" s="683"/>
      <c r="TE113" s="684"/>
      <c r="TF113" s="682">
        <f>'Вывод расчетов'!$XC$174*SC113</f>
        <v>51.329891341245755</v>
      </c>
      <c r="TG113" s="683"/>
      <c r="TH113" s="684"/>
      <c r="TI113" s="681">
        <f t="shared" si="79"/>
        <v>56.744188320019695</v>
      </c>
      <c r="TJ113" s="681"/>
      <c r="TK113" s="681"/>
      <c r="TL113" s="681"/>
      <c r="TM113" s="685">
        <f t="shared" si="75"/>
        <v>1.6356605380923841</v>
      </c>
      <c r="TN113" s="686"/>
      <c r="TO113" s="686"/>
      <c r="TP113" s="687"/>
      <c r="TQ113" s="688">
        <f t="shared" si="76"/>
        <v>5.2156142970088455</v>
      </c>
      <c r="TR113" s="688"/>
      <c r="TS113" s="688"/>
      <c r="TT113" s="688"/>
      <c r="TU113" s="689">
        <f t="shared" si="77"/>
        <v>0.46398694713787497</v>
      </c>
      <c r="TV113" s="690"/>
      <c r="TW113" s="690"/>
      <c r="TX113" s="690"/>
      <c r="TY113" s="690"/>
      <c r="TZ113" s="691"/>
      <c r="UA113" s="679">
        <v>9.5000000000000001E-2</v>
      </c>
      <c r="UB113" s="680"/>
      <c r="UC113" s="650">
        <v>0.95</v>
      </c>
      <c r="UD113" s="866">
        <f t="shared" si="65"/>
        <v>8.1955485980665177</v>
      </c>
      <c r="UE113" s="866"/>
      <c r="UF113" s="866"/>
      <c r="UG113" s="866"/>
      <c r="UH113" s="866"/>
      <c r="UI113" s="866"/>
      <c r="UJ113" s="866"/>
      <c r="UK113" s="681">
        <f t="shared" si="66"/>
        <v>48.54863972195318</v>
      </c>
      <c r="UL113" s="681"/>
      <c r="UM113" s="681"/>
      <c r="UN113" s="681"/>
      <c r="UO113" s="816">
        <f t="shared" si="67"/>
        <v>0.8555702559027516</v>
      </c>
      <c r="UP113" s="816"/>
      <c r="UQ113" s="816"/>
      <c r="UR113" s="816"/>
      <c r="US113" s="866">
        <f t="shared" si="68"/>
        <v>0.91824092636673182</v>
      </c>
      <c r="UT113" s="866"/>
      <c r="UU113" s="866"/>
      <c r="UV113" s="866"/>
      <c r="UW113" s="866"/>
      <c r="XO113" s="825"/>
      <c r="XP113" s="665" t="s">
        <v>442</v>
      </c>
      <c r="XQ113" s="666"/>
      <c r="XR113" s="450"/>
      <c r="XS113" s="87"/>
      <c r="XT113" s="87"/>
      <c r="XU113" s="87"/>
      <c r="XV113" s="87"/>
      <c r="XW113" s="87"/>
      <c r="XX113" s="87"/>
      <c r="XY113" s="450"/>
      <c r="XZ113" s="85" t="s">
        <v>467</v>
      </c>
      <c r="YA113" s="757" t="s">
        <v>461</v>
      </c>
      <c r="YB113" s="899"/>
      <c r="YC113" s="819" t="s">
        <v>126</v>
      </c>
      <c r="YD113" s="820"/>
      <c r="YE113" s="675" t="s">
        <v>731</v>
      </c>
      <c r="YF113" s="676"/>
      <c r="YG113" s="821" t="s">
        <v>473</v>
      </c>
      <c r="YH113" s="822"/>
      <c r="YI113" s="822"/>
      <c r="YJ113" s="823"/>
      <c r="YK113" s="769" t="s">
        <v>462</v>
      </c>
      <c r="YL113" s="769"/>
      <c r="YM113" s="769"/>
      <c r="YN113" s="769"/>
      <c r="YO113" s="769"/>
      <c r="YP113" s="769"/>
      <c r="YQ113" s="769"/>
      <c r="YR113" s="144"/>
      <c r="YS113" s="144"/>
      <c r="YT113" s="144"/>
      <c r="AAD113" s="947"/>
      <c r="AAE113" s="947"/>
      <c r="AAF113" s="947"/>
      <c r="AAG113" s="947"/>
      <c r="AAH113" s="535">
        <v>40</v>
      </c>
      <c r="AAI113" s="956"/>
      <c r="AAJ113" s="957"/>
      <c r="AAK113" s="958">
        <f t="shared" si="59"/>
        <v>0.53333333333333333</v>
      </c>
      <c r="AAL113" s="959"/>
      <c r="AAN113" s="947"/>
      <c r="AAO113" s="947"/>
      <c r="AAP113" s="947"/>
      <c r="AAQ113" s="947"/>
      <c r="AAR113" s="535">
        <v>100</v>
      </c>
      <c r="AAS113" s="956"/>
      <c r="AAT113" s="957"/>
      <c r="AAU113" s="958">
        <f t="shared" si="60"/>
        <v>1.3333333333333335</v>
      </c>
      <c r="AAV113" s="959"/>
      <c r="AAX113" s="947"/>
      <c r="AAY113" s="947"/>
      <c r="AAZ113" s="947"/>
      <c r="ABA113" s="947"/>
      <c r="ABB113" s="535">
        <v>160</v>
      </c>
      <c r="ABC113" s="956"/>
      <c r="ABD113" s="957"/>
      <c r="ABE113" s="958">
        <f t="shared" si="61"/>
        <v>2.1333333333333333</v>
      </c>
      <c r="ABF113" s="959"/>
      <c r="ABH113" s="947"/>
      <c r="ABI113" s="947"/>
      <c r="ABJ113" s="947"/>
      <c r="ABK113" s="947"/>
      <c r="ABL113" s="537">
        <v>220</v>
      </c>
      <c r="ABM113" s="956"/>
      <c r="ABN113" s="957"/>
      <c r="ABO113" s="958">
        <f t="shared" si="62"/>
        <v>2.9333333333333336</v>
      </c>
      <c r="ABP113" s="959"/>
      <c r="ABR113" s="947"/>
      <c r="ABS113" s="947"/>
      <c r="ABT113" s="947"/>
      <c r="ABU113" s="947"/>
      <c r="ABV113" s="537">
        <v>280</v>
      </c>
      <c r="ABW113" s="956"/>
      <c r="ABX113" s="957"/>
      <c r="ABY113" s="958">
        <f t="shared" si="63"/>
        <v>3.7333333333333334</v>
      </c>
      <c r="ABZ113" s="959"/>
      <c r="ACU113" s="144"/>
      <c r="ACV113" s="144"/>
      <c r="ACW113" s="144"/>
      <c r="ACX113" s="144"/>
      <c r="ACY113" s="144"/>
      <c r="ACZ113" s="144"/>
      <c r="ADB113" s="1037"/>
      <c r="ADC113" s="1038"/>
      <c r="ADD113" s="863" t="s">
        <v>1393</v>
      </c>
      <c r="ADE113" s="863"/>
      <c r="ADF113" s="863"/>
      <c r="ADG113" s="863"/>
      <c r="ADH113" s="756">
        <f>$MN$204</f>
        <v>0.34913719955913641</v>
      </c>
      <c r="ADI113" s="756"/>
      <c r="ADJ113" s="1032"/>
      <c r="ADK113" s="1032"/>
      <c r="ADL113" s="1032"/>
      <c r="ADM113" s="1032"/>
      <c r="ADN113" s="1032"/>
      <c r="ADO113" s="1032"/>
      <c r="ADP113" s="1032"/>
      <c r="ADQ113" s="1032"/>
      <c r="ADR113" s="1032"/>
      <c r="ADS113" s="1032"/>
      <c r="ADT113" s="1032"/>
      <c r="ADU113" s="1032"/>
      <c r="ADV113" s="1032"/>
      <c r="ADW113" s="1032"/>
      <c r="ADX113" s="859"/>
      <c r="ADY113" s="1016"/>
      <c r="ADZ113" s="1016"/>
      <c r="AEA113" s="1016"/>
      <c r="AEB113" s="1016"/>
      <c r="AEC113" s="1016"/>
      <c r="AED113" s="1016"/>
      <c r="AEE113" s="1016"/>
      <c r="AEF113" s="1016"/>
      <c r="AEG113" s="1016"/>
      <c r="AEH113" s="860"/>
      <c r="AEI113" s="172"/>
      <c r="AEJ113" s="172"/>
      <c r="AEK113" s="177"/>
    </row>
    <row r="114" spans="60:948" ht="48" customHeight="1" thickBot="1">
      <c r="BR114" s="144"/>
      <c r="BS114" s="144"/>
      <c r="BT114" s="55"/>
      <c r="BV114" s="55"/>
      <c r="BX114" s="795"/>
      <c r="BY114" s="796"/>
      <c r="BZ114" s="797"/>
      <c r="CA114" s="825"/>
      <c r="CB114" s="731" t="s">
        <v>478</v>
      </c>
      <c r="CC114" s="732"/>
      <c r="CD114" s="732"/>
      <c r="CE114" s="732"/>
      <c r="CF114" s="732"/>
      <c r="CG114" s="732"/>
      <c r="CH114" s="732"/>
      <c r="CI114" s="732"/>
      <c r="CJ114" s="732"/>
      <c r="CK114" s="732"/>
      <c r="CL114" s="732"/>
      <c r="CM114" s="732"/>
      <c r="CN114" s="733"/>
      <c r="CO114" s="1475">
        <f xml:space="preserve">
IF(CO110='Программные таблицы'!L64,'Программные таблицы'!J64,
IF(CO110='Программные таблицы'!L65,'Программные таблицы'!J65,
IF(CO110='Программные таблицы'!L66,'Программные таблицы'!J66,
IF(CO110='Программные таблицы'!L67,'Программные таблицы'!J67,
IF(CO110='Программные таблицы'!L68,'Программные таблицы'!J68,
IF(CO110='Программные таблицы'!L69,'Программные таблицы'!J69,
IF(CO110='Программные таблицы'!L70,'Программные таблицы'!J70,
IF(CO110='Программные таблицы'!L71,'Программные таблицы'!J71,
IF(CO110='Программные таблицы'!L72,'Программные таблицы'!J72,
IF(CO110='Программные таблицы'!L73,'Программные таблицы'!J73,
IF(CO110='Программные таблицы'!L74,'Программные таблицы'!J74,
IF(CO110='Программные таблицы'!L75,'Программные таблицы'!J75,
IF(CO110='Программные таблицы'!L76,'Программные таблицы'!J76,
IF(CO110='Программные таблицы'!L77,'Программные таблицы'!J77,
IF(CO110='Программные таблицы'!L78,'Программные таблицы'!J78,
IF(CO110='Программные таблицы'!L79,'Программные таблицы'!J79,
IF(CO110='Программные таблицы'!L80,'Программные таблицы'!J80,
IF(CO110='Программные таблицы'!L81,'Программные таблицы'!J81,
IF(CO110='Программные таблицы'!P64,'Программные таблицы'!N64,
IF(CO110='Программные таблицы'!P65,'Программные таблицы'!N65,
IF(CO110='Программные таблицы'!P66,'Программные таблицы'!N66,
"Вне рамок диапозона значений таблицы 4"
)))))))))))))))))))))</f>
        <v>1.18</v>
      </c>
      <c r="CP114" s="1476"/>
      <c r="CQ114" s="812" t="s">
        <v>50</v>
      </c>
      <c r="CR114" s="813"/>
      <c r="CS114" s="1473"/>
      <c r="CT114" s="1315" t="s">
        <v>1060</v>
      </c>
      <c r="CU114" s="1316"/>
      <c r="CV114" s="712"/>
      <c r="DO114" s="144"/>
      <c r="DP114" s="144"/>
      <c r="DQ114" s="144"/>
      <c r="DR114" s="144"/>
      <c r="DS114" s="144"/>
      <c r="DT114" s="144"/>
      <c r="DU114" s="144"/>
      <c r="DV114" s="144"/>
      <c r="DW114" s="144"/>
      <c r="DX114" s="144"/>
      <c r="DY114" s="144"/>
      <c r="DZ114" s="777" t="s">
        <v>752</v>
      </c>
      <c r="EA114" s="778"/>
      <c r="EB114" s="779"/>
      <c r="EC114" s="85" t="s">
        <v>839</v>
      </c>
      <c r="ED114" s="665" t="s">
        <v>442</v>
      </c>
      <c r="EE114" s="666"/>
      <c r="EF114" s="239"/>
      <c r="EG114" s="87"/>
      <c r="EH114" s="87"/>
      <c r="EI114" s="87"/>
      <c r="EJ114" s="87"/>
      <c r="EK114" s="87"/>
      <c r="EL114" s="87"/>
      <c r="EM114" s="239"/>
      <c r="EN114" s="85" t="s">
        <v>467</v>
      </c>
      <c r="EO114" s="757" t="s">
        <v>461</v>
      </c>
      <c r="EP114" s="758"/>
      <c r="EQ114" s="819" t="s">
        <v>126</v>
      </c>
      <c r="ER114" s="820"/>
      <c r="ES114" s="675" t="s">
        <v>731</v>
      </c>
      <c r="ET114" s="676"/>
      <c r="EU114" s="821" t="s">
        <v>473</v>
      </c>
      <c r="EV114" s="822"/>
      <c r="EW114" s="822"/>
      <c r="EX114" s="823"/>
      <c r="FJ114" s="139"/>
      <c r="FK114" s="139"/>
      <c r="FL114" s="139"/>
      <c r="FM114" s="139"/>
      <c r="FN114" s="139"/>
      <c r="FO114" s="139"/>
      <c r="FP114" s="139"/>
      <c r="FQ114" s="139"/>
      <c r="FR114" s="139"/>
      <c r="FS114" s="139"/>
      <c r="FT114" s="139"/>
      <c r="FU114" s="139"/>
      <c r="FV114" s="139"/>
      <c r="FW114" s="139"/>
      <c r="FX114" s="139"/>
      <c r="GF114" s="825"/>
      <c r="GG114" s="665" t="s">
        <v>442</v>
      </c>
      <c r="GH114" s="667"/>
      <c r="GI114" s="152"/>
      <c r="GJ114" s="87"/>
      <c r="GK114" s="87"/>
      <c r="GL114" s="87"/>
      <c r="GM114" s="87"/>
      <c r="GN114" s="87"/>
      <c r="GO114" s="87"/>
      <c r="GP114" s="152"/>
      <c r="GQ114" s="85" t="s">
        <v>467</v>
      </c>
      <c r="GR114" s="757" t="s">
        <v>461</v>
      </c>
      <c r="GS114" s="758"/>
      <c r="GT114" s="819" t="s">
        <v>126</v>
      </c>
      <c r="GU114" s="820"/>
      <c r="GV114" s="675" t="s">
        <v>731</v>
      </c>
      <c r="GW114" s="676"/>
      <c r="GX114" s="821" t="s">
        <v>473</v>
      </c>
      <c r="GY114" s="822"/>
      <c r="GZ114" s="822"/>
      <c r="HA114" s="823"/>
      <c r="HB114" s="821" t="s">
        <v>462</v>
      </c>
      <c r="HC114" s="822"/>
      <c r="HD114" s="823"/>
      <c r="HN114" s="241"/>
      <c r="HO114" s="144"/>
      <c r="HP114" s="144"/>
      <c r="IE114" s="144"/>
      <c r="IF114" s="144"/>
      <c r="IG114" s="144"/>
      <c r="IH114" s="144"/>
      <c r="II114" s="144"/>
      <c r="IJ114" s="3"/>
      <c r="IK114" s="3"/>
      <c r="IR114" s="767"/>
      <c r="IS114" s="246" t="s">
        <v>1125</v>
      </c>
      <c r="IT114" s="739">
        <f>$CL$40</f>
        <v>1.6231421212121216E-2</v>
      </c>
      <c r="IU114" s="739"/>
      <c r="IV114" s="1579" t="s">
        <v>966</v>
      </c>
      <c r="IW114" s="1580"/>
      <c r="IX114" s="1580"/>
      <c r="IY114" s="1580"/>
      <c r="IZ114" s="1580"/>
      <c r="JA114" s="1580"/>
      <c r="JB114" s="1580"/>
      <c r="JC114" s="1580"/>
      <c r="JD114" s="1580"/>
      <c r="JE114" s="1581"/>
      <c r="JF114" s="763">
        <f>(CO44)/(CO44-(JF118*GW12))</f>
        <v>1.0769230769230769</v>
      </c>
      <c r="JG114" s="764"/>
      <c r="JH114" s="849" t="s">
        <v>762</v>
      </c>
      <c r="JI114" s="850"/>
      <c r="JJ114" s="714"/>
      <c r="JK114" s="740" t="s">
        <v>919</v>
      </c>
      <c r="JL114" s="742"/>
      <c r="JM114" s="746"/>
      <c r="JN114" s="919"/>
      <c r="JO114" s="840"/>
      <c r="JP114" s="840"/>
      <c r="JQ114" s="920"/>
      <c r="JT114" s="144"/>
      <c r="JU114" s="144"/>
      <c r="JV114" s="144"/>
      <c r="JW114" s="144"/>
      <c r="LV114" s="403"/>
      <c r="LW114" s="399"/>
      <c r="LX114" s="399"/>
      <c r="LY114" s="399"/>
      <c r="LZ114" s="399"/>
      <c r="MA114" s="399"/>
      <c r="MB114" s="399"/>
      <c r="MC114" s="399"/>
      <c r="MD114" s="399"/>
      <c r="ME114" s="399"/>
      <c r="MF114" s="399"/>
      <c r="MG114" s="399"/>
      <c r="MH114" s="399"/>
      <c r="MI114" s="399"/>
      <c r="MJ114" s="399"/>
      <c r="MK114" s="399"/>
      <c r="ML114" s="399"/>
      <c r="MM114" s="399"/>
      <c r="MN114" s="399"/>
      <c r="MO114" s="399"/>
      <c r="MP114" s="399"/>
      <c r="MQ114" s="399"/>
      <c r="MR114" s="399"/>
      <c r="MS114" s="399"/>
      <c r="MT114" s="399"/>
      <c r="MU114" s="399"/>
      <c r="MV114" s="399"/>
      <c r="MW114" s="399"/>
      <c r="MX114" s="399"/>
      <c r="MY114" s="399"/>
      <c r="MZ114" s="399"/>
      <c r="NA114" s="399"/>
      <c r="NB114" s="399"/>
      <c r="NC114" s="399"/>
      <c r="ND114" s="399"/>
      <c r="NE114" s="399"/>
      <c r="NF114" s="399"/>
      <c r="NG114" s="399"/>
      <c r="NH114" s="399"/>
      <c r="NI114" s="399"/>
      <c r="NJ114" s="399"/>
      <c r="NK114" s="399"/>
      <c r="NL114" s="399"/>
      <c r="NM114" s="399"/>
      <c r="NN114" s="399"/>
      <c r="NO114" s="399"/>
      <c r="NP114" s="399"/>
      <c r="NQ114" s="399"/>
      <c r="NR114" s="399"/>
      <c r="NS114" s="399"/>
      <c r="NT114" s="399"/>
      <c r="NU114" s="399"/>
      <c r="NV114" s="172"/>
      <c r="NW114" s="172"/>
      <c r="NX114" s="172"/>
      <c r="NY114" s="172"/>
      <c r="NZ114" s="172"/>
      <c r="OA114" s="172"/>
      <c r="OB114" s="172"/>
      <c r="OC114" s="172"/>
      <c r="OD114" s="172"/>
      <c r="OE114" s="172"/>
      <c r="OF114" s="172"/>
      <c r="OG114" s="399"/>
      <c r="OH114" s="399"/>
      <c r="OI114" s="399"/>
      <c r="OJ114" s="399"/>
      <c r="OK114" s="399"/>
      <c r="OL114" s="399"/>
      <c r="OM114" s="399"/>
      <c r="ON114" s="399"/>
      <c r="OO114" s="399"/>
      <c r="OP114" s="399"/>
      <c r="OQ114" s="399"/>
      <c r="OR114" s="399"/>
      <c r="OS114" s="400"/>
      <c r="PJ114" s="826"/>
      <c r="PK114" s="509"/>
      <c r="PL114" s="739"/>
      <c r="PM114" s="739"/>
      <c r="PN114" s="703"/>
      <c r="PO114" s="704"/>
      <c r="PP114" s="704"/>
      <c r="PQ114" s="704"/>
      <c r="PR114" s="704"/>
      <c r="PS114" s="704"/>
      <c r="PT114" s="704"/>
      <c r="PU114" s="704"/>
      <c r="PV114" s="704"/>
      <c r="PW114" s="705"/>
      <c r="PX114" s="754"/>
      <c r="PY114" s="755"/>
      <c r="PZ114" s="761"/>
      <c r="QA114" s="762"/>
      <c r="QB114" s="713"/>
      <c r="QC114" s="954"/>
      <c r="QD114" s="1152"/>
      <c r="QE114" s="955"/>
      <c r="QF114" s="747"/>
      <c r="QG114" s="890"/>
      <c r="QH114" s="841"/>
      <c r="QI114" s="841"/>
      <c r="QJ114" s="841"/>
      <c r="QK114" s="841"/>
      <c r="QL114" s="841"/>
      <c r="QM114" s="841"/>
      <c r="QN114" s="891"/>
      <c r="RC114" s="369">
        <v>96</v>
      </c>
      <c r="RD114" s="668">
        <v>9.6000000000000002E-2</v>
      </c>
      <c r="RE114" s="669"/>
      <c r="RF114" s="670">
        <f t="shared" si="81"/>
        <v>7.0940805171957866</v>
      </c>
      <c r="RG114" s="670"/>
      <c r="RH114" s="670"/>
      <c r="RI114" s="670"/>
      <c r="RJ114" s="698">
        <f t="shared" si="69"/>
        <v>30</v>
      </c>
      <c r="RK114" s="699"/>
      <c r="RL114" s="726"/>
      <c r="RM114" s="670">
        <f t="shared" si="70"/>
        <v>7.2825816874122316</v>
      </c>
      <c r="RN114" s="670"/>
      <c r="RO114" s="670"/>
      <c r="RP114" s="670"/>
      <c r="RQ114" s="670"/>
      <c r="RR114" s="670"/>
      <c r="RS114" s="671">
        <f t="shared" si="64"/>
        <v>1.560804663639157</v>
      </c>
      <c r="RT114" s="671"/>
      <c r="RU114" s="671"/>
      <c r="RV114" s="671"/>
      <c r="RW114" s="671"/>
      <c r="RX114" s="671"/>
      <c r="RY114" s="681">
        <f t="shared" si="71"/>
        <v>7.4479599375849039</v>
      </c>
      <c r="RZ114" s="681"/>
      <c r="SA114" s="681"/>
      <c r="SB114" s="681"/>
      <c r="SC114" s="681">
        <f>'Вывод расчетов'!$AQ$6/RY114</f>
        <v>51.020682600935132</v>
      </c>
      <c r="SD114" s="681"/>
      <c r="SE114" s="681"/>
      <c r="SF114" s="681"/>
      <c r="SG114" s="867">
        <f t="shared" si="72"/>
        <v>0.97779549681274225</v>
      </c>
      <c r="SH114" s="867"/>
      <c r="SI114" s="867"/>
      <c r="SJ114" s="867"/>
      <c r="SK114" s="865">
        <f t="shared" si="73"/>
        <v>0.20956136669892828</v>
      </c>
      <c r="SL114" s="865"/>
      <c r="SM114" s="865"/>
      <c r="SN114" s="865"/>
      <c r="SO114" s="692">
        <f t="shared" si="80"/>
        <v>50.238116132637849</v>
      </c>
      <c r="SP114" s="693"/>
      <c r="SQ114" s="693"/>
      <c r="SR114" s="693"/>
      <c r="SS114" s="694"/>
      <c r="ST114" s="668">
        <f t="shared" si="78"/>
        <v>21.67404073776019</v>
      </c>
      <c r="SU114" s="678"/>
      <c r="SV114" s="678"/>
      <c r="SW114" s="678"/>
      <c r="SX114" s="678"/>
      <c r="SY114" s="669"/>
      <c r="SZ114" s="682">
        <f t="shared" si="74"/>
        <v>54.714096487637399</v>
      </c>
      <c r="TA114" s="683"/>
      <c r="TB114" s="683"/>
      <c r="TC114" s="683"/>
      <c r="TD114" s="683"/>
      <c r="TE114" s="684"/>
      <c r="TF114" s="682">
        <f>'Вывод расчетов'!$XC$174*SC114</f>
        <v>51.833218513803892</v>
      </c>
      <c r="TG114" s="683"/>
      <c r="TH114" s="684"/>
      <c r="TI114" s="681">
        <f t="shared" si="79"/>
        <v>57.271452391207148</v>
      </c>
      <c r="TJ114" s="681"/>
      <c r="TK114" s="681"/>
      <c r="TL114" s="681"/>
      <c r="TM114" s="685">
        <f t="shared" si="75"/>
        <v>1.6663716079838635</v>
      </c>
      <c r="TN114" s="686"/>
      <c r="TO114" s="686"/>
      <c r="TP114" s="687"/>
      <c r="TQ114" s="688">
        <f t="shared" si="76"/>
        <v>5.318401625731437</v>
      </c>
      <c r="TR114" s="688"/>
      <c r="TS114" s="688"/>
      <c r="TT114" s="688"/>
      <c r="TU114" s="689">
        <f t="shared" si="77"/>
        <v>0.47269873985429273</v>
      </c>
      <c r="TV114" s="690"/>
      <c r="TW114" s="690"/>
      <c r="TX114" s="690"/>
      <c r="TY114" s="690"/>
      <c r="TZ114" s="691"/>
      <c r="UA114" s="756">
        <v>9.6000000000000002E-2</v>
      </c>
      <c r="UB114" s="756"/>
      <c r="UC114" s="650">
        <v>0.96</v>
      </c>
      <c r="UD114" s="866">
        <f t="shared" si="65"/>
        <v>8.3377587893970073</v>
      </c>
      <c r="UE114" s="866"/>
      <c r="UF114" s="866"/>
      <c r="UG114" s="866"/>
      <c r="UH114" s="866"/>
      <c r="UI114" s="866"/>
      <c r="UJ114" s="866"/>
      <c r="UK114" s="681">
        <f t="shared" si="66"/>
        <v>48.933693601810141</v>
      </c>
      <c r="UL114" s="681"/>
      <c r="UM114" s="681"/>
      <c r="UN114" s="681"/>
      <c r="UO114" s="816">
        <f t="shared" si="67"/>
        <v>0.85441684397238893</v>
      </c>
      <c r="UP114" s="816"/>
      <c r="UQ114" s="816"/>
      <c r="UR114" s="816"/>
      <c r="US114" s="866">
        <f t="shared" si="68"/>
        <v>0.91819328761079166</v>
      </c>
      <c r="UT114" s="866"/>
      <c r="UU114" s="866"/>
      <c r="UV114" s="866"/>
      <c r="UW114" s="866"/>
      <c r="XO114" s="826"/>
      <c r="XP114" s="863" t="s">
        <v>1391</v>
      </c>
      <c r="XQ114" s="863"/>
      <c r="XR114" s="756">
        <f>$MQ$200</f>
        <v>4.8197321291167521</v>
      </c>
      <c r="XS114" s="756"/>
      <c r="XT114" s="940" t="s">
        <v>1553</v>
      </c>
      <c r="XU114" s="940"/>
      <c r="XV114" s="940"/>
      <c r="XW114" s="940"/>
      <c r="XX114" s="940"/>
      <c r="XY114" s="940"/>
      <c r="XZ114" s="940"/>
      <c r="YA114" s="940"/>
      <c r="YB114" s="1003"/>
      <c r="YC114" s="763">
        <f>(YC108+MN222+MN204)/(MQ200+MN204+MN222)</f>
        <v>0.97314501241552853</v>
      </c>
      <c r="YD114" s="764"/>
      <c r="YE114" s="1115" t="s">
        <v>762</v>
      </c>
      <c r="YF114" s="1116"/>
      <c r="YG114" s="712"/>
      <c r="YH114" s="716" t="s">
        <v>1516</v>
      </c>
      <c r="YI114" s="717"/>
      <c r="YJ114" s="746"/>
      <c r="YK114" s="767"/>
      <c r="YL114" s="767"/>
      <c r="YM114" s="767"/>
      <c r="YN114" s="767"/>
      <c r="YO114" s="767"/>
      <c r="YP114" s="767"/>
      <c r="YQ114" s="767"/>
      <c r="YR114" s="144"/>
      <c r="YS114" s="144"/>
      <c r="YT114" s="144"/>
      <c r="ZG114" s="144"/>
      <c r="ZH114" s="144"/>
      <c r="ZI114" s="144"/>
      <c r="ZJ114" s="144"/>
      <c r="ZK114" s="144"/>
      <c r="ZL114" s="144"/>
      <c r="ZM114" s="144"/>
      <c r="AAD114" s="947"/>
      <c r="AAE114" s="947"/>
      <c r="AAF114" s="947"/>
      <c r="AAG114" s="947"/>
      <c r="AAH114" s="535">
        <v>41</v>
      </c>
      <c r="AAI114" s="956"/>
      <c r="AAJ114" s="957"/>
      <c r="AAK114" s="958">
        <f t="shared" si="59"/>
        <v>0.54666666666666675</v>
      </c>
      <c r="AAL114" s="959"/>
      <c r="AAN114" s="947"/>
      <c r="AAO114" s="947"/>
      <c r="AAP114" s="947"/>
      <c r="AAQ114" s="947"/>
      <c r="AAR114" s="535">
        <v>101</v>
      </c>
      <c r="AAS114" s="956"/>
      <c r="AAT114" s="957"/>
      <c r="AAU114" s="958">
        <f t="shared" si="60"/>
        <v>1.3466666666666667</v>
      </c>
      <c r="AAV114" s="959"/>
      <c r="AAX114" s="947"/>
      <c r="AAY114" s="947"/>
      <c r="AAZ114" s="947"/>
      <c r="ABA114" s="947"/>
      <c r="ABB114" s="535">
        <v>161</v>
      </c>
      <c r="ABC114" s="956"/>
      <c r="ABD114" s="957"/>
      <c r="ABE114" s="958">
        <f t="shared" si="61"/>
        <v>2.1466666666666669</v>
      </c>
      <c r="ABF114" s="959"/>
      <c r="ABH114" s="947"/>
      <c r="ABI114" s="947"/>
      <c r="ABJ114" s="947"/>
      <c r="ABK114" s="947"/>
      <c r="ABL114" s="537">
        <v>221</v>
      </c>
      <c r="ABM114" s="956"/>
      <c r="ABN114" s="957"/>
      <c r="ABO114" s="958">
        <f t="shared" si="62"/>
        <v>2.9466666666666668</v>
      </c>
      <c r="ABP114" s="959"/>
      <c r="ABR114" s="947"/>
      <c r="ABS114" s="947"/>
      <c r="ABT114" s="947"/>
      <c r="ABU114" s="947"/>
      <c r="ABV114" s="537">
        <v>281</v>
      </c>
      <c r="ABW114" s="956"/>
      <c r="ABX114" s="957"/>
      <c r="ABY114" s="958">
        <f t="shared" si="63"/>
        <v>3.746666666666667</v>
      </c>
      <c r="ABZ114" s="959"/>
      <c r="ACU114" s="144"/>
      <c r="ACV114" s="144"/>
      <c r="ACW114" s="144"/>
      <c r="ACX114" s="144"/>
      <c r="ACY114" s="144"/>
      <c r="ACZ114" s="144"/>
      <c r="ADB114" s="1037"/>
      <c r="ADC114" s="1038"/>
      <c r="ADD114" s="1026" t="s">
        <v>1472</v>
      </c>
      <c r="ADE114" s="1026"/>
      <c r="ADF114" s="1026"/>
      <c r="ADG114" s="1026"/>
      <c r="ADH114" s="884">
        <f>$MN$229</f>
        <v>0.96983668719546179</v>
      </c>
      <c r="ADI114" s="884"/>
      <c r="ADJ114" s="1032"/>
      <c r="ADK114" s="1032"/>
      <c r="ADL114" s="1032"/>
      <c r="ADM114" s="1032"/>
      <c r="ADN114" s="1032"/>
      <c r="ADO114" s="1032"/>
      <c r="ADP114" s="1032"/>
      <c r="ADQ114" s="1032"/>
      <c r="ADR114" s="1032"/>
      <c r="ADS114" s="1032"/>
      <c r="ADT114" s="1032"/>
      <c r="ADU114" s="1032"/>
      <c r="ADV114" s="1032"/>
      <c r="ADW114" s="1032"/>
      <c r="ADX114" s="861"/>
      <c r="ADY114" s="1017"/>
      <c r="ADZ114" s="1017"/>
      <c r="AEA114" s="1017"/>
      <c r="AEB114" s="1017"/>
      <c r="AEC114" s="1017"/>
      <c r="AED114" s="1017"/>
      <c r="AEE114" s="1017"/>
      <c r="AEF114" s="1017"/>
      <c r="AEG114" s="1017"/>
      <c r="AEH114" s="862"/>
      <c r="AEI114" s="172"/>
      <c r="AEJ114" s="172"/>
      <c r="AEK114" s="177"/>
      <c r="AIM114" s="792" t="s">
        <v>1079</v>
      </c>
      <c r="AIN114" s="793"/>
      <c r="AIO114" s="794"/>
      <c r="AIP114" s="825"/>
      <c r="AIQ114" s="665" t="s">
        <v>442</v>
      </c>
      <c r="AIR114" s="666"/>
      <c r="AIS114" s="156"/>
      <c r="AIT114" s="87"/>
      <c r="AIU114" s="87"/>
      <c r="AIV114" s="87"/>
      <c r="AIW114" s="216"/>
      <c r="AIX114" s="84" t="s">
        <v>729</v>
      </c>
      <c r="AIY114" s="84" t="s">
        <v>729</v>
      </c>
      <c r="AIZ114" s="156"/>
      <c r="AJA114" s="85" t="s">
        <v>467</v>
      </c>
      <c r="AJB114" s="757" t="s">
        <v>461</v>
      </c>
      <c r="AJC114" s="758"/>
      <c r="AJD114" s="819" t="s">
        <v>126</v>
      </c>
      <c r="AJE114" s="820"/>
      <c r="AJF114" s="675" t="s">
        <v>731</v>
      </c>
      <c r="AJG114" s="676"/>
      <c r="AJH114" s="821" t="s">
        <v>473</v>
      </c>
      <c r="AJI114" s="822"/>
      <c r="AJJ114" s="822"/>
      <c r="AJK114" s="823"/>
    </row>
    <row r="115" spans="60:948" ht="48" customHeight="1" thickBot="1">
      <c r="BR115" s="144"/>
      <c r="BS115" s="144"/>
      <c r="BT115" s="55"/>
      <c r="BV115" s="55"/>
      <c r="BX115" s="798"/>
      <c r="BY115" s="799"/>
      <c r="BZ115" s="800"/>
      <c r="CA115" s="827"/>
      <c r="CB115" s="734"/>
      <c r="CC115" s="735"/>
      <c r="CD115" s="735"/>
      <c r="CE115" s="735"/>
      <c r="CF115" s="735"/>
      <c r="CG115" s="735"/>
      <c r="CH115" s="735"/>
      <c r="CI115" s="735"/>
      <c r="CJ115" s="735"/>
      <c r="CK115" s="735"/>
      <c r="CL115" s="735"/>
      <c r="CM115" s="735"/>
      <c r="CN115" s="736"/>
      <c r="CO115" s="1477"/>
      <c r="CP115" s="1478"/>
      <c r="CQ115" s="814"/>
      <c r="CR115" s="815"/>
      <c r="CS115" s="1474"/>
      <c r="CT115" s="1317"/>
      <c r="CU115" s="1318"/>
      <c r="CV115" s="713"/>
      <c r="DD115" s="144"/>
      <c r="DE115" s="144"/>
      <c r="DF115" s="144"/>
      <c r="DG115" s="144"/>
      <c r="DH115" s="144"/>
      <c r="DI115" s="144"/>
      <c r="DJ115" s="144"/>
      <c r="DK115" s="144"/>
      <c r="DL115" s="144"/>
      <c r="DM115" s="144"/>
      <c r="DO115" s="144"/>
      <c r="DP115" s="144"/>
      <c r="DQ115" s="144"/>
      <c r="DR115" s="144"/>
      <c r="DS115" s="144"/>
      <c r="DT115" s="144"/>
      <c r="DU115" s="144"/>
      <c r="DV115" s="144"/>
      <c r="DW115" s="144"/>
      <c r="DX115" s="144"/>
      <c r="DY115" s="144"/>
      <c r="DZ115" s="780"/>
      <c r="EA115" s="781"/>
      <c r="EB115" s="782"/>
      <c r="EC115" s="85" t="s">
        <v>1816</v>
      </c>
      <c r="ED115" s="829" t="s">
        <v>1090</v>
      </c>
      <c r="EE115" s="829"/>
      <c r="EF115" s="829"/>
      <c r="EG115" s="829"/>
      <c r="EH115" s="829"/>
      <c r="EI115" s="829"/>
      <c r="EJ115" s="829"/>
      <c r="EK115" s="829"/>
      <c r="EL115" s="829"/>
      <c r="EM115" s="829"/>
      <c r="EN115" s="829"/>
      <c r="EO115" s="829"/>
      <c r="EP115" s="830"/>
      <c r="EQ115" s="752">
        <f>ROUND(EN111,1)</f>
        <v>241.8</v>
      </c>
      <c r="ER115" s="753"/>
      <c r="ES115" s="759" t="s">
        <v>50</v>
      </c>
      <c r="ET115" s="760"/>
      <c r="EU115" s="714"/>
      <c r="EV115" s="716" t="s">
        <v>1062</v>
      </c>
      <c r="EW115" s="717"/>
      <c r="EX115" s="746"/>
      <c r="FJ115" s="139"/>
      <c r="FK115" s="139"/>
      <c r="FL115" s="139"/>
      <c r="FM115" s="139"/>
      <c r="FN115" s="139"/>
      <c r="FO115" s="139"/>
      <c r="FP115" s="139"/>
      <c r="FQ115" s="139"/>
      <c r="FR115" s="139"/>
      <c r="FS115" s="139"/>
      <c r="FT115" s="139"/>
      <c r="FU115" s="139"/>
      <c r="FV115" s="139"/>
      <c r="FW115" s="139"/>
      <c r="FX115" s="139"/>
      <c r="GF115" s="826"/>
      <c r="GG115" s="700" t="s">
        <v>64</v>
      </c>
      <c r="GH115" s="701"/>
      <c r="GI115" s="701"/>
      <c r="GJ115" s="701"/>
      <c r="GK115" s="701"/>
      <c r="GL115" s="701"/>
      <c r="GM115" s="701"/>
      <c r="GN115" s="701"/>
      <c r="GO115" s="701"/>
      <c r="GP115" s="701"/>
      <c r="GQ115" s="701"/>
      <c r="GR115" s="701"/>
      <c r="GS115" s="701"/>
      <c r="GT115" s="1087">
        <f>(GT119/GT127)</f>
        <v>405.60779871449159</v>
      </c>
      <c r="GU115" s="1006"/>
      <c r="GV115" s="812" t="s">
        <v>798</v>
      </c>
      <c r="GW115" s="813"/>
      <c r="GX115" s="712"/>
      <c r="GY115" s="740" t="s">
        <v>848</v>
      </c>
      <c r="GZ115" s="742"/>
      <c r="HA115" s="746"/>
      <c r="HB115" s="919"/>
      <c r="HC115" s="840"/>
      <c r="HD115" s="920"/>
      <c r="HN115" s="241"/>
      <c r="HO115" s="144"/>
      <c r="HP115" s="144"/>
      <c r="IE115" s="144"/>
      <c r="IF115" s="144"/>
      <c r="IG115" s="144"/>
      <c r="IH115" s="144"/>
      <c r="II115" s="144"/>
      <c r="IJ115" s="3"/>
      <c r="IK115" s="3"/>
      <c r="IR115" s="768"/>
      <c r="IS115" s="247" t="s">
        <v>1173</v>
      </c>
      <c r="IT115" s="828">
        <f>$JF$118</f>
        <v>0.5714285714285714</v>
      </c>
      <c r="IU115" s="828"/>
      <c r="IV115" s="1582"/>
      <c r="IW115" s="1583"/>
      <c r="IX115" s="1583"/>
      <c r="IY115" s="1583"/>
      <c r="IZ115" s="1583"/>
      <c r="JA115" s="1583"/>
      <c r="JB115" s="1583"/>
      <c r="JC115" s="1583"/>
      <c r="JD115" s="1583"/>
      <c r="JE115" s="1584"/>
      <c r="JF115" s="765"/>
      <c r="JG115" s="766"/>
      <c r="JH115" s="851"/>
      <c r="JI115" s="852"/>
      <c r="JJ115" s="715"/>
      <c r="JK115" s="743"/>
      <c r="JL115" s="745"/>
      <c r="JM115" s="747"/>
      <c r="JN115" s="892"/>
      <c r="JO115" s="893"/>
      <c r="JP115" s="893"/>
      <c r="JQ115" s="894"/>
      <c r="JU115" s="144"/>
      <c r="JV115" s="144"/>
      <c r="JW115" s="144"/>
      <c r="LV115" s="403"/>
      <c r="LW115" s="399"/>
      <c r="LX115" s="399"/>
      <c r="LY115" s="399"/>
      <c r="LZ115" s="399"/>
      <c r="MA115" s="399"/>
      <c r="MB115" s="399"/>
      <c r="MC115" s="399"/>
      <c r="MD115" s="399"/>
      <c r="ME115" s="399"/>
      <c r="MF115" s="399"/>
      <c r="MG115" s="399"/>
      <c r="MH115" s="399"/>
      <c r="MI115" s="399"/>
      <c r="MJ115" s="399"/>
      <c r="MK115" s="399"/>
      <c r="ML115" s="399"/>
      <c r="MM115" s="399"/>
      <c r="MN115" s="399"/>
      <c r="MO115" s="399"/>
      <c r="MP115" s="399"/>
      <c r="MQ115" s="399"/>
      <c r="MR115" s="399"/>
      <c r="MS115" s="399"/>
      <c r="MT115" s="399"/>
      <c r="MU115" s="399"/>
      <c r="MV115" s="399"/>
      <c r="MW115" s="399"/>
      <c r="MX115" s="399"/>
      <c r="MY115" s="399"/>
      <c r="MZ115" s="399"/>
      <c r="NA115" s="399"/>
      <c r="NB115" s="399"/>
      <c r="NC115" s="399"/>
      <c r="ND115" s="399"/>
      <c r="NE115" s="399"/>
      <c r="NF115" s="399"/>
      <c r="NG115" s="399"/>
      <c r="NH115" s="399"/>
      <c r="NI115" s="399"/>
      <c r="NJ115" s="399"/>
      <c r="NK115" s="399"/>
      <c r="NL115" s="399"/>
      <c r="NM115" s="399"/>
      <c r="NN115" s="399"/>
      <c r="NO115" s="399"/>
      <c r="NP115" s="399"/>
      <c r="NQ115" s="399"/>
      <c r="NR115" s="399"/>
      <c r="NS115" s="399"/>
      <c r="NT115" s="399"/>
      <c r="NU115" s="399"/>
      <c r="NV115" s="172"/>
      <c r="NW115" s="172"/>
      <c r="NX115" s="172"/>
      <c r="NY115" s="172"/>
      <c r="NZ115" s="172"/>
      <c r="OA115" s="172"/>
      <c r="OB115" s="172"/>
      <c r="OC115" s="172"/>
      <c r="OD115" s="172"/>
      <c r="OE115" s="172"/>
      <c r="OF115" s="172"/>
      <c r="OG115" s="399"/>
      <c r="OH115" s="399"/>
      <c r="OI115" s="399"/>
      <c r="OJ115" s="399"/>
      <c r="OK115" s="399"/>
      <c r="OL115" s="399"/>
      <c r="OM115" s="399"/>
      <c r="ON115" s="399"/>
      <c r="OO115" s="399"/>
      <c r="OP115" s="399"/>
      <c r="OQ115" s="399"/>
      <c r="OR115" s="399"/>
      <c r="OS115" s="400"/>
      <c r="PJ115" s="827"/>
      <c r="PK115" s="511"/>
      <c r="PL115" s="883"/>
      <c r="PM115" s="883"/>
      <c r="PN115" s="706"/>
      <c r="PO115" s="707"/>
      <c r="PP115" s="707"/>
      <c r="PQ115" s="707"/>
      <c r="PR115" s="707"/>
      <c r="PS115" s="707"/>
      <c r="PT115" s="707"/>
      <c r="PU115" s="707"/>
      <c r="PV115" s="707"/>
      <c r="PW115" s="708"/>
      <c r="PX115" s="1012"/>
      <c r="PY115" s="1013"/>
      <c r="PZ115" s="1013"/>
      <c r="QA115" s="1013"/>
      <c r="QB115" s="1013"/>
      <c r="QC115" s="1013"/>
      <c r="QD115" s="1013"/>
      <c r="QE115" s="1013"/>
      <c r="QF115" s="1014"/>
      <c r="QG115" s="892"/>
      <c r="QH115" s="893"/>
      <c r="QI115" s="893"/>
      <c r="QJ115" s="893"/>
      <c r="QK115" s="893"/>
      <c r="QL115" s="893"/>
      <c r="QM115" s="893"/>
      <c r="QN115" s="894"/>
      <c r="RC115" s="369">
        <v>97</v>
      </c>
      <c r="RD115" s="668">
        <v>9.7000000000000003E-2</v>
      </c>
      <c r="RE115" s="669"/>
      <c r="RF115" s="670">
        <f t="shared" si="81"/>
        <v>7.0209456665030459</v>
      </c>
      <c r="RG115" s="670"/>
      <c r="RH115" s="670"/>
      <c r="RI115" s="670"/>
      <c r="RJ115" s="698">
        <f t="shared" si="69"/>
        <v>30</v>
      </c>
      <c r="RK115" s="699"/>
      <c r="RL115" s="726"/>
      <c r="RM115" s="670">
        <f t="shared" si="70"/>
        <v>7.2094468367194908</v>
      </c>
      <c r="RN115" s="670"/>
      <c r="RO115" s="670"/>
      <c r="RP115" s="670"/>
      <c r="RQ115" s="670"/>
      <c r="RR115" s="670"/>
      <c r="RS115" s="671">
        <f t="shared" si="64"/>
        <v>1.560804663639157</v>
      </c>
      <c r="RT115" s="671"/>
      <c r="RU115" s="671"/>
      <c r="RV115" s="671"/>
      <c r="RW115" s="671"/>
      <c r="RX115" s="671"/>
      <c r="RY115" s="681">
        <f t="shared" si="71"/>
        <v>7.3764649317625324</v>
      </c>
      <c r="RZ115" s="681"/>
      <c r="SA115" s="681"/>
      <c r="SB115" s="681"/>
      <c r="SC115" s="681">
        <f>'Вывод расчетов'!$AQ$6/RY115</f>
        <v>51.515191018362614</v>
      </c>
      <c r="SD115" s="681"/>
      <c r="SE115" s="681"/>
      <c r="SF115" s="681"/>
      <c r="SG115" s="867">
        <f t="shared" si="72"/>
        <v>0.97735797613245967</v>
      </c>
      <c r="SH115" s="867"/>
      <c r="SI115" s="867"/>
      <c r="SJ115" s="867"/>
      <c r="SK115" s="865">
        <f t="shared" si="73"/>
        <v>0.21159250102558522</v>
      </c>
      <c r="SL115" s="865"/>
      <c r="SM115" s="865"/>
      <c r="SN115" s="865"/>
      <c r="SO115" s="692">
        <f t="shared" si="80"/>
        <v>50.699105274915198</v>
      </c>
      <c r="SP115" s="693"/>
      <c r="SQ115" s="693"/>
      <c r="SR115" s="693"/>
      <c r="SS115" s="694"/>
      <c r="ST115" s="668">
        <f t="shared" si="78"/>
        <v>21.882304870382104</v>
      </c>
      <c r="SU115" s="678"/>
      <c r="SV115" s="678"/>
      <c r="SW115" s="678"/>
      <c r="SX115" s="678"/>
      <c r="SY115" s="669"/>
      <c r="SZ115" s="682">
        <f t="shared" si="74"/>
        <v>55.219874521020799</v>
      </c>
      <c r="TA115" s="683"/>
      <c r="TB115" s="683"/>
      <c r="TC115" s="683"/>
      <c r="TD115" s="683"/>
      <c r="TE115" s="684"/>
      <c r="TF115" s="682">
        <f>'Вывод расчетов'!$XC$174*SC115</f>
        <v>52.33560228349819</v>
      </c>
      <c r="TG115" s="683"/>
      <c r="TH115" s="684"/>
      <c r="TI115" s="681">
        <f t="shared" si="79"/>
        <v>57.796980013403328</v>
      </c>
      <c r="TJ115" s="681"/>
      <c r="TK115" s="681"/>
      <c r="TL115" s="681"/>
      <c r="TM115" s="685">
        <f t="shared" si="75"/>
        <v>1.6973219371778947</v>
      </c>
      <c r="TN115" s="686"/>
      <c r="TO115" s="686"/>
      <c r="TP115" s="687"/>
      <c r="TQ115" s="688">
        <f t="shared" si="76"/>
        <v>5.4219964661207838</v>
      </c>
      <c r="TR115" s="688"/>
      <c r="TS115" s="688"/>
      <c r="TT115" s="688"/>
      <c r="TU115" s="689">
        <f t="shared" si="77"/>
        <v>0.48147840312867801</v>
      </c>
      <c r="TV115" s="690"/>
      <c r="TW115" s="690"/>
      <c r="TX115" s="690"/>
      <c r="TY115" s="690"/>
      <c r="TZ115" s="691"/>
      <c r="UA115" s="679">
        <v>9.7000000000000003E-2</v>
      </c>
      <c r="UB115" s="680"/>
      <c r="UC115" s="650">
        <v>0.97</v>
      </c>
      <c r="UD115" s="866">
        <f t="shared" si="65"/>
        <v>8.4810836222547703</v>
      </c>
      <c r="UE115" s="866"/>
      <c r="UF115" s="866"/>
      <c r="UG115" s="866"/>
      <c r="UH115" s="866"/>
      <c r="UI115" s="866"/>
      <c r="UJ115" s="866"/>
      <c r="UK115" s="681">
        <f t="shared" si="66"/>
        <v>49.315896391148556</v>
      </c>
      <c r="UL115" s="681"/>
      <c r="UM115" s="681"/>
      <c r="UN115" s="681"/>
      <c r="UO115" s="816">
        <f t="shared" si="67"/>
        <v>0.8532607824788081</v>
      </c>
      <c r="UP115" s="816"/>
      <c r="UQ115" s="816"/>
      <c r="UR115" s="816"/>
      <c r="US115" s="866">
        <f t="shared" si="68"/>
        <v>0.9181314828163063</v>
      </c>
      <c r="UT115" s="866"/>
      <c r="UU115" s="866"/>
      <c r="UV115" s="866"/>
      <c r="UW115" s="866"/>
      <c r="XO115" s="826"/>
      <c r="XP115" s="863" t="s">
        <v>1392</v>
      </c>
      <c r="XQ115" s="863"/>
      <c r="XR115" s="756">
        <f>$MN$222</f>
        <v>3.9395141989168017</v>
      </c>
      <c r="XS115" s="756"/>
      <c r="XT115" s="942"/>
      <c r="XU115" s="942"/>
      <c r="XV115" s="942"/>
      <c r="XW115" s="942"/>
      <c r="XX115" s="942"/>
      <c r="XY115" s="942"/>
      <c r="XZ115" s="942"/>
      <c r="YA115" s="942"/>
      <c r="YB115" s="1011"/>
      <c r="YC115" s="765"/>
      <c r="YD115" s="766"/>
      <c r="YE115" s="1117"/>
      <c r="YF115" s="1118"/>
      <c r="YG115" s="713"/>
      <c r="YH115" s="718"/>
      <c r="YI115" s="719"/>
      <c r="YJ115" s="747"/>
      <c r="YK115" s="767"/>
      <c r="YL115" s="767"/>
      <c r="YM115" s="767"/>
      <c r="YN115" s="767"/>
      <c r="YO115" s="767"/>
      <c r="YP115" s="767"/>
      <c r="YQ115" s="767"/>
      <c r="YR115" s="144"/>
      <c r="YS115" s="144"/>
      <c r="YT115" s="144"/>
      <c r="ZG115" s="144"/>
      <c r="ZH115" s="144"/>
      <c r="ZI115" s="144"/>
      <c r="ZJ115" s="144"/>
      <c r="ZK115" s="144"/>
      <c r="ZL115" s="144"/>
      <c r="ZM115" s="144"/>
      <c r="AAD115" s="947"/>
      <c r="AAE115" s="947"/>
      <c r="AAF115" s="947"/>
      <c r="AAG115" s="947"/>
      <c r="AAH115" s="535">
        <v>42</v>
      </c>
      <c r="AAI115" s="956"/>
      <c r="AAJ115" s="957"/>
      <c r="AAK115" s="958">
        <f t="shared" si="59"/>
        <v>0.56000000000000005</v>
      </c>
      <c r="AAL115" s="959"/>
      <c r="AAN115" s="947"/>
      <c r="AAO115" s="947"/>
      <c r="AAP115" s="947"/>
      <c r="AAQ115" s="947"/>
      <c r="AAR115" s="535">
        <v>102</v>
      </c>
      <c r="AAS115" s="956"/>
      <c r="AAT115" s="957"/>
      <c r="AAU115" s="958">
        <f t="shared" si="60"/>
        <v>1.36</v>
      </c>
      <c r="AAV115" s="959"/>
      <c r="AAX115" s="947"/>
      <c r="AAY115" s="947"/>
      <c r="AAZ115" s="947"/>
      <c r="ABA115" s="947"/>
      <c r="ABB115" s="535">
        <v>162</v>
      </c>
      <c r="ABC115" s="956"/>
      <c r="ABD115" s="957"/>
      <c r="ABE115" s="958">
        <f t="shared" si="61"/>
        <v>2.16</v>
      </c>
      <c r="ABF115" s="959"/>
      <c r="ABH115" s="947"/>
      <c r="ABI115" s="947"/>
      <c r="ABJ115" s="947"/>
      <c r="ABK115" s="947"/>
      <c r="ABL115" s="537">
        <v>222</v>
      </c>
      <c r="ABM115" s="956"/>
      <c r="ABN115" s="957"/>
      <c r="ABO115" s="958">
        <f t="shared" si="62"/>
        <v>2.9600000000000004</v>
      </c>
      <c r="ABP115" s="959"/>
      <c r="ABR115" s="947"/>
      <c r="ABS115" s="947"/>
      <c r="ABT115" s="947"/>
      <c r="ABU115" s="947"/>
      <c r="ABV115" s="537">
        <v>282</v>
      </c>
      <c r="ABW115" s="956"/>
      <c r="ABX115" s="957"/>
      <c r="ABY115" s="958">
        <f t="shared" si="63"/>
        <v>3.7600000000000002</v>
      </c>
      <c r="ABZ115" s="959"/>
      <c r="ADB115" s="1033">
        <v>30</v>
      </c>
      <c r="ADC115" s="1033"/>
      <c r="ADD115" s="857"/>
      <c r="ADE115" s="1015"/>
      <c r="ADF115" s="1015"/>
      <c r="ADG115" s="1015"/>
      <c r="ADH115" s="1015"/>
      <c r="ADI115" s="858"/>
      <c r="ADJ115" s="1033"/>
      <c r="ADK115" s="1033"/>
      <c r="ADL115" s="1033"/>
      <c r="ADM115" s="1033"/>
      <c r="ADN115" s="1033"/>
      <c r="ADO115" s="1033"/>
      <c r="ADP115" s="1033"/>
      <c r="ADQ115" s="1033"/>
      <c r="ADR115" s="1033"/>
      <c r="ADS115" s="1033"/>
      <c r="ADT115" s="1033"/>
      <c r="ADU115" s="1033"/>
      <c r="ADV115" s="1033"/>
      <c r="ADW115" s="1033"/>
      <c r="ADX115" s="857"/>
      <c r="ADY115" s="1015"/>
      <c r="ADZ115" s="1015"/>
      <c r="AEA115" s="1015"/>
      <c r="AEB115" s="1015"/>
      <c r="AEC115" s="1015"/>
      <c r="AED115" s="858"/>
      <c r="AEE115" s="172"/>
      <c r="AEF115" s="172"/>
      <c r="AEG115" s="172"/>
      <c r="AEH115" s="172"/>
      <c r="AEI115" s="172"/>
      <c r="AEJ115" s="172"/>
      <c r="AEK115" s="177"/>
      <c r="AIM115" s="795"/>
      <c r="AIN115" s="796"/>
      <c r="AIO115" s="797"/>
      <c r="AIP115" s="826"/>
      <c r="AIQ115" s="816" t="s">
        <v>991</v>
      </c>
      <c r="AIR115" s="816"/>
      <c r="AIS115" s="816"/>
      <c r="AIT115" s="816"/>
      <c r="AIU115" s="816"/>
      <c r="AIV115" s="816"/>
      <c r="AIW115" s="816"/>
      <c r="AIX115" s="816"/>
      <c r="AIY115" s="816"/>
      <c r="AIZ115" s="816"/>
      <c r="AJA115" s="816"/>
      <c r="AJB115" s="816"/>
      <c r="AJC115" s="816"/>
      <c r="AJD115" s="1170">
        <v>155</v>
      </c>
      <c r="AJE115" s="1171"/>
      <c r="AJF115" s="1005"/>
      <c r="AJG115" s="1006"/>
      <c r="AJH115" s="712"/>
      <c r="AJI115" s="716" t="s">
        <v>442</v>
      </c>
      <c r="AJJ115" s="717"/>
      <c r="AJK115" s="746"/>
    </row>
    <row r="116" spans="60:948" ht="48" customHeight="1" thickBot="1">
      <c r="BR116" s="144"/>
      <c r="BS116" s="144"/>
      <c r="BT116" s="55"/>
      <c r="BV116" s="55"/>
      <c r="DD116" s="144"/>
      <c r="DF116" s="144"/>
      <c r="DG116" s="144"/>
      <c r="DH116" s="144"/>
      <c r="DI116" s="144"/>
      <c r="DJ116" s="144"/>
      <c r="DK116" s="144"/>
      <c r="DL116" s="144"/>
      <c r="DM116" s="144"/>
      <c r="DN116" s="144"/>
      <c r="DO116" s="144"/>
      <c r="DP116" s="144"/>
      <c r="DQ116" s="144"/>
      <c r="DR116" s="144"/>
      <c r="DS116" s="144"/>
      <c r="DT116" s="144"/>
      <c r="DU116" s="144"/>
      <c r="DV116" s="144"/>
      <c r="DW116" s="144"/>
      <c r="DX116" s="144"/>
      <c r="DY116" s="144"/>
      <c r="DZ116" s="783"/>
      <c r="EA116" s="784"/>
      <c r="EB116" s="785"/>
      <c r="EC116" s="240" t="s">
        <v>703</v>
      </c>
      <c r="ED116" s="831"/>
      <c r="EE116" s="831"/>
      <c r="EF116" s="831"/>
      <c r="EG116" s="831"/>
      <c r="EH116" s="831"/>
      <c r="EI116" s="831"/>
      <c r="EJ116" s="831"/>
      <c r="EK116" s="831"/>
      <c r="EL116" s="831"/>
      <c r="EM116" s="831"/>
      <c r="EN116" s="831"/>
      <c r="EO116" s="831"/>
      <c r="EP116" s="832"/>
      <c r="EQ116" s="754"/>
      <c r="ER116" s="755"/>
      <c r="ES116" s="761"/>
      <c r="ET116" s="762"/>
      <c r="EU116" s="715"/>
      <c r="EV116" s="718"/>
      <c r="EW116" s="719"/>
      <c r="EX116" s="747"/>
      <c r="GF116" s="827"/>
      <c r="GG116" s="706"/>
      <c r="GH116" s="707"/>
      <c r="GI116" s="707"/>
      <c r="GJ116" s="707"/>
      <c r="GK116" s="707"/>
      <c r="GL116" s="707"/>
      <c r="GM116" s="707"/>
      <c r="GN116" s="707"/>
      <c r="GO116" s="707"/>
      <c r="GP116" s="707"/>
      <c r="GQ116" s="707"/>
      <c r="GR116" s="707"/>
      <c r="GS116" s="707"/>
      <c r="GT116" s="1089"/>
      <c r="GU116" s="708"/>
      <c r="GV116" s="814"/>
      <c r="GW116" s="815"/>
      <c r="GX116" s="713"/>
      <c r="GY116" s="743"/>
      <c r="GZ116" s="745"/>
      <c r="HA116" s="747"/>
      <c r="HB116" s="892"/>
      <c r="HC116" s="893"/>
      <c r="HD116" s="894"/>
      <c r="HJ116" s="144"/>
      <c r="HK116" s="144"/>
      <c r="HL116" s="144"/>
      <c r="HM116" s="144"/>
      <c r="HN116" s="241"/>
      <c r="HO116" s="144"/>
      <c r="HP116" s="144"/>
      <c r="HQ116" s="144"/>
      <c r="HR116" s="144"/>
      <c r="IE116" s="144"/>
      <c r="IF116" s="144"/>
      <c r="IG116" s="144"/>
      <c r="IH116" s="144"/>
      <c r="II116" s="144"/>
      <c r="IJ116" s="3"/>
      <c r="IK116" s="3"/>
      <c r="JU116" s="144"/>
      <c r="JV116" s="144"/>
      <c r="JW116" s="144"/>
      <c r="LJ116" s="144"/>
      <c r="LK116" s="144"/>
      <c r="LL116" s="144"/>
      <c r="LM116" s="144"/>
      <c r="LN116" s="144"/>
      <c r="LO116" s="144"/>
      <c r="LP116" s="144"/>
      <c r="LQ116" s="144"/>
      <c r="LV116" s="403"/>
      <c r="LW116" s="399"/>
      <c r="LX116" s="399"/>
      <c r="LY116" s="400"/>
      <c r="LZ116" s="727" t="s">
        <v>1417</v>
      </c>
      <c r="MA116" s="727"/>
      <c r="MB116" s="727"/>
      <c r="MC116" s="727"/>
      <c r="MD116" s="727"/>
      <c r="ME116" s="816" t="s">
        <v>1410</v>
      </c>
      <c r="MF116" s="816"/>
      <c r="MG116" s="816" t="s">
        <v>1411</v>
      </c>
      <c r="MH116" s="816"/>
      <c r="MI116" s="700" t="s">
        <v>1421</v>
      </c>
      <c r="MJ116" s="701"/>
      <c r="MK116" s="701"/>
      <c r="ML116" s="701"/>
      <c r="MM116" s="909"/>
      <c r="MN116" s="172"/>
      <c r="MO116" s="172"/>
      <c r="MP116" s="172"/>
      <c r="MQ116" s="172"/>
      <c r="MR116" s="172"/>
      <c r="MS116" s="172"/>
      <c r="MT116" s="172"/>
      <c r="MU116" s="172"/>
      <c r="MV116" s="172"/>
      <c r="MW116" s="172"/>
      <c r="MX116" s="399"/>
      <c r="MY116" s="399"/>
      <c r="MZ116" s="399"/>
      <c r="NA116" s="399"/>
      <c r="NB116" s="399"/>
      <c r="NC116" s="399"/>
      <c r="ND116" s="399"/>
      <c r="NE116" s="399"/>
      <c r="NF116" s="399"/>
      <c r="NG116" s="399"/>
      <c r="NH116" s="399"/>
      <c r="NI116" s="399"/>
      <c r="NJ116" s="399"/>
      <c r="NK116" s="727" t="s">
        <v>1417</v>
      </c>
      <c r="NL116" s="727"/>
      <c r="NM116" s="727"/>
      <c r="NN116" s="727"/>
      <c r="NO116" s="727"/>
      <c r="NP116" s="816" t="s">
        <v>1410</v>
      </c>
      <c r="NQ116" s="816"/>
      <c r="NR116" s="816" t="s">
        <v>1411</v>
      </c>
      <c r="NS116" s="816"/>
      <c r="NT116" s="700" t="s">
        <v>1421</v>
      </c>
      <c r="NU116" s="701"/>
      <c r="NV116" s="701"/>
      <c r="NW116" s="701"/>
      <c r="NX116" s="909"/>
      <c r="NY116" s="172"/>
      <c r="NZ116" s="399"/>
      <c r="OA116" s="399"/>
      <c r="OB116" s="399"/>
      <c r="OC116" s="399"/>
      <c r="OD116" s="399"/>
      <c r="OE116" s="399"/>
      <c r="OF116" s="399"/>
      <c r="OG116" s="399"/>
      <c r="OH116" s="399"/>
      <c r="OI116" s="399"/>
      <c r="OJ116" s="399"/>
      <c r="OK116" s="399"/>
      <c r="OL116" s="399"/>
      <c r="OM116" s="399"/>
      <c r="ON116" s="399"/>
      <c r="OO116" s="399"/>
      <c r="OP116" s="399"/>
      <c r="OQ116" s="399"/>
      <c r="OR116" s="399"/>
      <c r="OS116" s="400"/>
      <c r="RC116" s="369">
        <v>98</v>
      </c>
      <c r="RD116" s="668">
        <v>9.8000000000000004E-2</v>
      </c>
      <c r="RE116" s="669"/>
      <c r="RF116" s="670">
        <f t="shared" si="81"/>
        <v>6.9493033637836277</v>
      </c>
      <c r="RG116" s="670"/>
      <c r="RH116" s="670"/>
      <c r="RI116" s="670"/>
      <c r="RJ116" s="698">
        <f t="shared" si="69"/>
        <v>30</v>
      </c>
      <c r="RK116" s="699"/>
      <c r="RL116" s="726"/>
      <c r="RM116" s="670">
        <f t="shared" si="70"/>
        <v>7.1378045340000726</v>
      </c>
      <c r="RN116" s="670"/>
      <c r="RO116" s="670"/>
      <c r="RP116" s="670"/>
      <c r="RQ116" s="670"/>
      <c r="RR116" s="670"/>
      <c r="RS116" s="671">
        <f t="shared" si="64"/>
        <v>1.560804663639157</v>
      </c>
      <c r="RT116" s="671"/>
      <c r="RU116" s="671"/>
      <c r="RV116" s="671"/>
      <c r="RW116" s="671"/>
      <c r="RX116" s="671"/>
      <c r="RY116" s="681">
        <f t="shared" si="71"/>
        <v>7.30646048122001</v>
      </c>
      <c r="RZ116" s="681"/>
      <c r="SA116" s="681"/>
      <c r="SB116" s="681"/>
      <c r="SC116" s="681">
        <f>'Вывод расчетов'!$AQ$6/RY116</f>
        <v>52.008766895643127</v>
      </c>
      <c r="SD116" s="681"/>
      <c r="SE116" s="681"/>
      <c r="SF116" s="681"/>
      <c r="SG116" s="867">
        <f t="shared" si="72"/>
        <v>0.9769168740933537</v>
      </c>
      <c r="SH116" s="867"/>
      <c r="SI116" s="867"/>
      <c r="SJ116" s="867"/>
      <c r="SK116" s="865">
        <f t="shared" si="73"/>
        <v>0.21361980505484629</v>
      </c>
      <c r="SL116" s="865"/>
      <c r="SM116" s="865"/>
      <c r="SN116" s="865"/>
      <c r="SO116" s="692">
        <f t="shared" si="80"/>
        <v>51.158564422272825</v>
      </c>
      <c r="SP116" s="693"/>
      <c r="SQ116" s="693"/>
      <c r="SR116" s="693"/>
      <c r="SS116" s="694"/>
      <c r="ST116" s="668">
        <f t="shared" si="78"/>
        <v>22.092179407386222</v>
      </c>
      <c r="SU116" s="678"/>
      <c r="SV116" s="678"/>
      <c r="SW116" s="678"/>
      <c r="SX116" s="678"/>
      <c r="SY116" s="669"/>
      <c r="SZ116" s="682">
        <f t="shared" si="74"/>
        <v>55.72488765996733</v>
      </c>
      <c r="TA116" s="683"/>
      <c r="TB116" s="683"/>
      <c r="TC116" s="683"/>
      <c r="TD116" s="683"/>
      <c r="TE116" s="684"/>
      <c r="TF116" s="682">
        <f>'Вывод расчетов'!$XC$174*SC116</f>
        <v>52.83703866176716</v>
      </c>
      <c r="TG116" s="683"/>
      <c r="TH116" s="684"/>
      <c r="TI116" s="681">
        <f t="shared" si="79"/>
        <v>58.320763441391023</v>
      </c>
      <c r="TJ116" s="681"/>
      <c r="TK116" s="681"/>
      <c r="TL116" s="681"/>
      <c r="TM116" s="685">
        <f t="shared" si="75"/>
        <v>1.7285096031621849</v>
      </c>
      <c r="TN116" s="686"/>
      <c r="TO116" s="686"/>
      <c r="TP116" s="687"/>
      <c r="TQ116" s="688">
        <f t="shared" si="76"/>
        <v>5.5263923545966955</v>
      </c>
      <c r="TR116" s="688"/>
      <c r="TS116" s="688"/>
      <c r="TT116" s="688"/>
      <c r="TU116" s="689">
        <f t="shared" si="77"/>
        <v>0.49032539160299993</v>
      </c>
      <c r="TV116" s="690"/>
      <c r="TW116" s="690"/>
      <c r="TX116" s="690"/>
      <c r="TY116" s="690"/>
      <c r="TZ116" s="691"/>
      <c r="UA116" s="679">
        <v>9.8000000000000004E-2</v>
      </c>
      <c r="UB116" s="680"/>
      <c r="UC116" s="650">
        <v>0.98</v>
      </c>
      <c r="UD116" s="866">
        <f t="shared" si="65"/>
        <v>8.6255141651892924</v>
      </c>
      <c r="UE116" s="866"/>
      <c r="UF116" s="866"/>
      <c r="UG116" s="866"/>
      <c r="UH116" s="866"/>
      <c r="UI116" s="866"/>
      <c r="UJ116" s="866"/>
      <c r="UK116" s="681">
        <f t="shared" si="66"/>
        <v>49.695249276201729</v>
      </c>
      <c r="UL116" s="681"/>
      <c r="UM116" s="681"/>
      <c r="UN116" s="681"/>
      <c r="UO116" s="816">
        <f t="shared" si="67"/>
        <v>0.8521021732876074</v>
      </c>
      <c r="UP116" s="816"/>
      <c r="UQ116" s="816"/>
      <c r="UR116" s="816"/>
      <c r="US116" s="866">
        <f t="shared" si="68"/>
        <v>0.91805594538730773</v>
      </c>
      <c r="UT116" s="866"/>
      <c r="UU116" s="866"/>
      <c r="UV116" s="866"/>
      <c r="UW116" s="866"/>
      <c r="XO116" s="827"/>
      <c r="XP116" s="709" t="s">
        <v>1393</v>
      </c>
      <c r="XQ116" s="709"/>
      <c r="XR116" s="883">
        <f>$MN$204</f>
        <v>0.34913719955913641</v>
      </c>
      <c r="XS116" s="883"/>
      <c r="XT116" s="944"/>
      <c r="XU116" s="944"/>
      <c r="XV116" s="944"/>
      <c r="XW116" s="944"/>
      <c r="XX116" s="944"/>
      <c r="XY116" s="944"/>
      <c r="XZ116" s="944"/>
      <c r="YA116" s="944"/>
      <c r="YB116" s="1004"/>
      <c r="YC116" s="1022"/>
      <c r="YD116" s="1023"/>
      <c r="YE116" s="1023"/>
      <c r="YF116" s="1023"/>
      <c r="YG116" s="1023"/>
      <c r="YH116" s="1023"/>
      <c r="YI116" s="1023"/>
      <c r="YJ116" s="1024"/>
      <c r="YK116" s="768"/>
      <c r="YL116" s="768"/>
      <c r="YM116" s="768"/>
      <c r="YN116" s="768"/>
      <c r="YO116" s="768"/>
      <c r="YP116" s="768"/>
      <c r="YQ116" s="768"/>
      <c r="YR116" s="144"/>
      <c r="YS116" s="144"/>
      <c r="YT116" s="144"/>
      <c r="YU116" s="144"/>
      <c r="YV116" s="144"/>
      <c r="YW116" s="144"/>
      <c r="ZG116" s="144"/>
      <c r="ZH116" s="144"/>
      <c r="ZI116" s="144"/>
      <c r="ZJ116" s="144"/>
      <c r="ZK116" s="144"/>
      <c r="ZL116" s="144"/>
      <c r="ZM116" s="144"/>
      <c r="AAD116" s="947"/>
      <c r="AAE116" s="947"/>
      <c r="AAF116" s="947"/>
      <c r="AAG116" s="947"/>
      <c r="AAH116" s="535">
        <v>43</v>
      </c>
      <c r="AAI116" s="956"/>
      <c r="AAJ116" s="957"/>
      <c r="AAK116" s="958">
        <f t="shared" si="59"/>
        <v>0.57333333333333336</v>
      </c>
      <c r="AAL116" s="959"/>
      <c r="AAN116" s="947"/>
      <c r="AAO116" s="947"/>
      <c r="AAP116" s="947"/>
      <c r="AAQ116" s="947"/>
      <c r="AAR116" s="535">
        <v>103</v>
      </c>
      <c r="AAS116" s="956"/>
      <c r="AAT116" s="957"/>
      <c r="AAU116" s="958">
        <f t="shared" si="60"/>
        <v>1.3733333333333335</v>
      </c>
      <c r="AAV116" s="959"/>
      <c r="AAX116" s="947"/>
      <c r="AAY116" s="947"/>
      <c r="AAZ116" s="947"/>
      <c r="ABA116" s="947"/>
      <c r="ABB116" s="535">
        <v>163</v>
      </c>
      <c r="ABC116" s="956"/>
      <c r="ABD116" s="957"/>
      <c r="ABE116" s="958">
        <f t="shared" si="61"/>
        <v>2.1733333333333333</v>
      </c>
      <c r="ABF116" s="959"/>
      <c r="ABH116" s="947"/>
      <c r="ABI116" s="947"/>
      <c r="ABJ116" s="947"/>
      <c r="ABK116" s="947"/>
      <c r="ABL116" s="537">
        <v>223</v>
      </c>
      <c r="ABM116" s="956"/>
      <c r="ABN116" s="957"/>
      <c r="ABO116" s="958">
        <f t="shared" si="62"/>
        <v>2.9733333333333336</v>
      </c>
      <c r="ABP116" s="959"/>
      <c r="ABR116" s="947"/>
      <c r="ABS116" s="947"/>
      <c r="ABT116" s="947"/>
      <c r="ABU116" s="947"/>
      <c r="ABV116" s="537">
        <v>283</v>
      </c>
      <c r="ABW116" s="956"/>
      <c r="ABX116" s="957"/>
      <c r="ABY116" s="958">
        <f t="shared" si="63"/>
        <v>3.7733333333333334</v>
      </c>
      <c r="ABZ116" s="959"/>
      <c r="ADB116" s="1033"/>
      <c r="ADC116" s="1033"/>
      <c r="ADD116" s="859"/>
      <c r="ADE116" s="1016"/>
      <c r="ADF116" s="1016"/>
      <c r="ADG116" s="1016"/>
      <c r="ADH116" s="1016"/>
      <c r="ADI116" s="860"/>
      <c r="ADJ116" s="1033"/>
      <c r="ADK116" s="1033"/>
      <c r="ADL116" s="1033"/>
      <c r="ADM116" s="1033"/>
      <c r="ADN116" s="1033"/>
      <c r="ADO116" s="1033"/>
      <c r="ADP116" s="1033"/>
      <c r="ADQ116" s="1033"/>
      <c r="ADR116" s="1033"/>
      <c r="ADS116" s="1033"/>
      <c r="ADT116" s="1033"/>
      <c r="ADU116" s="1033"/>
      <c r="ADV116" s="1033"/>
      <c r="ADW116" s="1033"/>
      <c r="ADX116" s="859"/>
      <c r="ADY116" s="1016"/>
      <c r="ADZ116" s="1016"/>
      <c r="AEA116" s="1016"/>
      <c r="AEB116" s="1016"/>
      <c r="AEC116" s="1016"/>
      <c r="AED116" s="860"/>
      <c r="AEE116" s="172"/>
      <c r="AEF116" s="172"/>
      <c r="AEG116" s="172"/>
      <c r="AEH116" s="172"/>
      <c r="AEI116" s="172"/>
      <c r="AEJ116" s="172"/>
      <c r="AEK116" s="177"/>
      <c r="AIM116" s="798"/>
      <c r="AIN116" s="799"/>
      <c r="AIO116" s="800"/>
      <c r="AIP116" s="827"/>
      <c r="AIQ116" s="818"/>
      <c r="AIR116" s="818"/>
      <c r="AIS116" s="818"/>
      <c r="AIT116" s="818"/>
      <c r="AIU116" s="818"/>
      <c r="AIV116" s="818"/>
      <c r="AIW116" s="818"/>
      <c r="AIX116" s="818"/>
      <c r="AIY116" s="818"/>
      <c r="AIZ116" s="818"/>
      <c r="AJA116" s="818"/>
      <c r="AJB116" s="818"/>
      <c r="AJC116" s="818"/>
      <c r="AJD116" s="1172"/>
      <c r="AJE116" s="1173"/>
      <c r="AJF116" s="706"/>
      <c r="AJG116" s="708"/>
      <c r="AJH116" s="713"/>
      <c r="AJI116" s="718"/>
      <c r="AJJ116" s="719"/>
      <c r="AJK116" s="747"/>
    </row>
    <row r="117" spans="60:948" ht="48" customHeight="1" thickBot="1">
      <c r="BR117" s="144"/>
      <c r="BS117" s="144"/>
      <c r="BT117" s="55"/>
      <c r="BV117" s="55"/>
      <c r="BX117" s="792" t="s">
        <v>1078</v>
      </c>
      <c r="BY117" s="793"/>
      <c r="BZ117" s="794"/>
      <c r="CA117" s="84" t="s">
        <v>1816</v>
      </c>
      <c r="CB117" s="665" t="s">
        <v>442</v>
      </c>
      <c r="CC117" s="666"/>
      <c r="CD117" s="232"/>
      <c r="CE117" s="87"/>
      <c r="CF117" s="87"/>
      <c r="CG117" s="87"/>
      <c r="CH117" s="87"/>
      <c r="CI117" s="232"/>
      <c r="CJ117" s="84" t="s">
        <v>477</v>
      </c>
      <c r="CK117" s="232"/>
      <c r="CL117" s="85" t="s">
        <v>467</v>
      </c>
      <c r="CM117" s="757" t="s">
        <v>461</v>
      </c>
      <c r="CN117" s="758"/>
      <c r="CO117" s="819" t="s">
        <v>126</v>
      </c>
      <c r="CP117" s="820"/>
      <c r="CQ117" s="675" t="s">
        <v>731</v>
      </c>
      <c r="CR117" s="676"/>
      <c r="CS117" s="821" t="s">
        <v>473</v>
      </c>
      <c r="CT117" s="1224"/>
      <c r="CU117" s="1224"/>
      <c r="CV117" s="823"/>
      <c r="CY117" s="144"/>
      <c r="CZ117" s="144"/>
      <c r="DA117" s="144"/>
      <c r="DC117" s="144"/>
      <c r="DD117" s="144"/>
      <c r="DF117" s="144"/>
      <c r="DG117" s="144"/>
      <c r="DH117" s="144"/>
      <c r="DI117" s="144"/>
      <c r="DJ117" s="144"/>
      <c r="DK117" s="144"/>
      <c r="DL117" s="144"/>
      <c r="DM117" s="144"/>
      <c r="DN117" s="144"/>
      <c r="DO117" s="144"/>
      <c r="DP117" s="144"/>
      <c r="DQ117" s="144"/>
      <c r="DR117" s="144"/>
      <c r="DS117" s="144"/>
      <c r="DT117" s="144"/>
      <c r="DU117" s="144"/>
      <c r="DV117" s="144"/>
      <c r="DW117" s="144"/>
      <c r="DX117" s="144"/>
      <c r="DY117" s="144"/>
      <c r="FE117" s="6"/>
      <c r="FF117" s="139"/>
      <c r="HJ117" s="144"/>
      <c r="HK117" s="144"/>
      <c r="HL117" s="144"/>
      <c r="HM117" s="144"/>
      <c r="HN117" s="241"/>
      <c r="HO117" s="144"/>
      <c r="HP117" s="144"/>
      <c r="HQ117" s="144"/>
      <c r="HR117" s="144"/>
      <c r="IE117" s="144"/>
      <c r="IF117" s="144"/>
      <c r="IG117" s="144"/>
      <c r="IH117" s="144"/>
      <c r="II117" s="144"/>
      <c r="IJ117" s="3"/>
      <c r="IK117" s="3"/>
      <c r="IR117" s="767"/>
      <c r="IS117" s="666" t="s">
        <v>442</v>
      </c>
      <c r="IT117" s="695"/>
      <c r="IU117" s="250"/>
      <c r="IV117" s="87"/>
      <c r="IW117" s="87"/>
      <c r="IX117" s="87"/>
      <c r="IY117" s="87"/>
      <c r="IZ117" s="87"/>
      <c r="JA117" s="87"/>
      <c r="JB117" s="150"/>
      <c r="JC117" s="85" t="s">
        <v>467</v>
      </c>
      <c r="JD117" s="757" t="s">
        <v>461</v>
      </c>
      <c r="JE117" s="758"/>
      <c r="JF117" s="819" t="s">
        <v>126</v>
      </c>
      <c r="JG117" s="820"/>
      <c r="JH117" s="675" t="s">
        <v>731</v>
      </c>
      <c r="JI117" s="676"/>
      <c r="JJ117" s="821" t="s">
        <v>473</v>
      </c>
      <c r="JK117" s="822"/>
      <c r="JL117" s="822"/>
      <c r="JM117" s="822"/>
      <c r="JN117" s="769" t="s">
        <v>462</v>
      </c>
      <c r="JO117" s="769"/>
      <c r="JP117" s="769"/>
      <c r="JQ117" s="769"/>
      <c r="JR117" s="769"/>
      <c r="JS117" s="769"/>
      <c r="JU117" s="144"/>
      <c r="JV117" s="144"/>
      <c r="JW117" s="144"/>
      <c r="LJ117" s="144"/>
      <c r="LK117" s="144"/>
      <c r="LL117" s="144"/>
      <c r="LM117" s="144"/>
      <c r="LN117" s="144"/>
      <c r="LO117" s="144"/>
      <c r="LP117" s="144"/>
      <c r="LQ117" s="144"/>
      <c r="LV117" s="403"/>
      <c r="LW117" s="399"/>
      <c r="LX117" s="399"/>
      <c r="LY117" s="400"/>
      <c r="LZ117" s="727"/>
      <c r="MA117" s="727"/>
      <c r="MB117" s="727"/>
      <c r="MC117" s="727"/>
      <c r="MD117" s="727"/>
      <c r="ME117" s="932">
        <f>2/3</f>
        <v>0.66666666666666663</v>
      </c>
      <c r="MF117" s="932"/>
      <c r="MG117" s="1169">
        <v>1</v>
      </c>
      <c r="MH117" s="1169"/>
      <c r="MI117" s="685"/>
      <c r="MJ117" s="686"/>
      <c r="MK117" s="686"/>
      <c r="ML117" s="686"/>
      <c r="MM117" s="687"/>
      <c r="MN117" s="179"/>
      <c r="MO117" s="179"/>
      <c r="MP117" s="179"/>
      <c r="MQ117" s="179"/>
      <c r="MR117" s="179"/>
      <c r="MS117" s="179"/>
      <c r="MT117" s="179"/>
      <c r="MU117" s="179"/>
      <c r="MV117" s="179"/>
      <c r="MW117" s="172"/>
      <c r="MX117" s="399"/>
      <c r="MY117" s="399"/>
      <c r="MZ117" s="399"/>
      <c r="NA117" s="399"/>
      <c r="NB117" s="399"/>
      <c r="NC117" s="399"/>
      <c r="ND117" s="399"/>
      <c r="NE117" s="399"/>
      <c r="NF117" s="399"/>
      <c r="NG117" s="399"/>
      <c r="NH117" s="399"/>
      <c r="NI117" s="399"/>
      <c r="NJ117" s="399"/>
      <c r="NK117" s="727"/>
      <c r="NL117" s="727"/>
      <c r="NM117" s="727"/>
      <c r="NN117" s="727"/>
      <c r="NO117" s="727"/>
      <c r="NP117" s="932">
        <f>1/3</f>
        <v>0.33333333333333331</v>
      </c>
      <c r="NQ117" s="932"/>
      <c r="NR117" s="932">
        <f>2/3</f>
        <v>0.66666666666666663</v>
      </c>
      <c r="NS117" s="932"/>
      <c r="NT117" s="685"/>
      <c r="NU117" s="686"/>
      <c r="NV117" s="686"/>
      <c r="NW117" s="686"/>
      <c r="NX117" s="687"/>
      <c r="NY117" s="179"/>
      <c r="NZ117" s="172"/>
      <c r="OA117" s="172"/>
      <c r="OB117" s="172"/>
      <c r="OC117" s="172"/>
      <c r="OD117" s="172"/>
      <c r="OE117" s="172"/>
      <c r="OF117" s="172"/>
      <c r="OG117" s="172"/>
      <c r="OH117" s="399"/>
      <c r="OI117" s="399"/>
      <c r="OJ117" s="399"/>
      <c r="OK117" s="399"/>
      <c r="OL117" s="399"/>
      <c r="OM117" s="399"/>
      <c r="ON117" s="399"/>
      <c r="OO117" s="399"/>
      <c r="OP117" s="399"/>
      <c r="OQ117" s="399"/>
      <c r="OR117" s="399"/>
      <c r="OS117" s="400"/>
      <c r="PL117" s="504"/>
      <c r="PM117" s="665" t="s">
        <v>1659</v>
      </c>
      <c r="PN117" s="667"/>
      <c r="PO117" s="504"/>
      <c r="PP117" s="685" t="s">
        <v>1665</v>
      </c>
      <c r="PQ117" s="686"/>
      <c r="PR117" s="686"/>
      <c r="PS117" s="686"/>
      <c r="PT117" s="686"/>
      <c r="PU117" s="686"/>
      <c r="PV117" s="686"/>
      <c r="PW117" s="686"/>
      <c r="PX117" s="686"/>
      <c r="PY117" s="686"/>
      <c r="PZ117" s="687"/>
      <c r="QA117" s="504"/>
      <c r="RC117" s="369">
        <v>99</v>
      </c>
      <c r="RD117" s="668">
        <v>9.9000000000000005E-2</v>
      </c>
      <c r="RE117" s="669"/>
      <c r="RF117" s="670">
        <f t="shared" si="81"/>
        <v>6.8791083803110658</v>
      </c>
      <c r="RG117" s="670"/>
      <c r="RH117" s="670"/>
      <c r="RI117" s="670"/>
      <c r="RJ117" s="698">
        <f t="shared" si="69"/>
        <v>30</v>
      </c>
      <c r="RK117" s="699"/>
      <c r="RL117" s="726"/>
      <c r="RM117" s="670">
        <f t="shared" si="70"/>
        <v>7.0676095505275107</v>
      </c>
      <c r="RN117" s="670"/>
      <c r="RO117" s="670"/>
      <c r="RP117" s="670"/>
      <c r="RQ117" s="670"/>
      <c r="RR117" s="670"/>
      <c r="RS117" s="671">
        <f t="shared" si="64"/>
        <v>1.560804663639157</v>
      </c>
      <c r="RT117" s="671"/>
      <c r="RU117" s="671"/>
      <c r="RV117" s="671"/>
      <c r="RW117" s="671"/>
      <c r="RX117" s="671"/>
      <c r="RY117" s="681">
        <f t="shared" si="71"/>
        <v>7.2379013503048952</v>
      </c>
      <c r="RZ117" s="681"/>
      <c r="SA117" s="681"/>
      <c r="SB117" s="681"/>
      <c r="SC117" s="681">
        <f>'Вывод расчетов'!$AQ$6/RY117</f>
        <v>52.501406361941171</v>
      </c>
      <c r="SD117" s="681"/>
      <c r="SE117" s="681"/>
      <c r="SF117" s="681"/>
      <c r="SG117" s="867">
        <f t="shared" si="72"/>
        <v>0.97647221320995059</v>
      </c>
      <c r="SH117" s="867"/>
      <c r="SI117" s="867"/>
      <c r="SJ117" s="867"/>
      <c r="SK117" s="865">
        <f t="shared" si="73"/>
        <v>0.21564326288771654</v>
      </c>
      <c r="SL117" s="865"/>
      <c r="SM117" s="865"/>
      <c r="SN117" s="865"/>
      <c r="SO117" s="692">
        <f t="shared" si="80"/>
        <v>51.61648690801092</v>
      </c>
      <c r="SP117" s="693"/>
      <c r="SQ117" s="693"/>
      <c r="SR117" s="693"/>
      <c r="SS117" s="694"/>
      <c r="ST117" s="668">
        <f t="shared" si="78"/>
        <v>22.303651336078907</v>
      </c>
      <c r="SU117" s="678"/>
      <c r="SV117" s="678"/>
      <c r="SW117" s="678"/>
      <c r="SX117" s="678"/>
      <c r="SY117" s="669"/>
      <c r="SZ117" s="682">
        <f t="shared" si="74"/>
        <v>56.229125759220523</v>
      </c>
      <c r="TA117" s="683"/>
      <c r="TB117" s="683"/>
      <c r="TC117" s="683"/>
      <c r="TD117" s="683"/>
      <c r="TE117" s="684"/>
      <c r="TF117" s="682">
        <f>'Вывод расчетов'!$XC$174*SC117</f>
        <v>53.337523716129844</v>
      </c>
      <c r="TG117" s="683"/>
      <c r="TH117" s="684"/>
      <c r="TI117" s="681">
        <f t="shared" si="79"/>
        <v>58.842795075132443</v>
      </c>
      <c r="TJ117" s="681"/>
      <c r="TK117" s="681"/>
      <c r="TL117" s="681"/>
      <c r="TM117" s="685">
        <f t="shared" si="75"/>
        <v>1.7599326807414943</v>
      </c>
      <c r="TN117" s="686"/>
      <c r="TO117" s="686"/>
      <c r="TP117" s="687"/>
      <c r="TQ117" s="688">
        <f t="shared" si="76"/>
        <v>5.6315828183791314</v>
      </c>
      <c r="TR117" s="688"/>
      <c r="TS117" s="688"/>
      <c r="TT117" s="688"/>
      <c r="TU117" s="689">
        <f t="shared" si="77"/>
        <v>0.49923915915815803</v>
      </c>
      <c r="TV117" s="690"/>
      <c r="TW117" s="690"/>
      <c r="TX117" s="690"/>
      <c r="TY117" s="690"/>
      <c r="TZ117" s="691"/>
      <c r="UA117" s="756">
        <v>9.9000000000000005E-2</v>
      </c>
      <c r="UB117" s="756"/>
      <c r="UC117" s="650">
        <v>0.99</v>
      </c>
      <c r="UD117" s="866">
        <f t="shared" si="65"/>
        <v>8.7710414741061982</v>
      </c>
      <c r="UE117" s="866"/>
      <c r="UF117" s="866"/>
      <c r="UG117" s="866"/>
      <c r="UH117" s="866"/>
      <c r="UI117" s="866"/>
      <c r="UJ117" s="866"/>
      <c r="UK117" s="681">
        <f t="shared" si="66"/>
        <v>50.071753601026245</v>
      </c>
      <c r="UL117" s="681"/>
      <c r="UM117" s="681"/>
      <c r="UN117" s="681"/>
      <c r="UO117" s="816">
        <f t="shared" si="67"/>
        <v>0.85094111415157903</v>
      </c>
      <c r="UP117" s="816"/>
      <c r="UQ117" s="816"/>
      <c r="UR117" s="816"/>
      <c r="US117" s="866">
        <f t="shared" si="68"/>
        <v>0.91796708931663917</v>
      </c>
      <c r="UT117" s="866"/>
      <c r="UU117" s="866"/>
      <c r="UV117" s="866"/>
      <c r="UW117" s="866"/>
      <c r="YR117" s="144"/>
      <c r="YS117" s="144"/>
      <c r="YT117" s="144"/>
      <c r="YU117" s="144"/>
      <c r="YV117" s="144"/>
      <c r="YW117" s="144"/>
      <c r="ZB117" s="144"/>
      <c r="ZC117" s="144"/>
      <c r="ZD117" s="144"/>
      <c r="ZE117" s="144"/>
      <c r="ZF117" s="144"/>
      <c r="ZG117" s="144"/>
      <c r="ZH117" s="144"/>
      <c r="ZI117" s="144"/>
      <c r="ZJ117" s="144"/>
      <c r="ZK117" s="144"/>
      <c r="ZL117" s="144"/>
      <c r="ZM117" s="144"/>
      <c r="AAD117" s="947"/>
      <c r="AAE117" s="947"/>
      <c r="AAF117" s="947"/>
      <c r="AAG117" s="947"/>
      <c r="AAH117" s="535">
        <v>44</v>
      </c>
      <c r="AAI117" s="956"/>
      <c r="AAJ117" s="957"/>
      <c r="AAK117" s="958">
        <f t="shared" si="59"/>
        <v>0.58666666666666667</v>
      </c>
      <c r="AAL117" s="959"/>
      <c r="AAN117" s="947"/>
      <c r="AAO117" s="947"/>
      <c r="AAP117" s="947"/>
      <c r="AAQ117" s="947"/>
      <c r="AAR117" s="535">
        <v>104</v>
      </c>
      <c r="AAS117" s="956"/>
      <c r="AAT117" s="957"/>
      <c r="AAU117" s="958">
        <f t="shared" si="60"/>
        <v>1.3866666666666667</v>
      </c>
      <c r="AAV117" s="959"/>
      <c r="AAX117" s="947"/>
      <c r="AAY117" s="947"/>
      <c r="AAZ117" s="947"/>
      <c r="ABA117" s="947"/>
      <c r="ABB117" s="535">
        <v>164</v>
      </c>
      <c r="ABC117" s="956"/>
      <c r="ABD117" s="957"/>
      <c r="ABE117" s="958">
        <f t="shared" si="61"/>
        <v>2.186666666666667</v>
      </c>
      <c r="ABF117" s="959"/>
      <c r="ABH117" s="947"/>
      <c r="ABI117" s="947"/>
      <c r="ABJ117" s="947"/>
      <c r="ABK117" s="947"/>
      <c r="ABL117" s="537">
        <v>224</v>
      </c>
      <c r="ABM117" s="956"/>
      <c r="ABN117" s="957"/>
      <c r="ABO117" s="958">
        <f t="shared" si="62"/>
        <v>2.9866666666666668</v>
      </c>
      <c r="ABP117" s="959"/>
      <c r="ABR117" s="947"/>
      <c r="ABS117" s="947"/>
      <c r="ABT117" s="947"/>
      <c r="ABU117" s="947"/>
      <c r="ABV117" s="537">
        <v>284</v>
      </c>
      <c r="ABW117" s="956"/>
      <c r="ABX117" s="957"/>
      <c r="ABY117" s="958">
        <f t="shared" si="63"/>
        <v>3.7866666666666671</v>
      </c>
      <c r="ABZ117" s="959"/>
      <c r="ADB117" s="1033"/>
      <c r="ADC117" s="1033"/>
      <c r="ADD117" s="861"/>
      <c r="ADE117" s="1017"/>
      <c r="ADF117" s="1017"/>
      <c r="ADG117" s="1017"/>
      <c r="ADH117" s="1017"/>
      <c r="ADI117" s="862"/>
      <c r="ADJ117" s="1033"/>
      <c r="ADK117" s="1033"/>
      <c r="ADL117" s="1033"/>
      <c r="ADM117" s="1033"/>
      <c r="ADN117" s="1033"/>
      <c r="ADO117" s="1033"/>
      <c r="ADP117" s="1033"/>
      <c r="ADQ117" s="1033"/>
      <c r="ADR117" s="1033"/>
      <c r="ADS117" s="1033"/>
      <c r="ADT117" s="1033"/>
      <c r="ADU117" s="1033"/>
      <c r="ADV117" s="1033"/>
      <c r="ADW117" s="1033"/>
      <c r="ADX117" s="861"/>
      <c r="ADY117" s="1017"/>
      <c r="ADZ117" s="1017"/>
      <c r="AEA117" s="1017"/>
      <c r="AEB117" s="1017"/>
      <c r="AEC117" s="1017"/>
      <c r="AED117" s="862"/>
      <c r="AEE117" s="172"/>
      <c r="AEF117" s="172"/>
      <c r="AEG117" s="172"/>
      <c r="AEH117" s="172"/>
      <c r="AEI117" s="172"/>
      <c r="AEJ117" s="172"/>
      <c r="AEK117" s="177"/>
    </row>
    <row r="118" spans="60:948" ht="48" customHeight="1" thickBot="1">
      <c r="BT118" s="55"/>
      <c r="BV118" s="55"/>
      <c r="BX118" s="795"/>
      <c r="BY118" s="796"/>
      <c r="BZ118" s="797"/>
      <c r="CA118" s="825"/>
      <c r="CB118" s="731" t="s">
        <v>479</v>
      </c>
      <c r="CC118" s="732"/>
      <c r="CD118" s="732"/>
      <c r="CE118" s="732"/>
      <c r="CF118" s="732"/>
      <c r="CG118" s="732"/>
      <c r="CH118" s="732"/>
      <c r="CI118" s="732"/>
      <c r="CJ118" s="732"/>
      <c r="CK118" s="732"/>
      <c r="CL118" s="732"/>
      <c r="CM118" s="732"/>
      <c r="CN118" s="733"/>
      <c r="CO118" s="808">
        <f xml:space="preserve">
IF(CO110='Программные таблицы'!L64,'Программные таблицы'!K64,
IF(CO110='Программные таблицы'!L65,'Программные таблицы'!K65,
IF(CO110='Программные таблицы'!L66,'Программные таблицы'!K66,
IF(CO110='Программные таблицы'!L67,'Программные таблицы'!K67,
IF(CO110='Программные таблицы'!L68,'Программные таблицы'!K68,
IF(CO110='Программные таблицы'!L69,'Программные таблицы'!K69,
IF(CO110='Программные таблицы'!L70,'Программные таблицы'!K70,
IF(CO110='Программные таблицы'!L71,'Программные таблицы'!K71,
IF(CO110='Программные таблицы'!L72,'Программные таблицы'!K72,
IF(CO110='Программные таблицы'!L73,'Программные таблицы'!K73,
IF(CO110='Программные таблицы'!L74,'Программные таблицы'!K74,
IF(CO110='Программные таблицы'!L75,'Программные таблицы'!K75,
IF(CO110='Программные таблицы'!L76,'Программные таблицы'!K76,
IF(CO110='Программные таблицы'!L77,'Программные таблицы'!K77,
IF(CO110='Программные таблицы'!L78,'Программные таблицы'!K78,
IF(CO110='Программные таблицы'!L79,'Программные таблицы'!K79,
IF(CO110='Программные таблицы'!L80,'Программные таблицы'!K80,
IF(CO110='Программные таблицы'!L81,'Программные таблицы'!K81,
IF(CO110='Программные таблицы'!P64,'Программные таблицы'!O64,
IF(CO110='Программные таблицы'!P65,'Программные таблицы'!O65,
IF(CO110='Программные таблицы'!P66,'Программные таблицы'!O66,
"Вне рамок диапозона таблицы 4"
)))))))))))))))))))))</f>
        <v>1.26</v>
      </c>
      <c r="CP118" s="809"/>
      <c r="CQ118" s="812" t="s">
        <v>50</v>
      </c>
      <c r="CR118" s="813"/>
      <c r="CS118" s="1473"/>
      <c r="CT118" s="1315" t="s">
        <v>1061</v>
      </c>
      <c r="CU118" s="1316"/>
      <c r="CV118" s="712"/>
      <c r="CY118" s="144"/>
      <c r="CZ118" s="144"/>
      <c r="DA118" s="144"/>
      <c r="DC118" s="144"/>
      <c r="DD118" s="144"/>
      <c r="DF118" s="144"/>
      <c r="DG118" s="144"/>
      <c r="DH118" s="144"/>
      <c r="DI118" s="144"/>
      <c r="DJ118" s="144"/>
      <c r="DK118" s="144"/>
      <c r="DL118" s="144"/>
      <c r="DM118" s="144"/>
      <c r="DN118" s="144"/>
      <c r="DO118" s="144"/>
      <c r="DP118" s="144"/>
      <c r="DQ118" s="144"/>
      <c r="DR118" s="1674" t="s">
        <v>994</v>
      </c>
      <c r="DS118" s="727" t="s">
        <v>1792</v>
      </c>
      <c r="DT118" s="727"/>
      <c r="DU118" s="727"/>
      <c r="DV118" s="727"/>
      <c r="DW118" s="727"/>
      <c r="DX118" s="727"/>
      <c r="DY118" s="144"/>
      <c r="DZ118" s="825"/>
      <c r="EA118" s="665" t="s">
        <v>442</v>
      </c>
      <c r="EB118" s="666"/>
      <c r="EC118" s="152"/>
      <c r="ED118" s="87"/>
      <c r="EE118" s="87"/>
      <c r="EF118" s="87"/>
      <c r="EG118" s="87"/>
      <c r="EH118" s="87"/>
      <c r="EI118" s="87"/>
      <c r="EJ118" s="152"/>
      <c r="EK118" s="85" t="s">
        <v>467</v>
      </c>
      <c r="EL118" s="757" t="s">
        <v>461</v>
      </c>
      <c r="EM118" s="758"/>
      <c r="EN118" s="819" t="s">
        <v>126</v>
      </c>
      <c r="EO118" s="820"/>
      <c r="EP118" s="675" t="s">
        <v>731</v>
      </c>
      <c r="EQ118" s="676"/>
      <c r="ER118" s="821" t="s">
        <v>473</v>
      </c>
      <c r="ES118" s="822"/>
      <c r="ET118" s="822"/>
      <c r="EU118" s="823"/>
      <c r="EV118" s="769" t="s">
        <v>462</v>
      </c>
      <c r="EW118" s="769"/>
      <c r="EX118" s="769"/>
      <c r="EY118" s="769"/>
      <c r="EZ118" s="769"/>
      <c r="FA118" s="769"/>
      <c r="FB118" s="769"/>
      <c r="FF118" s="139"/>
      <c r="GF118" s="825"/>
      <c r="GG118" s="665" t="s">
        <v>442</v>
      </c>
      <c r="GH118" s="667"/>
      <c r="GI118" s="152"/>
      <c r="GJ118" s="87"/>
      <c r="GK118" s="87"/>
      <c r="GL118" s="87"/>
      <c r="GM118" s="87"/>
      <c r="GN118" s="87"/>
      <c r="GO118" s="87"/>
      <c r="GP118" s="152"/>
      <c r="GQ118" s="85" t="s">
        <v>467</v>
      </c>
      <c r="GR118" s="757" t="s">
        <v>461</v>
      </c>
      <c r="GS118" s="758"/>
      <c r="GT118" s="819" t="s">
        <v>126</v>
      </c>
      <c r="GU118" s="820"/>
      <c r="GV118" s="675" t="s">
        <v>731</v>
      </c>
      <c r="GW118" s="676"/>
      <c r="GX118" s="821" t="s">
        <v>473</v>
      </c>
      <c r="GY118" s="822"/>
      <c r="GZ118" s="822"/>
      <c r="HA118" s="823"/>
      <c r="HB118" s="821" t="s">
        <v>462</v>
      </c>
      <c r="HC118" s="822"/>
      <c r="HD118" s="823"/>
      <c r="HJ118" s="144"/>
      <c r="HK118" s="144"/>
      <c r="HL118" s="144"/>
      <c r="HM118" s="144"/>
      <c r="HP118" s="144"/>
      <c r="HQ118" s="144"/>
      <c r="HR118" s="144"/>
      <c r="IE118" s="144"/>
      <c r="IF118" s="144"/>
      <c r="IG118" s="144"/>
      <c r="IH118" s="144"/>
      <c r="II118" s="144"/>
      <c r="IJ118" s="3"/>
      <c r="IK118" s="3"/>
      <c r="IR118" s="767"/>
      <c r="IS118" s="697" t="s">
        <v>1171</v>
      </c>
      <c r="IT118" s="863"/>
      <c r="IU118" s="1074">
        <f>ER45</f>
        <v>4</v>
      </c>
      <c r="IV118" s="1585"/>
      <c r="IW118" s="939" t="s">
        <v>1106</v>
      </c>
      <c r="IX118" s="940"/>
      <c r="IY118" s="940"/>
      <c r="IZ118" s="940"/>
      <c r="JA118" s="940"/>
      <c r="JB118" s="940"/>
      <c r="JC118" s="940"/>
      <c r="JD118" s="940"/>
      <c r="JE118" s="1003"/>
      <c r="JF118" s="763">
        <f>((IU118/IU119)^2)/(5+IU118/IU119)</f>
        <v>0.5714285714285714</v>
      </c>
      <c r="JG118" s="764"/>
      <c r="JH118" s="849" t="s">
        <v>762</v>
      </c>
      <c r="JI118" s="850"/>
      <c r="JJ118" s="714"/>
      <c r="JK118" s="1297" t="s">
        <v>1101</v>
      </c>
      <c r="JL118" s="1298"/>
      <c r="JM118" s="746"/>
      <c r="JN118" s="767"/>
      <c r="JO118" s="767"/>
      <c r="JP118" s="767"/>
      <c r="JQ118" s="767"/>
      <c r="JR118" s="767"/>
      <c r="JS118" s="767"/>
      <c r="JU118" s="144"/>
      <c r="JV118" s="144"/>
      <c r="JW118" s="144"/>
      <c r="LJ118" s="144"/>
      <c r="LK118" s="144"/>
      <c r="LL118" s="144"/>
      <c r="LM118" s="144"/>
      <c r="LN118" s="144"/>
      <c r="LO118" s="144"/>
      <c r="LP118" s="144"/>
      <c r="LQ118" s="144"/>
      <c r="LT118" s="144"/>
      <c r="LU118" s="144"/>
      <c r="LV118" s="403"/>
      <c r="LW118" s="399"/>
      <c r="LX118" s="55"/>
      <c r="LY118" s="408" t="s">
        <v>1428</v>
      </c>
      <c r="LZ118" s="214" t="s">
        <v>899</v>
      </c>
      <c r="MA118" s="739" t="s">
        <v>1415</v>
      </c>
      <c r="MB118" s="739"/>
      <c r="MC118" s="397"/>
      <c r="MD118" s="87"/>
      <c r="ME118" s="87"/>
      <c r="MF118" s="87"/>
      <c r="MG118" s="87"/>
      <c r="MH118" s="87"/>
      <c r="MI118" s="87"/>
      <c r="MJ118" s="397"/>
      <c r="MK118" s="85" t="s">
        <v>467</v>
      </c>
      <c r="ML118" s="757" t="s">
        <v>461</v>
      </c>
      <c r="MM118" s="758"/>
      <c r="MN118" s="1130" t="s">
        <v>126</v>
      </c>
      <c r="MO118" s="1131"/>
      <c r="MP118" s="675" t="s">
        <v>731</v>
      </c>
      <c r="MQ118" s="676"/>
      <c r="MR118" s="821" t="s">
        <v>473</v>
      </c>
      <c r="MS118" s="822"/>
      <c r="MT118" s="822"/>
      <c r="MU118" s="822"/>
      <c r="MV118" s="823"/>
      <c r="MW118" s="172"/>
      <c r="MX118" s="399"/>
      <c r="MY118" s="399"/>
      <c r="MZ118" s="399"/>
      <c r="NA118" s="399"/>
      <c r="NB118" s="399"/>
      <c r="NC118" s="399"/>
      <c r="ND118" s="399"/>
      <c r="NE118" s="399"/>
      <c r="NF118" s="399"/>
      <c r="NG118" s="399"/>
      <c r="NH118" s="399"/>
      <c r="NI118" s="55"/>
      <c r="NJ118" s="408" t="s">
        <v>1428</v>
      </c>
      <c r="NK118" s="214" t="s">
        <v>899</v>
      </c>
      <c r="NL118" s="739" t="s">
        <v>1416</v>
      </c>
      <c r="NM118" s="739"/>
      <c r="NN118" s="397"/>
      <c r="NO118" s="87"/>
      <c r="NP118" s="87"/>
      <c r="NQ118" s="87"/>
      <c r="NR118" s="87"/>
      <c r="NS118" s="87"/>
      <c r="NT118" s="87"/>
      <c r="NU118" s="397"/>
      <c r="NV118" s="85" t="s">
        <v>467</v>
      </c>
      <c r="NW118" s="757" t="s">
        <v>461</v>
      </c>
      <c r="NX118" s="758"/>
      <c r="NY118" s="819" t="s">
        <v>126</v>
      </c>
      <c r="NZ118" s="820"/>
      <c r="OA118" s="675" t="s">
        <v>731</v>
      </c>
      <c r="OB118" s="1094"/>
      <c r="OC118" s="769" t="s">
        <v>473</v>
      </c>
      <c r="OD118" s="769"/>
      <c r="OE118" s="769"/>
      <c r="OF118" s="769"/>
      <c r="OG118" s="769"/>
      <c r="OH118" s="399"/>
      <c r="OI118" s="399"/>
      <c r="OJ118" s="399"/>
      <c r="OK118" s="399"/>
      <c r="OL118" s="399"/>
      <c r="OM118" s="399"/>
      <c r="ON118" s="399"/>
      <c r="OO118" s="399"/>
      <c r="OP118" s="399"/>
      <c r="OQ118" s="399"/>
      <c r="OR118" s="399"/>
      <c r="OS118" s="400"/>
      <c r="RC118" s="369">
        <v>100</v>
      </c>
      <c r="RD118" s="668">
        <v>0.1</v>
      </c>
      <c r="RE118" s="669"/>
      <c r="RF118" s="670">
        <f t="shared" si="81"/>
        <v>6.8103172965079546</v>
      </c>
      <c r="RG118" s="670"/>
      <c r="RH118" s="670"/>
      <c r="RI118" s="670"/>
      <c r="RJ118" s="698">
        <f t="shared" si="69"/>
        <v>30</v>
      </c>
      <c r="RK118" s="699"/>
      <c r="RL118" s="726"/>
      <c r="RM118" s="670">
        <f t="shared" si="70"/>
        <v>6.9988184667243996</v>
      </c>
      <c r="RN118" s="670"/>
      <c r="RO118" s="670"/>
      <c r="RP118" s="670"/>
      <c r="RQ118" s="670"/>
      <c r="RR118" s="670"/>
      <c r="RS118" s="671">
        <f t="shared" si="64"/>
        <v>1.560804663639157</v>
      </c>
      <c r="RT118" s="671"/>
      <c r="RU118" s="671"/>
      <c r="RV118" s="671"/>
      <c r="RW118" s="671"/>
      <c r="RX118" s="671"/>
      <c r="RY118" s="681">
        <f t="shared" si="71"/>
        <v>7.1707441125869371</v>
      </c>
      <c r="RZ118" s="681"/>
      <c r="SA118" s="681"/>
      <c r="SB118" s="681"/>
      <c r="SC118" s="681">
        <f>'Вывод расчетов'!$AQ$6/RY118</f>
        <v>52.993105601548258</v>
      </c>
      <c r="SD118" s="681"/>
      <c r="SE118" s="681"/>
      <c r="SF118" s="681"/>
      <c r="SG118" s="867">
        <f t="shared" si="72"/>
        <v>0.97602401603471622</v>
      </c>
      <c r="SH118" s="867"/>
      <c r="SI118" s="867"/>
      <c r="SJ118" s="867"/>
      <c r="SK118" s="865">
        <f t="shared" si="73"/>
        <v>0.21766285885162856</v>
      </c>
      <c r="SL118" s="865"/>
      <c r="SM118" s="865"/>
      <c r="SN118" s="865"/>
      <c r="SO118" s="692">
        <f t="shared" si="80"/>
        <v>52.072866192506197</v>
      </c>
      <c r="SP118" s="693"/>
      <c r="SQ118" s="693"/>
      <c r="SR118" s="693"/>
      <c r="SS118" s="694"/>
      <c r="ST118" s="668">
        <f t="shared" si="78"/>
        <v>22.51670762665524</v>
      </c>
      <c r="SU118" s="678"/>
      <c r="SV118" s="678"/>
      <c r="SW118" s="678"/>
      <c r="SX118" s="678"/>
      <c r="SY118" s="669"/>
      <c r="SZ118" s="682">
        <f t="shared" si="74"/>
        <v>56.732578963475028</v>
      </c>
      <c r="TA118" s="683"/>
      <c r="TB118" s="683"/>
      <c r="TC118" s="683"/>
      <c r="TD118" s="683"/>
      <c r="TE118" s="684"/>
      <c r="TF118" s="682">
        <f>'Вывод расчетов'!$XC$174*SC118</f>
        <v>53.837053570110236</v>
      </c>
      <c r="TG118" s="683"/>
      <c r="TH118" s="684"/>
      <c r="TI118" s="681">
        <f t="shared" si="79"/>
        <v>59.363067459457064</v>
      </c>
      <c r="TJ118" s="681"/>
      <c r="TK118" s="681"/>
      <c r="TL118" s="681"/>
      <c r="TM118" s="685">
        <f t="shared" si="75"/>
        <v>1.7915892422419968</v>
      </c>
      <c r="TN118" s="686"/>
      <c r="TO118" s="686"/>
      <c r="TP118" s="687"/>
      <c r="TQ118" s="688">
        <f t="shared" si="76"/>
        <v>5.7375613761765507</v>
      </c>
      <c r="TR118" s="688"/>
      <c r="TS118" s="688"/>
      <c r="TT118" s="688"/>
      <c r="TU118" s="689">
        <f t="shared" si="77"/>
        <v>0.50821915897195247</v>
      </c>
      <c r="TV118" s="690"/>
      <c r="TW118" s="690"/>
      <c r="TX118" s="690"/>
      <c r="TY118" s="690"/>
      <c r="TZ118" s="691"/>
      <c r="UA118" s="679">
        <v>0.1</v>
      </c>
      <c r="UB118" s="680"/>
      <c r="UC118" s="650">
        <v>1</v>
      </c>
      <c r="UD118" s="866">
        <f t="shared" si="65"/>
        <v>8.9176565932179148</v>
      </c>
      <c r="UE118" s="866"/>
      <c r="UF118" s="866"/>
      <c r="UG118" s="866"/>
      <c r="UH118" s="866"/>
      <c r="UI118" s="866"/>
      <c r="UJ118" s="866"/>
      <c r="UK118" s="681">
        <f t="shared" si="66"/>
        <v>50.44541086623915</v>
      </c>
      <c r="UL118" s="681"/>
      <c r="UM118" s="681"/>
      <c r="UN118" s="681"/>
      <c r="UO118" s="816">
        <f t="shared" si="67"/>
        <v>0.84977769891509791</v>
      </c>
      <c r="UP118" s="816"/>
      <c r="UQ118" s="816"/>
      <c r="UR118" s="816"/>
      <c r="US118" s="866">
        <f t="shared" si="68"/>
        <v>0.91786531026610307</v>
      </c>
      <c r="UT118" s="866"/>
      <c r="UU118" s="866"/>
      <c r="UV118" s="866"/>
      <c r="UW118" s="866"/>
      <c r="XQ118" s="216"/>
      <c r="XR118" s="665" t="s">
        <v>933</v>
      </c>
      <c r="XS118" s="667"/>
      <c r="XT118" s="216"/>
      <c r="XU118" s="728" t="s">
        <v>1118</v>
      </c>
      <c r="XV118" s="1053"/>
      <c r="XW118" s="1053"/>
      <c r="XX118" s="1053"/>
      <c r="XY118" s="1053"/>
      <c r="XZ118" s="1053"/>
      <c r="YA118" s="1053"/>
      <c r="YB118" s="1053"/>
      <c r="YC118" s="1053"/>
      <c r="YD118" s="1053"/>
      <c r="YE118" s="1054"/>
      <c r="YF118" s="216"/>
      <c r="YY118" s="144"/>
      <c r="YZ118" s="144"/>
      <c r="ZA118" s="144"/>
      <c r="ZB118" s="144"/>
      <c r="ZC118" s="144"/>
      <c r="ZD118" s="144"/>
      <c r="ZE118" s="144"/>
      <c r="ZF118" s="144"/>
      <c r="ZG118" s="144"/>
      <c r="ZH118" s="144"/>
      <c r="ZI118" s="144"/>
      <c r="ZJ118" s="144"/>
      <c r="ZK118" s="144"/>
      <c r="ZL118" s="144"/>
      <c r="ZM118" s="144"/>
      <c r="AAD118" s="947"/>
      <c r="AAE118" s="947"/>
      <c r="AAF118" s="947"/>
      <c r="AAG118" s="947"/>
      <c r="AAH118" s="535">
        <v>45</v>
      </c>
      <c r="AAI118" s="956"/>
      <c r="AAJ118" s="957"/>
      <c r="AAK118" s="958">
        <f t="shared" si="59"/>
        <v>0.60000000000000009</v>
      </c>
      <c r="AAL118" s="959"/>
      <c r="AAN118" s="947"/>
      <c r="AAO118" s="947"/>
      <c r="AAP118" s="947"/>
      <c r="AAQ118" s="947"/>
      <c r="AAR118" s="535">
        <v>105</v>
      </c>
      <c r="AAS118" s="956"/>
      <c r="AAT118" s="957"/>
      <c r="AAU118" s="958">
        <f t="shared" si="60"/>
        <v>1.4000000000000001</v>
      </c>
      <c r="AAV118" s="959"/>
      <c r="AAX118" s="947"/>
      <c r="AAY118" s="947"/>
      <c r="AAZ118" s="947"/>
      <c r="ABA118" s="947"/>
      <c r="ABB118" s="535">
        <v>165</v>
      </c>
      <c r="ABC118" s="956"/>
      <c r="ABD118" s="957"/>
      <c r="ABE118" s="958">
        <f t="shared" si="61"/>
        <v>2.2000000000000002</v>
      </c>
      <c r="ABF118" s="959"/>
      <c r="ABH118" s="947"/>
      <c r="ABI118" s="947"/>
      <c r="ABJ118" s="947"/>
      <c r="ABK118" s="947"/>
      <c r="ABL118" s="537">
        <v>225</v>
      </c>
      <c r="ABM118" s="956"/>
      <c r="ABN118" s="957"/>
      <c r="ABO118" s="958">
        <f t="shared" si="62"/>
        <v>3</v>
      </c>
      <c r="ABP118" s="959"/>
      <c r="ABR118" s="947"/>
      <c r="ABS118" s="947"/>
      <c r="ABT118" s="947"/>
      <c r="ABU118" s="947"/>
      <c r="ABV118" s="537">
        <v>285</v>
      </c>
      <c r="ABW118" s="956"/>
      <c r="ABX118" s="957"/>
      <c r="ABY118" s="958">
        <f t="shared" si="63"/>
        <v>3.8000000000000003</v>
      </c>
      <c r="ABZ118" s="959"/>
      <c r="ADB118" s="880">
        <v>30</v>
      </c>
      <c r="ADC118" s="880"/>
      <c r="ADD118" s="181"/>
      <c r="ADE118" s="182"/>
      <c r="ADF118" s="182"/>
      <c r="ADG118" s="182"/>
      <c r="ADH118" s="182"/>
      <c r="ADI118" s="185"/>
      <c r="ADJ118" s="1035" t="s">
        <v>415</v>
      </c>
      <c r="ADK118" s="1036"/>
      <c r="ADL118" s="1034"/>
      <c r="ADM118" s="1034"/>
      <c r="ADN118" s="1034"/>
      <c r="ADO118" s="1034"/>
      <c r="ADP118" s="1034"/>
      <c r="ADQ118" s="1034"/>
      <c r="ADR118" s="1034"/>
      <c r="ADS118" s="1034"/>
      <c r="ADT118" s="1034"/>
      <c r="ADU118" s="1034"/>
      <c r="ADV118" s="1034"/>
      <c r="ADW118" s="1034"/>
      <c r="ADX118" s="857"/>
      <c r="ADY118" s="1015"/>
      <c r="ADZ118" s="1015"/>
      <c r="AEA118" s="1015"/>
      <c r="AEB118" s="1015"/>
      <c r="AEC118" s="1015"/>
      <c r="AED118" s="1015"/>
      <c r="AEE118" s="1015"/>
      <c r="AEF118" s="1015"/>
      <c r="AEG118" s="1015"/>
      <c r="AEH118" s="1015"/>
      <c r="AEI118" s="858"/>
      <c r="AEJ118" s="172"/>
      <c r="AEK118" s="177"/>
      <c r="AIM118" s="792" t="s">
        <v>1079</v>
      </c>
      <c r="AIN118" s="793"/>
      <c r="AIO118" s="794"/>
      <c r="AIP118" s="825"/>
      <c r="AIQ118" s="665" t="s">
        <v>442</v>
      </c>
      <c r="AIR118" s="666"/>
      <c r="AIS118" s="156"/>
      <c r="AIT118" s="87"/>
      <c r="AIU118" s="87"/>
      <c r="AIV118" s="87"/>
      <c r="AIW118" s="216"/>
      <c r="AIX118" s="84" t="s">
        <v>729</v>
      </c>
      <c r="AIY118" s="84" t="s">
        <v>729</v>
      </c>
      <c r="AIZ118" s="156"/>
      <c r="AJA118" s="85" t="s">
        <v>467</v>
      </c>
      <c r="AJB118" s="757" t="s">
        <v>461</v>
      </c>
      <c r="AJC118" s="758"/>
      <c r="AJD118" s="819" t="s">
        <v>126</v>
      </c>
      <c r="AJE118" s="820"/>
      <c r="AJF118" s="675" t="s">
        <v>731</v>
      </c>
      <c r="AJG118" s="676"/>
      <c r="AJH118" s="821" t="s">
        <v>473</v>
      </c>
      <c r="AJI118" s="822"/>
      <c r="AJJ118" s="822"/>
      <c r="AJK118" s="823"/>
    </row>
    <row r="119" spans="60:948" ht="48" customHeight="1" thickBot="1">
      <c r="BT119" s="55"/>
      <c r="BV119" s="55"/>
      <c r="BX119" s="798"/>
      <c r="BY119" s="799"/>
      <c r="BZ119" s="800"/>
      <c r="CA119" s="827"/>
      <c r="CB119" s="734"/>
      <c r="CC119" s="735"/>
      <c r="CD119" s="735"/>
      <c r="CE119" s="735"/>
      <c r="CF119" s="735"/>
      <c r="CG119" s="735"/>
      <c r="CH119" s="735"/>
      <c r="CI119" s="735"/>
      <c r="CJ119" s="735"/>
      <c r="CK119" s="735"/>
      <c r="CL119" s="735"/>
      <c r="CM119" s="735"/>
      <c r="CN119" s="736"/>
      <c r="CO119" s="810"/>
      <c r="CP119" s="811"/>
      <c r="CQ119" s="814"/>
      <c r="CR119" s="815"/>
      <c r="CS119" s="1474"/>
      <c r="CT119" s="1317"/>
      <c r="CU119" s="1318"/>
      <c r="CV119" s="713"/>
      <c r="CY119" s="144"/>
      <c r="CZ119" s="144"/>
      <c r="DA119" s="144"/>
      <c r="DC119" s="144"/>
      <c r="DD119" s="144"/>
      <c r="DF119" s="144"/>
      <c r="DG119" s="144"/>
      <c r="DH119" s="144"/>
      <c r="DI119" s="144"/>
      <c r="DJ119" s="144"/>
      <c r="DK119" s="144"/>
      <c r="DL119" s="144"/>
      <c r="DM119" s="144"/>
      <c r="DN119" s="144"/>
      <c r="DO119" s="144"/>
      <c r="DP119" s="144"/>
      <c r="DQ119" s="144"/>
      <c r="DR119" s="1674"/>
      <c r="DS119" s="727"/>
      <c r="DT119" s="727"/>
      <c r="DU119" s="727"/>
      <c r="DV119" s="727"/>
      <c r="DW119" s="727"/>
      <c r="DX119" s="727"/>
      <c r="DY119" s="144"/>
      <c r="DZ119" s="826"/>
      <c r="EA119" s="816" t="s">
        <v>52</v>
      </c>
      <c r="EB119" s="816"/>
      <c r="EC119" s="816"/>
      <c r="ED119" s="816"/>
      <c r="EE119" s="816"/>
      <c r="EF119" s="816"/>
      <c r="EG119" s="816"/>
      <c r="EH119" s="816"/>
      <c r="EI119" s="816"/>
      <c r="EJ119" s="816"/>
      <c r="EK119" s="816"/>
      <c r="EL119" s="816"/>
      <c r="EM119" s="817"/>
      <c r="EN119" s="763">
        <f>0.4*(2*EN49+EN62+EN71)</f>
        <v>31.328573829318334</v>
      </c>
      <c r="EO119" s="764"/>
      <c r="EP119" s="812" t="s">
        <v>796</v>
      </c>
      <c r="EQ119" s="813"/>
      <c r="ER119" s="712"/>
      <c r="ES119" s="1465" t="s">
        <v>1452</v>
      </c>
      <c r="ET119" s="1466"/>
      <c r="EU119" s="746"/>
      <c r="EV119" s="767"/>
      <c r="EW119" s="767"/>
      <c r="EX119" s="767"/>
      <c r="EY119" s="767"/>
      <c r="EZ119" s="767"/>
      <c r="FA119" s="767"/>
      <c r="FB119" s="767"/>
      <c r="FF119" s="139"/>
      <c r="GF119" s="826"/>
      <c r="GG119" s="700" t="s">
        <v>834</v>
      </c>
      <c r="GH119" s="701"/>
      <c r="GI119" s="701"/>
      <c r="GJ119" s="701"/>
      <c r="GK119" s="701"/>
      <c r="GL119" s="701"/>
      <c r="GM119" s="701"/>
      <c r="GN119" s="701"/>
      <c r="GO119" s="701"/>
      <c r="GP119" s="701"/>
      <c r="GQ119" s="701"/>
      <c r="GR119" s="701"/>
      <c r="GS119" s="701"/>
      <c r="GT119" s="1335">
        <f>GT48/GT123</f>
        <v>2774.7097728228996</v>
      </c>
      <c r="GU119" s="1336"/>
      <c r="GV119" s="917" t="s">
        <v>901</v>
      </c>
      <c r="GW119" s="896"/>
      <c r="GX119" s="712"/>
      <c r="GY119" s="716" t="s">
        <v>1092</v>
      </c>
      <c r="GZ119" s="717"/>
      <c r="HA119" s="746"/>
      <c r="HB119" s="919"/>
      <c r="HC119" s="840"/>
      <c r="HD119" s="920"/>
      <c r="HJ119" s="144"/>
      <c r="HK119" s="144"/>
      <c r="HL119" s="144"/>
      <c r="HM119" s="144"/>
      <c r="HN119" s="241"/>
      <c r="HO119" s="144"/>
      <c r="HP119" s="144"/>
      <c r="HQ119" s="144"/>
      <c r="HR119" s="144"/>
      <c r="IE119" s="144"/>
      <c r="IF119" s="144"/>
      <c r="IG119" s="144"/>
      <c r="IH119" s="144"/>
      <c r="II119" s="144"/>
      <c r="IJ119" s="3"/>
      <c r="IK119" s="3"/>
      <c r="IR119" s="767"/>
      <c r="IS119" s="697" t="s">
        <v>757</v>
      </c>
      <c r="IT119" s="863"/>
      <c r="IU119" s="1074">
        <f>$GW$12</f>
        <v>2</v>
      </c>
      <c r="IV119" s="1585"/>
      <c r="IW119" s="941"/>
      <c r="IX119" s="942"/>
      <c r="IY119" s="942"/>
      <c r="IZ119" s="942"/>
      <c r="JA119" s="942"/>
      <c r="JB119" s="942"/>
      <c r="JC119" s="942"/>
      <c r="JD119" s="942"/>
      <c r="JE119" s="1011"/>
      <c r="JF119" s="765"/>
      <c r="JG119" s="766"/>
      <c r="JH119" s="851"/>
      <c r="JI119" s="852"/>
      <c r="JJ119" s="715"/>
      <c r="JK119" s="1299"/>
      <c r="JL119" s="1300"/>
      <c r="JM119" s="747"/>
      <c r="JN119" s="767"/>
      <c r="JO119" s="767"/>
      <c r="JP119" s="767"/>
      <c r="JQ119" s="767"/>
      <c r="JR119" s="767"/>
      <c r="JS119" s="767"/>
      <c r="JU119" s="144"/>
      <c r="JV119" s="144"/>
      <c r="JW119" s="144"/>
      <c r="LJ119" s="144"/>
      <c r="LK119" s="144"/>
      <c r="LL119" s="144"/>
      <c r="LM119" s="144"/>
      <c r="LN119" s="144"/>
      <c r="LO119" s="144"/>
      <c r="LP119" s="144"/>
      <c r="LQ119" s="144"/>
      <c r="LT119" s="144"/>
      <c r="LU119" s="144"/>
      <c r="LV119" s="403"/>
      <c r="LW119" s="399"/>
      <c r="LX119" s="55"/>
      <c r="LY119" s="399"/>
      <c r="LZ119" s="825"/>
      <c r="MA119" s="939" t="s">
        <v>1403</v>
      </c>
      <c r="MB119" s="940"/>
      <c r="MC119" s="940"/>
      <c r="MD119" s="940"/>
      <c r="ME119" s="940"/>
      <c r="MF119" s="940"/>
      <c r="MG119" s="940"/>
      <c r="MH119" s="940"/>
      <c r="MI119" s="940"/>
      <c r="MJ119" s="940"/>
      <c r="MK119" s="940"/>
      <c r="ML119" s="940"/>
      <c r="MM119" s="1003"/>
      <c r="MN119" s="1046" t="str">
        <f>IF(AND(MQ111&gt;ME117,OR(MQ111&lt;MG117,MG117=MQ111)),MQ111," Другая формула")</f>
        <v xml:space="preserve"> Другая формула</v>
      </c>
      <c r="MO119" s="1047"/>
      <c r="MP119" s="849" t="s">
        <v>762</v>
      </c>
      <c r="MQ119" s="850"/>
      <c r="MR119" s="714"/>
      <c r="MS119" s="740" t="s">
        <v>1409</v>
      </c>
      <c r="MT119" s="741"/>
      <c r="MU119" s="742"/>
      <c r="MV119" s="746"/>
      <c r="MW119" s="172"/>
      <c r="MX119" s="399"/>
      <c r="MY119" s="399"/>
      <c r="MZ119" s="399"/>
      <c r="NA119" s="399"/>
      <c r="NB119" s="399"/>
      <c r="NC119" s="399"/>
      <c r="ND119" s="399"/>
      <c r="NE119" s="399"/>
      <c r="NF119" s="399"/>
      <c r="NG119" s="399"/>
      <c r="NH119" s="399"/>
      <c r="NI119" s="55"/>
      <c r="NJ119" s="399"/>
      <c r="NK119" s="825"/>
      <c r="NL119" s="939" t="s">
        <v>1408</v>
      </c>
      <c r="NM119" s="940"/>
      <c r="NN119" s="940"/>
      <c r="NO119" s="940"/>
      <c r="NP119" s="940"/>
      <c r="NQ119" s="940"/>
      <c r="NR119" s="940"/>
      <c r="NS119" s="940"/>
      <c r="NT119" s="940"/>
      <c r="NU119" s="940"/>
      <c r="NV119" s="940"/>
      <c r="NW119" s="940"/>
      <c r="NX119" s="1003"/>
      <c r="NY119" s="1046">
        <f>IF(AND(OR(MQ111&gt;NP117,MQ111=NP117),OR(MQ111&lt;NR117,MQ111=NR117)),MQ111,"Другая формула")</f>
        <v>0.33333333333333331</v>
      </c>
      <c r="NZ119" s="1047"/>
      <c r="OA119" s="849" t="s">
        <v>762</v>
      </c>
      <c r="OB119" s="850"/>
      <c r="OC119" s="1085"/>
      <c r="OD119" s="740" t="s">
        <v>1412</v>
      </c>
      <c r="OE119" s="741"/>
      <c r="OF119" s="742"/>
      <c r="OG119" s="1085"/>
      <c r="OH119" s="399"/>
      <c r="OI119" s="399"/>
      <c r="OJ119" s="399"/>
      <c r="OK119" s="399"/>
      <c r="OL119" s="399"/>
      <c r="OM119" s="399"/>
      <c r="ON119" s="399"/>
      <c r="OO119" s="399"/>
      <c r="OP119" s="399"/>
      <c r="OQ119" s="399"/>
      <c r="OR119" s="399"/>
      <c r="OS119" s="400"/>
      <c r="OV119" s="144"/>
      <c r="PJ119" s="825"/>
      <c r="PK119" s="695" t="s">
        <v>442</v>
      </c>
      <c r="PL119" s="695"/>
      <c r="PM119" s="504"/>
      <c r="PN119" s="87"/>
      <c r="PO119" s="87"/>
      <c r="PP119" s="87"/>
      <c r="PQ119" s="87"/>
      <c r="PR119" s="87"/>
      <c r="PS119" s="87"/>
      <c r="PT119" s="504"/>
      <c r="PU119" s="85" t="s">
        <v>467</v>
      </c>
      <c r="PV119" s="757" t="s">
        <v>461</v>
      </c>
      <c r="PW119" s="899"/>
      <c r="PX119" s="819" t="s">
        <v>126</v>
      </c>
      <c r="PY119" s="820"/>
      <c r="PZ119" s="675" t="s">
        <v>731</v>
      </c>
      <c r="QA119" s="676"/>
      <c r="QB119" s="821" t="s">
        <v>473</v>
      </c>
      <c r="QC119" s="822"/>
      <c r="QD119" s="822"/>
      <c r="QE119" s="822"/>
      <c r="QF119" s="823"/>
      <c r="QG119" s="769" t="s">
        <v>462</v>
      </c>
      <c r="QH119" s="769"/>
      <c r="QI119" s="769"/>
      <c r="QJ119" s="769"/>
      <c r="QK119" s="769"/>
      <c r="QL119" s="769"/>
      <c r="QM119" s="769"/>
      <c r="YY119" s="144"/>
      <c r="YZ119" s="144"/>
      <c r="ZA119" s="144"/>
      <c r="ZB119" s="144"/>
      <c r="ZC119" s="144"/>
      <c r="ZD119" s="144"/>
      <c r="ZE119" s="144"/>
      <c r="ZF119" s="144"/>
      <c r="ZG119" s="144"/>
      <c r="ZH119" s="144"/>
      <c r="AAD119" s="947"/>
      <c r="AAE119" s="947"/>
      <c r="AAF119" s="947"/>
      <c r="AAG119" s="947"/>
      <c r="AAH119" s="535">
        <v>46</v>
      </c>
      <c r="AAI119" s="956"/>
      <c r="AAJ119" s="957"/>
      <c r="AAK119" s="958">
        <f t="shared" si="59"/>
        <v>0.6133333333333334</v>
      </c>
      <c r="AAL119" s="959"/>
      <c r="AAN119" s="947"/>
      <c r="AAO119" s="947"/>
      <c r="AAP119" s="947"/>
      <c r="AAQ119" s="947"/>
      <c r="AAR119" s="535">
        <v>106</v>
      </c>
      <c r="AAS119" s="956"/>
      <c r="AAT119" s="957"/>
      <c r="AAU119" s="958">
        <f t="shared" si="60"/>
        <v>1.4133333333333333</v>
      </c>
      <c r="AAV119" s="959"/>
      <c r="AAX119" s="947"/>
      <c r="AAY119" s="947"/>
      <c r="AAZ119" s="947"/>
      <c r="ABA119" s="947"/>
      <c r="ABB119" s="535">
        <v>166</v>
      </c>
      <c r="ABC119" s="956"/>
      <c r="ABD119" s="957"/>
      <c r="ABE119" s="958">
        <f t="shared" si="61"/>
        <v>2.2133333333333334</v>
      </c>
      <c r="ABF119" s="959"/>
      <c r="ABH119" s="947"/>
      <c r="ABI119" s="947"/>
      <c r="ABJ119" s="947"/>
      <c r="ABK119" s="947"/>
      <c r="ABL119" s="537">
        <v>226</v>
      </c>
      <c r="ABM119" s="956"/>
      <c r="ABN119" s="957"/>
      <c r="ABO119" s="958">
        <f t="shared" si="62"/>
        <v>3.0133333333333336</v>
      </c>
      <c r="ABP119" s="959"/>
      <c r="ABR119" s="947"/>
      <c r="ABS119" s="947"/>
      <c r="ABT119" s="947"/>
      <c r="ABU119" s="947"/>
      <c r="ABV119" s="537">
        <v>286</v>
      </c>
      <c r="ABW119" s="956"/>
      <c r="ABX119" s="957"/>
      <c r="ABY119" s="958">
        <f t="shared" si="63"/>
        <v>3.8133333333333335</v>
      </c>
      <c r="ABZ119" s="959"/>
      <c r="ADB119" s="880"/>
      <c r="ADC119" s="880"/>
      <c r="ADD119" s="183"/>
      <c r="ADE119" s="184"/>
      <c r="ADF119" s="184"/>
      <c r="ADG119" s="184"/>
      <c r="ADH119" s="184"/>
      <c r="ADI119" s="186"/>
      <c r="ADJ119" s="1039"/>
      <c r="ADK119" s="1040"/>
      <c r="ADL119" s="1034"/>
      <c r="ADM119" s="1034"/>
      <c r="ADN119" s="1034"/>
      <c r="ADO119" s="1034"/>
      <c r="ADP119" s="1034"/>
      <c r="ADQ119" s="1034"/>
      <c r="ADR119" s="1034"/>
      <c r="ADS119" s="1034"/>
      <c r="ADT119" s="1034"/>
      <c r="ADU119" s="1034"/>
      <c r="ADV119" s="1034"/>
      <c r="ADW119" s="1034"/>
      <c r="ADX119" s="861"/>
      <c r="ADY119" s="1017"/>
      <c r="ADZ119" s="1017"/>
      <c r="AEA119" s="1017"/>
      <c r="AEB119" s="1017"/>
      <c r="AEC119" s="1017"/>
      <c r="AED119" s="1017"/>
      <c r="AEE119" s="1017"/>
      <c r="AEF119" s="1017"/>
      <c r="AEG119" s="1017"/>
      <c r="AEH119" s="1017"/>
      <c r="AEI119" s="862"/>
      <c r="AEJ119" s="172"/>
      <c r="AEK119" s="177"/>
      <c r="AIM119" s="795"/>
      <c r="AIN119" s="796"/>
      <c r="AIO119" s="797"/>
      <c r="AIP119" s="826"/>
      <c r="AIQ119" s="816" t="s">
        <v>990</v>
      </c>
      <c r="AIR119" s="816"/>
      <c r="AIS119" s="816"/>
      <c r="AIT119" s="816"/>
      <c r="AIU119" s="816"/>
      <c r="AIV119" s="816"/>
      <c r="AIW119" s="816"/>
      <c r="AIX119" s="816"/>
      <c r="AIY119" s="816"/>
      <c r="AIZ119" s="816"/>
      <c r="AJA119" s="816"/>
      <c r="AJB119" s="816"/>
      <c r="AJC119" s="816"/>
      <c r="AJD119" s="1170">
        <v>20</v>
      </c>
      <c r="AJE119" s="1171"/>
      <c r="AJF119" s="1005"/>
      <c r="AJG119" s="1006"/>
      <c r="AJH119" s="712"/>
      <c r="AJI119" s="740" t="s">
        <v>989</v>
      </c>
      <c r="AJJ119" s="742"/>
      <c r="AJK119" s="746"/>
    </row>
    <row r="120" spans="60:948" ht="48" customHeight="1" thickBot="1">
      <c r="BH120" s="144"/>
      <c r="BI120" s="144"/>
      <c r="BJ120" s="144"/>
      <c r="BK120" s="144"/>
      <c r="BL120" s="144"/>
      <c r="BM120" s="144"/>
      <c r="BN120" s="144"/>
      <c r="BO120" s="144"/>
      <c r="BP120" s="144"/>
      <c r="BT120" s="55"/>
      <c r="BV120" s="55"/>
      <c r="CY120" s="144"/>
      <c r="CZ120" s="144"/>
      <c r="DA120" s="144"/>
      <c r="DC120" s="144"/>
      <c r="DD120" s="144"/>
      <c r="DF120" s="144"/>
      <c r="DG120" s="144"/>
      <c r="DI120" s="144"/>
      <c r="DJ120" s="144"/>
      <c r="DK120" s="144"/>
      <c r="DL120" s="144"/>
      <c r="DM120" s="144"/>
      <c r="DR120" s="1674"/>
      <c r="DS120" s="727"/>
      <c r="DT120" s="727"/>
      <c r="DU120" s="727"/>
      <c r="DV120" s="727"/>
      <c r="DW120" s="727"/>
      <c r="DX120" s="727"/>
      <c r="DZ120" s="827"/>
      <c r="EA120" s="818"/>
      <c r="EB120" s="818"/>
      <c r="EC120" s="818"/>
      <c r="ED120" s="818"/>
      <c r="EE120" s="818"/>
      <c r="EF120" s="818"/>
      <c r="EG120" s="818"/>
      <c r="EH120" s="818"/>
      <c r="EI120" s="818"/>
      <c r="EJ120" s="818"/>
      <c r="EK120" s="818"/>
      <c r="EL120" s="818"/>
      <c r="EM120" s="766"/>
      <c r="EN120" s="765"/>
      <c r="EO120" s="766"/>
      <c r="EP120" s="814"/>
      <c r="EQ120" s="815"/>
      <c r="ER120" s="713"/>
      <c r="ES120" s="1467"/>
      <c r="ET120" s="1468"/>
      <c r="EU120" s="747"/>
      <c r="EV120" s="768"/>
      <c r="EW120" s="768"/>
      <c r="EX120" s="768"/>
      <c r="EY120" s="768"/>
      <c r="EZ120" s="768"/>
      <c r="FA120" s="768"/>
      <c r="FB120" s="768"/>
      <c r="FF120" s="139"/>
      <c r="GF120" s="827"/>
      <c r="GG120" s="706"/>
      <c r="GH120" s="707"/>
      <c r="GI120" s="707"/>
      <c r="GJ120" s="707"/>
      <c r="GK120" s="707"/>
      <c r="GL120" s="707"/>
      <c r="GM120" s="707"/>
      <c r="GN120" s="707"/>
      <c r="GO120" s="707"/>
      <c r="GP120" s="707"/>
      <c r="GQ120" s="707"/>
      <c r="GR120" s="707"/>
      <c r="GS120" s="707"/>
      <c r="GT120" s="1337"/>
      <c r="GU120" s="1338"/>
      <c r="GV120" s="918"/>
      <c r="GW120" s="898"/>
      <c r="GX120" s="713"/>
      <c r="GY120" s="718"/>
      <c r="GZ120" s="719"/>
      <c r="HA120" s="747"/>
      <c r="HB120" s="892"/>
      <c r="HC120" s="893"/>
      <c r="HD120" s="894"/>
      <c r="HN120" s="241"/>
      <c r="HO120" s="144"/>
      <c r="HP120" s="144"/>
      <c r="HQ120" s="144"/>
      <c r="HR120" s="144"/>
      <c r="IE120" s="144"/>
      <c r="IF120" s="144"/>
      <c r="IG120" s="144"/>
      <c r="IH120" s="144"/>
      <c r="II120" s="144"/>
      <c r="IJ120" s="3"/>
      <c r="IK120" s="3"/>
      <c r="IR120" s="768"/>
      <c r="IS120" s="930"/>
      <c r="IT120" s="931"/>
      <c r="IU120" s="931"/>
      <c r="IV120" s="951"/>
      <c r="IW120" s="943"/>
      <c r="IX120" s="944"/>
      <c r="IY120" s="944"/>
      <c r="IZ120" s="944"/>
      <c r="JA120" s="944"/>
      <c r="JB120" s="944"/>
      <c r="JC120" s="944"/>
      <c r="JD120" s="944"/>
      <c r="JE120" s="1004"/>
      <c r="JF120" s="1022"/>
      <c r="JG120" s="1023"/>
      <c r="JH120" s="1023"/>
      <c r="JI120" s="1023"/>
      <c r="JJ120" s="1023"/>
      <c r="JK120" s="1023"/>
      <c r="JL120" s="1023"/>
      <c r="JM120" s="1024"/>
      <c r="JN120" s="768"/>
      <c r="JO120" s="768"/>
      <c r="JP120" s="768"/>
      <c r="JQ120" s="768"/>
      <c r="JR120" s="768"/>
      <c r="JS120" s="768"/>
      <c r="JU120" s="144"/>
      <c r="JV120" s="144"/>
      <c r="JW120" s="144"/>
      <c r="JX120" s="144"/>
      <c r="JY120" s="144"/>
      <c r="JZ120" s="144"/>
      <c r="KA120" s="144"/>
      <c r="KB120" s="144"/>
      <c r="KC120" s="144"/>
      <c r="KD120" s="144"/>
      <c r="KE120" s="144"/>
      <c r="KF120" s="144"/>
      <c r="KG120" s="144"/>
      <c r="KH120" s="144"/>
      <c r="KI120" s="144"/>
      <c r="KJ120" s="144"/>
      <c r="KK120" s="144"/>
      <c r="KL120" s="144"/>
      <c r="KM120" s="144"/>
      <c r="LJ120" s="144"/>
      <c r="LK120" s="144"/>
      <c r="LL120" s="144"/>
      <c r="LM120" s="144"/>
      <c r="LN120" s="144"/>
      <c r="LO120" s="144"/>
      <c r="LP120" s="144"/>
      <c r="LQ120" s="144"/>
      <c r="LT120" s="144"/>
      <c r="LU120" s="144"/>
      <c r="LV120" s="403"/>
      <c r="LW120" s="399"/>
      <c r="LX120" s="55"/>
      <c r="LY120" s="399"/>
      <c r="LZ120" s="827"/>
      <c r="MA120" s="943"/>
      <c r="MB120" s="944"/>
      <c r="MC120" s="944"/>
      <c r="MD120" s="944"/>
      <c r="ME120" s="944"/>
      <c r="MF120" s="944"/>
      <c r="MG120" s="944"/>
      <c r="MH120" s="944"/>
      <c r="MI120" s="944"/>
      <c r="MJ120" s="944"/>
      <c r="MK120" s="944"/>
      <c r="ML120" s="944"/>
      <c r="MM120" s="1004"/>
      <c r="MN120" s="1048"/>
      <c r="MO120" s="1004"/>
      <c r="MP120" s="851"/>
      <c r="MQ120" s="852"/>
      <c r="MR120" s="715"/>
      <c r="MS120" s="743"/>
      <c r="MT120" s="744"/>
      <c r="MU120" s="745"/>
      <c r="MV120" s="747"/>
      <c r="MW120" s="172"/>
      <c r="MX120" s="399"/>
      <c r="MY120" s="399"/>
      <c r="MZ120" s="399"/>
      <c r="NA120" s="399"/>
      <c r="NB120" s="399"/>
      <c r="NC120" s="399"/>
      <c r="ND120" s="399"/>
      <c r="NE120" s="399"/>
      <c r="NF120" s="399"/>
      <c r="NG120" s="399"/>
      <c r="NH120" s="399"/>
      <c r="NI120" s="55"/>
      <c r="NJ120" s="399"/>
      <c r="NK120" s="827"/>
      <c r="NL120" s="943"/>
      <c r="NM120" s="944"/>
      <c r="NN120" s="944"/>
      <c r="NO120" s="944"/>
      <c r="NP120" s="944"/>
      <c r="NQ120" s="944"/>
      <c r="NR120" s="944"/>
      <c r="NS120" s="944"/>
      <c r="NT120" s="944"/>
      <c r="NU120" s="944"/>
      <c r="NV120" s="944"/>
      <c r="NW120" s="944"/>
      <c r="NX120" s="1004"/>
      <c r="NY120" s="1048"/>
      <c r="NZ120" s="1004"/>
      <c r="OA120" s="851"/>
      <c r="OB120" s="852"/>
      <c r="OC120" s="1086"/>
      <c r="OD120" s="743"/>
      <c r="OE120" s="744"/>
      <c r="OF120" s="745"/>
      <c r="OG120" s="1086"/>
      <c r="OH120" s="399"/>
      <c r="OI120" s="399"/>
      <c r="OJ120" s="399"/>
      <c r="OK120" s="399"/>
      <c r="OL120" s="399"/>
      <c r="OM120" s="399"/>
      <c r="ON120" s="399"/>
      <c r="OO120" s="399"/>
      <c r="OP120" s="399"/>
      <c r="OQ120" s="399"/>
      <c r="OR120" s="399"/>
      <c r="OS120" s="400"/>
      <c r="OV120" s="144"/>
      <c r="OW120" s="144"/>
      <c r="OX120" s="144"/>
      <c r="OY120" s="144"/>
      <c r="OZ120" s="144"/>
      <c r="PA120" s="144"/>
      <c r="PJ120" s="826"/>
      <c r="PK120" s="503"/>
      <c r="PL120" s="948"/>
      <c r="PM120" s="965"/>
      <c r="PN120" s="700" t="s">
        <v>137</v>
      </c>
      <c r="PO120" s="701"/>
      <c r="PP120" s="701"/>
      <c r="PQ120" s="701"/>
      <c r="PR120" s="701"/>
      <c r="PS120" s="701"/>
      <c r="PT120" s="701"/>
      <c r="PU120" s="701"/>
      <c r="PV120" s="701"/>
      <c r="PW120" s="702"/>
      <c r="PX120" s="763">
        <f>PX76+PX99</f>
        <v>67.974229016955405</v>
      </c>
      <c r="PY120" s="764"/>
      <c r="PZ120" s="759" t="s">
        <v>3</v>
      </c>
      <c r="QA120" s="760"/>
      <c r="QB120" s="712"/>
      <c r="QC120" s="952" t="s">
        <v>1723</v>
      </c>
      <c r="QD120" s="1151"/>
      <c r="QE120" s="953"/>
      <c r="QF120" s="746"/>
      <c r="QG120" s="767"/>
      <c r="QH120" s="767"/>
      <c r="QI120" s="767"/>
      <c r="QJ120" s="767"/>
      <c r="QK120" s="767"/>
      <c r="QL120" s="767"/>
      <c r="QM120" s="767"/>
      <c r="XO120" s="825"/>
      <c r="XP120" s="665" t="s">
        <v>442</v>
      </c>
      <c r="XQ120" s="666"/>
      <c r="XR120" s="156"/>
      <c r="XS120" s="87"/>
      <c r="XT120" s="87"/>
      <c r="XU120" s="87"/>
      <c r="XV120" s="87"/>
      <c r="XW120" s="87"/>
      <c r="XX120" s="87"/>
      <c r="XY120" s="156"/>
      <c r="XZ120" s="85" t="s">
        <v>467</v>
      </c>
      <c r="YA120" s="757" t="s">
        <v>461</v>
      </c>
      <c r="YB120" s="758"/>
      <c r="YC120" s="819" t="s">
        <v>126</v>
      </c>
      <c r="YD120" s="820"/>
      <c r="YE120" s="675" t="s">
        <v>731</v>
      </c>
      <c r="YF120" s="1094"/>
      <c r="YG120" s="769" t="s">
        <v>473</v>
      </c>
      <c r="YH120" s="769"/>
      <c r="YI120" s="769"/>
      <c r="YJ120" s="769"/>
      <c r="YK120" s="769"/>
      <c r="YL120" s="769" t="s">
        <v>462</v>
      </c>
      <c r="YM120" s="769"/>
      <c r="YN120" s="769"/>
      <c r="YO120" s="769"/>
      <c r="YP120" s="769"/>
      <c r="YQ120" s="769"/>
      <c r="YY120" s="144"/>
      <c r="YZ120" s="144"/>
      <c r="ZA120" s="144"/>
      <c r="ZB120" s="144"/>
      <c r="ZC120" s="144"/>
      <c r="ZD120" s="144"/>
      <c r="ZE120" s="144"/>
      <c r="ZF120" s="144"/>
      <c r="ZG120" s="144"/>
      <c r="ZH120" s="144"/>
      <c r="AAD120" s="947"/>
      <c r="AAE120" s="947"/>
      <c r="AAF120" s="947"/>
      <c r="AAG120" s="947"/>
      <c r="AAH120" s="535">
        <v>47</v>
      </c>
      <c r="AAI120" s="956"/>
      <c r="AAJ120" s="957"/>
      <c r="AAK120" s="958">
        <f t="shared" si="59"/>
        <v>0.62666666666666671</v>
      </c>
      <c r="AAL120" s="959"/>
      <c r="AAN120" s="947"/>
      <c r="AAO120" s="947"/>
      <c r="AAP120" s="947"/>
      <c r="AAQ120" s="947"/>
      <c r="AAR120" s="535">
        <v>107</v>
      </c>
      <c r="AAS120" s="956"/>
      <c r="AAT120" s="957"/>
      <c r="AAU120" s="958">
        <f t="shared" si="60"/>
        <v>1.4266666666666667</v>
      </c>
      <c r="AAV120" s="959"/>
      <c r="AAX120" s="947"/>
      <c r="AAY120" s="947"/>
      <c r="AAZ120" s="947"/>
      <c r="ABA120" s="947"/>
      <c r="ABB120" s="535">
        <v>167</v>
      </c>
      <c r="ABC120" s="956"/>
      <c r="ABD120" s="957"/>
      <c r="ABE120" s="958">
        <f t="shared" si="61"/>
        <v>2.226666666666667</v>
      </c>
      <c r="ABF120" s="959"/>
      <c r="ABH120" s="947"/>
      <c r="ABI120" s="947"/>
      <c r="ABJ120" s="947"/>
      <c r="ABK120" s="947"/>
      <c r="ABL120" s="537">
        <v>227</v>
      </c>
      <c r="ABM120" s="956"/>
      <c r="ABN120" s="957"/>
      <c r="ABO120" s="958">
        <f t="shared" si="62"/>
        <v>3.0266666666666668</v>
      </c>
      <c r="ABP120" s="959"/>
      <c r="ABR120" s="947"/>
      <c r="ABS120" s="947"/>
      <c r="ABT120" s="947"/>
      <c r="ABU120" s="947"/>
      <c r="ABV120" s="537">
        <v>287</v>
      </c>
      <c r="ABW120" s="956"/>
      <c r="ABX120" s="957"/>
      <c r="ABY120" s="958">
        <f t="shared" si="63"/>
        <v>3.8266666666666671</v>
      </c>
      <c r="ABZ120" s="959"/>
      <c r="ADB120" s="1033">
        <v>31</v>
      </c>
      <c r="ADC120" s="1033"/>
      <c r="ADD120" s="696" t="s">
        <v>1593</v>
      </c>
      <c r="ADE120" s="720"/>
      <c r="ADF120" s="720"/>
      <c r="ADG120" s="697"/>
      <c r="ADH120" s="884">
        <f>$MN$23</f>
        <v>0.18554623176557763</v>
      </c>
      <c r="ADI120" s="884"/>
      <c r="ADJ120" s="1032" t="s">
        <v>415</v>
      </c>
      <c r="ADK120" s="1032"/>
      <c r="ADL120" s="1033"/>
      <c r="ADM120" s="1033"/>
      <c r="ADN120" s="1033"/>
      <c r="ADO120" s="1033"/>
      <c r="ADP120" s="1033"/>
      <c r="ADQ120" s="1033"/>
      <c r="ADR120" s="1033"/>
      <c r="ADS120" s="1033"/>
      <c r="ADT120" s="1033"/>
      <c r="ADU120" s="1033"/>
      <c r="ADV120" s="1033"/>
      <c r="ADW120" s="1033"/>
      <c r="ADX120" s="857"/>
      <c r="ADY120" s="1015"/>
      <c r="ADZ120" s="1015"/>
      <c r="AEA120" s="1015"/>
      <c r="AEB120" s="1015"/>
      <c r="AEC120" s="1015"/>
      <c r="AED120" s="1015"/>
      <c r="AEE120" s="1015"/>
      <c r="AEF120" s="1015"/>
      <c r="AEG120" s="858"/>
      <c r="AEH120" s="172"/>
      <c r="AEI120" s="172"/>
      <c r="AEJ120" s="172"/>
      <c r="AEK120" s="177"/>
      <c r="AIM120" s="798"/>
      <c r="AIN120" s="799"/>
      <c r="AIO120" s="800"/>
      <c r="AIP120" s="827"/>
      <c r="AIQ120" s="818"/>
      <c r="AIR120" s="818"/>
      <c r="AIS120" s="818"/>
      <c r="AIT120" s="818"/>
      <c r="AIU120" s="818"/>
      <c r="AIV120" s="818"/>
      <c r="AIW120" s="818"/>
      <c r="AIX120" s="818"/>
      <c r="AIY120" s="818"/>
      <c r="AIZ120" s="818"/>
      <c r="AJA120" s="818"/>
      <c r="AJB120" s="818"/>
      <c r="AJC120" s="818"/>
      <c r="AJD120" s="1172"/>
      <c r="AJE120" s="1173"/>
      <c r="AJF120" s="706"/>
      <c r="AJG120" s="708"/>
      <c r="AJH120" s="713"/>
      <c r="AJI120" s="743"/>
      <c r="AJJ120" s="745"/>
      <c r="AJK120" s="747"/>
    </row>
    <row r="121" spans="60:948" ht="48" customHeight="1" thickBot="1">
      <c r="BM121" s="144"/>
      <c r="BN121" s="144"/>
      <c r="BO121" s="144"/>
      <c r="BP121" s="144"/>
      <c r="BT121" s="55"/>
      <c r="BV121" s="55"/>
      <c r="BX121" s="792" t="s">
        <v>1014</v>
      </c>
      <c r="BY121" s="793"/>
      <c r="BZ121" s="794"/>
      <c r="CA121" s="825"/>
      <c r="CB121" s="665" t="s">
        <v>442</v>
      </c>
      <c r="CC121" s="666"/>
      <c r="CD121" s="146"/>
      <c r="CE121" s="87"/>
      <c r="CF121" s="87"/>
      <c r="CG121" s="87"/>
      <c r="CH121" s="87"/>
      <c r="CI121" s="87"/>
      <c r="CJ121" s="87"/>
      <c r="CK121" s="146"/>
      <c r="CL121" s="85" t="s">
        <v>467</v>
      </c>
      <c r="CM121" s="757" t="s">
        <v>461</v>
      </c>
      <c r="CN121" s="758"/>
      <c r="CO121" s="819" t="s">
        <v>126</v>
      </c>
      <c r="CP121" s="820"/>
      <c r="CQ121" s="675" t="s">
        <v>731</v>
      </c>
      <c r="CR121" s="676"/>
      <c r="CS121" s="821" t="s">
        <v>473</v>
      </c>
      <c r="CT121" s="822"/>
      <c r="CU121" s="822"/>
      <c r="CV121" s="823"/>
      <c r="CY121" s="144"/>
      <c r="CZ121" s="144"/>
      <c r="DA121" s="144"/>
      <c r="DC121" s="144"/>
      <c r="DD121" s="144"/>
      <c r="DF121" s="144"/>
      <c r="DG121" s="144"/>
      <c r="DI121" s="144"/>
      <c r="DJ121" s="144"/>
      <c r="DK121" s="144"/>
      <c r="DL121" s="144"/>
      <c r="DP121" s="144"/>
      <c r="DQ121" s="144"/>
      <c r="DR121" s="144"/>
      <c r="DS121" s="144"/>
      <c r="DT121" s="144"/>
      <c r="DU121" s="144"/>
      <c r="DV121" s="144"/>
      <c r="DW121" s="144"/>
      <c r="DX121" s="144"/>
      <c r="DY121" s="144"/>
      <c r="FF121" s="139"/>
      <c r="HI121" s="144"/>
      <c r="HJ121" s="144"/>
      <c r="HK121" s="144"/>
      <c r="HL121" s="144"/>
      <c r="HM121" s="144"/>
      <c r="HN121" s="241"/>
      <c r="HO121" s="144"/>
      <c r="HP121" s="144"/>
      <c r="HQ121" s="144"/>
      <c r="HR121" s="144"/>
      <c r="IE121" s="144"/>
      <c r="IF121" s="144"/>
      <c r="IG121" s="144"/>
      <c r="IH121" s="144"/>
      <c r="II121" s="144"/>
      <c r="IJ121" s="3"/>
      <c r="IK121" s="3"/>
      <c r="JU121" s="144"/>
      <c r="JV121" s="144"/>
      <c r="JW121" s="144"/>
      <c r="JX121" s="144"/>
      <c r="JY121" s="144"/>
      <c r="JZ121" s="144"/>
      <c r="KA121" s="144"/>
      <c r="KB121" s="144"/>
      <c r="KC121" s="144"/>
      <c r="KD121" s="144"/>
      <c r="KE121" s="144"/>
      <c r="KF121" s="144"/>
      <c r="KG121" s="144"/>
      <c r="KH121" s="144"/>
      <c r="KI121" s="144"/>
      <c r="KJ121" s="144"/>
      <c r="KK121" s="144"/>
      <c r="KL121" s="144"/>
      <c r="KM121" s="144"/>
      <c r="LJ121" s="144"/>
      <c r="LK121" s="144"/>
      <c r="LL121" s="144"/>
      <c r="LM121" s="144"/>
      <c r="LN121" s="144"/>
      <c r="LO121" s="144"/>
      <c r="LP121" s="144"/>
      <c r="LQ121" s="144"/>
      <c r="LT121" s="144"/>
      <c r="LU121" s="144"/>
      <c r="LV121" s="403"/>
      <c r="LW121" s="399"/>
      <c r="LX121" s="55"/>
      <c r="LY121" s="399"/>
      <c r="LZ121" s="399"/>
      <c r="MA121" s="399"/>
      <c r="MB121" s="399"/>
      <c r="MC121" s="399"/>
      <c r="MD121" s="399"/>
      <c r="ME121" s="399"/>
      <c r="MF121" s="399"/>
      <c r="MG121" s="399"/>
      <c r="MH121" s="399"/>
      <c r="MI121" s="399"/>
      <c r="MJ121" s="399"/>
      <c r="MK121" s="399"/>
      <c r="ML121" s="399"/>
      <c r="MM121" s="399"/>
      <c r="MN121" s="399"/>
      <c r="MO121" s="399"/>
      <c r="MP121" s="399"/>
      <c r="MQ121" s="399"/>
      <c r="MR121" s="399"/>
      <c r="MS121" s="399"/>
      <c r="MT121" s="399"/>
      <c r="MU121" s="399"/>
      <c r="MV121" s="399"/>
      <c r="MW121" s="179"/>
      <c r="MX121" s="399"/>
      <c r="MY121" s="399"/>
      <c r="MZ121" s="399"/>
      <c r="NA121" s="399"/>
      <c r="NB121" s="399"/>
      <c r="NC121" s="399"/>
      <c r="ND121" s="399"/>
      <c r="NE121" s="399"/>
      <c r="NF121" s="399"/>
      <c r="NG121" s="399"/>
      <c r="NH121" s="399"/>
      <c r="NI121" s="55"/>
      <c r="NJ121" s="399"/>
      <c r="NK121" s="399"/>
      <c r="NL121" s="399"/>
      <c r="NM121" s="399"/>
      <c r="NN121" s="399"/>
      <c r="NO121" s="399"/>
      <c r="NP121" s="399"/>
      <c r="NQ121" s="399"/>
      <c r="NR121" s="399"/>
      <c r="NS121" s="399"/>
      <c r="NT121" s="399"/>
      <c r="NU121" s="399"/>
      <c r="NV121" s="399"/>
      <c r="NW121" s="399"/>
      <c r="NX121" s="399"/>
      <c r="NY121" s="399"/>
      <c r="NZ121" s="399"/>
      <c r="OA121" s="399"/>
      <c r="OB121" s="399"/>
      <c r="OC121" s="399"/>
      <c r="OD121" s="399"/>
      <c r="OE121" s="399"/>
      <c r="OF121" s="399"/>
      <c r="OG121" s="399"/>
      <c r="OH121" s="399"/>
      <c r="OI121" s="399"/>
      <c r="OJ121" s="399"/>
      <c r="OK121" s="399"/>
      <c r="OL121" s="399"/>
      <c r="OM121" s="399"/>
      <c r="ON121" s="399"/>
      <c r="OO121" s="399"/>
      <c r="OP121" s="399"/>
      <c r="OQ121" s="399"/>
      <c r="OR121" s="399"/>
      <c r="OS121" s="400"/>
      <c r="OV121" s="144"/>
      <c r="OW121" s="144"/>
      <c r="OX121" s="144"/>
      <c r="OY121" s="144"/>
      <c r="OZ121" s="144"/>
      <c r="PA121" s="144"/>
      <c r="PB121" s="144"/>
      <c r="PC121" s="144"/>
      <c r="PD121" s="144"/>
      <c r="PE121" s="144"/>
      <c r="PF121" s="144"/>
      <c r="PJ121" s="827"/>
      <c r="PK121" s="505"/>
      <c r="PL121" s="963"/>
      <c r="PM121" s="964"/>
      <c r="PN121" s="706"/>
      <c r="PO121" s="707"/>
      <c r="PP121" s="707"/>
      <c r="PQ121" s="707"/>
      <c r="PR121" s="707"/>
      <c r="PS121" s="707"/>
      <c r="PT121" s="707"/>
      <c r="PU121" s="707"/>
      <c r="PV121" s="707"/>
      <c r="PW121" s="708"/>
      <c r="PX121" s="765"/>
      <c r="PY121" s="766"/>
      <c r="PZ121" s="761"/>
      <c r="QA121" s="762"/>
      <c r="QB121" s="713"/>
      <c r="QC121" s="954"/>
      <c r="QD121" s="1152"/>
      <c r="QE121" s="955"/>
      <c r="QF121" s="747"/>
      <c r="QG121" s="768"/>
      <c r="QH121" s="768"/>
      <c r="QI121" s="768"/>
      <c r="QJ121" s="768"/>
      <c r="QK121" s="768"/>
      <c r="QL121" s="768"/>
      <c r="QM121" s="768"/>
      <c r="XO121" s="826"/>
      <c r="XP121" s="844" t="s">
        <v>1472</v>
      </c>
      <c r="XQ121" s="845"/>
      <c r="XR121" s="884">
        <f>$MN$229</f>
        <v>0.96983668719546179</v>
      </c>
      <c r="XS121" s="884"/>
      <c r="XT121" s="940" t="s">
        <v>148</v>
      </c>
      <c r="XU121" s="940"/>
      <c r="XV121" s="940"/>
      <c r="XW121" s="940"/>
      <c r="XX121" s="940"/>
      <c r="XY121" s="940"/>
      <c r="XZ121" s="940"/>
      <c r="YA121" s="940"/>
      <c r="YB121" s="1003"/>
      <c r="YC121" s="763">
        <f>MN229*YC114</f>
        <v>0.94379173500186275</v>
      </c>
      <c r="YD121" s="764"/>
      <c r="YE121" s="895" t="s">
        <v>415</v>
      </c>
      <c r="YF121" s="896"/>
      <c r="YG121" s="1085"/>
      <c r="YH121" s="993" t="s">
        <v>1551</v>
      </c>
      <c r="YI121" s="993"/>
      <c r="YJ121" s="993"/>
      <c r="YK121" s="1085"/>
      <c r="YL121" s="767"/>
      <c r="YM121" s="767"/>
      <c r="YN121" s="767"/>
      <c r="YO121" s="767"/>
      <c r="YP121" s="767"/>
      <c r="YQ121" s="767"/>
      <c r="YY121" s="144"/>
      <c r="YZ121" s="144"/>
      <c r="ZA121" s="144"/>
      <c r="ZB121" s="144"/>
      <c r="ZC121" s="144"/>
      <c r="ZD121" s="144"/>
      <c r="ZE121" s="144"/>
      <c r="ZF121" s="144"/>
      <c r="ZG121" s="144"/>
      <c r="ZH121" s="144"/>
      <c r="ZI121" s="144"/>
      <c r="ZJ121" s="144"/>
      <c r="ZK121" s="144"/>
      <c r="AAD121" s="947"/>
      <c r="AAE121" s="947"/>
      <c r="AAF121" s="947"/>
      <c r="AAG121" s="947"/>
      <c r="AAH121" s="535">
        <v>48</v>
      </c>
      <c r="AAI121" s="956"/>
      <c r="AAJ121" s="957"/>
      <c r="AAK121" s="958">
        <f t="shared" si="59"/>
        <v>0.64</v>
      </c>
      <c r="AAL121" s="959"/>
      <c r="AAN121" s="947"/>
      <c r="AAO121" s="947"/>
      <c r="AAP121" s="947"/>
      <c r="AAQ121" s="947"/>
      <c r="AAR121" s="535">
        <v>108</v>
      </c>
      <c r="AAS121" s="956"/>
      <c r="AAT121" s="957"/>
      <c r="AAU121" s="958">
        <f t="shared" si="60"/>
        <v>1.4400000000000002</v>
      </c>
      <c r="AAV121" s="959"/>
      <c r="AAX121" s="947"/>
      <c r="AAY121" s="947"/>
      <c r="AAZ121" s="947"/>
      <c r="ABA121" s="947"/>
      <c r="ABB121" s="535">
        <v>168</v>
      </c>
      <c r="ABC121" s="956"/>
      <c r="ABD121" s="957"/>
      <c r="ABE121" s="958">
        <f t="shared" si="61"/>
        <v>2.2400000000000002</v>
      </c>
      <c r="ABF121" s="959"/>
      <c r="ABH121" s="947"/>
      <c r="ABI121" s="947"/>
      <c r="ABJ121" s="947"/>
      <c r="ABK121" s="947"/>
      <c r="ABL121" s="537">
        <v>228</v>
      </c>
      <c r="ABM121" s="956"/>
      <c r="ABN121" s="957"/>
      <c r="ABO121" s="958">
        <f t="shared" si="62"/>
        <v>3.04</v>
      </c>
      <c r="ABP121" s="959"/>
      <c r="ABR121" s="947"/>
      <c r="ABS121" s="947"/>
      <c r="ABT121" s="947"/>
      <c r="ABU121" s="947"/>
      <c r="ABV121" s="537">
        <v>288</v>
      </c>
      <c r="ABW121" s="956"/>
      <c r="ABX121" s="957"/>
      <c r="ABY121" s="958">
        <f t="shared" si="63"/>
        <v>3.8400000000000003</v>
      </c>
      <c r="ABZ121" s="959"/>
      <c r="ADB121" s="1033"/>
      <c r="ADC121" s="1033"/>
      <c r="ADD121" s="192"/>
      <c r="ADE121" s="187"/>
      <c r="ADF121" s="187"/>
      <c r="ADG121" s="187"/>
      <c r="ADH121" s="187"/>
      <c r="ADI121" s="188"/>
      <c r="ADJ121" s="1032"/>
      <c r="ADK121" s="1032"/>
      <c r="ADL121" s="1033"/>
      <c r="ADM121" s="1033"/>
      <c r="ADN121" s="1033"/>
      <c r="ADO121" s="1033"/>
      <c r="ADP121" s="1033"/>
      <c r="ADQ121" s="1033"/>
      <c r="ADR121" s="1033"/>
      <c r="ADS121" s="1033"/>
      <c r="ADT121" s="1033"/>
      <c r="ADU121" s="1033"/>
      <c r="ADV121" s="1033"/>
      <c r="ADW121" s="1033"/>
      <c r="ADX121" s="859"/>
      <c r="ADY121" s="1016"/>
      <c r="ADZ121" s="1016"/>
      <c r="AEA121" s="1016"/>
      <c r="AEB121" s="1016"/>
      <c r="AEC121" s="1016"/>
      <c r="AED121" s="1016"/>
      <c r="AEE121" s="1016"/>
      <c r="AEF121" s="1016"/>
      <c r="AEG121" s="860"/>
      <c r="AEH121" s="172"/>
      <c r="AEI121" s="172"/>
      <c r="AEJ121" s="172"/>
      <c r="AEK121" s="177"/>
      <c r="AIO121" s="216"/>
      <c r="AIP121" s="665" t="s">
        <v>952</v>
      </c>
      <c r="AIQ121" s="667"/>
      <c r="AIR121" s="216"/>
      <c r="AIS121" s="728" t="s">
        <v>960</v>
      </c>
      <c r="AIT121" s="1053"/>
      <c r="AIU121" s="1053"/>
      <c r="AIV121" s="1053"/>
      <c r="AIW121" s="1053"/>
      <c r="AIX121" s="1053"/>
      <c r="AIY121" s="1053"/>
      <c r="AIZ121" s="1053"/>
      <c r="AJA121" s="1053"/>
      <c r="AJB121" s="1053"/>
      <c r="AJC121" s="1054"/>
      <c r="AJD121" s="216"/>
    </row>
    <row r="122" spans="60:948" ht="48" customHeight="1" thickBot="1">
      <c r="BM122" s="144"/>
      <c r="BN122" s="144"/>
      <c r="BO122" s="144"/>
      <c r="BP122" s="144"/>
      <c r="BT122" s="55"/>
      <c r="BV122" s="55"/>
      <c r="BX122" s="795"/>
      <c r="BY122" s="796"/>
      <c r="BZ122" s="797"/>
      <c r="CA122" s="826"/>
      <c r="CB122" s="1488" t="s">
        <v>800</v>
      </c>
      <c r="CC122" s="732"/>
      <c r="CD122" s="732"/>
      <c r="CE122" s="732"/>
      <c r="CF122" s="732"/>
      <c r="CG122" s="732"/>
      <c r="CH122" s="732"/>
      <c r="CI122" s="732"/>
      <c r="CJ122" s="732"/>
      <c r="CK122" s="732"/>
      <c r="CL122" s="732"/>
      <c r="CM122" s="732"/>
      <c r="CN122" s="733"/>
      <c r="CO122" s="808">
        <v>6</v>
      </c>
      <c r="CP122" s="809"/>
      <c r="CQ122" s="849" t="s">
        <v>758</v>
      </c>
      <c r="CR122" s="850"/>
      <c r="CS122" s="712"/>
      <c r="CT122" s="740" t="s">
        <v>804</v>
      </c>
      <c r="CU122" s="742"/>
      <c r="CV122" s="746"/>
      <c r="CY122" s="144"/>
      <c r="CZ122" s="144"/>
      <c r="DA122" s="144"/>
      <c r="DC122" s="144"/>
      <c r="DP122" s="144"/>
      <c r="DQ122" s="144"/>
      <c r="DR122" s="144"/>
      <c r="DS122" s="144"/>
      <c r="DT122" s="144"/>
      <c r="DU122" s="144"/>
      <c r="DV122" s="144"/>
      <c r="DW122" s="144"/>
      <c r="DX122" s="144"/>
      <c r="DY122" s="144"/>
      <c r="DZ122" s="825"/>
      <c r="EA122" s="665" t="s">
        <v>442</v>
      </c>
      <c r="EB122" s="666"/>
      <c r="EC122" s="152"/>
      <c r="ED122" s="87"/>
      <c r="EE122" s="87"/>
      <c r="EF122" s="87"/>
      <c r="EG122" s="87"/>
      <c r="EH122" s="87"/>
      <c r="EI122" s="87"/>
      <c r="EJ122" s="152"/>
      <c r="EK122" s="85" t="s">
        <v>467</v>
      </c>
      <c r="EL122" s="757" t="s">
        <v>461</v>
      </c>
      <c r="EM122" s="758"/>
      <c r="EN122" s="819" t="s">
        <v>126</v>
      </c>
      <c r="EO122" s="820"/>
      <c r="EP122" s="675" t="s">
        <v>731</v>
      </c>
      <c r="EQ122" s="676"/>
      <c r="ER122" s="821" t="s">
        <v>473</v>
      </c>
      <c r="ES122" s="822"/>
      <c r="ET122" s="822"/>
      <c r="EU122" s="823"/>
      <c r="EV122" s="769" t="s">
        <v>462</v>
      </c>
      <c r="EW122" s="769"/>
      <c r="EX122" s="769"/>
      <c r="EY122" s="769"/>
      <c r="EZ122" s="769"/>
      <c r="FA122" s="769"/>
      <c r="FB122" s="769"/>
      <c r="FF122" s="139"/>
      <c r="GF122" s="825"/>
      <c r="GG122" s="665" t="s">
        <v>442</v>
      </c>
      <c r="GH122" s="667"/>
      <c r="GI122" s="152"/>
      <c r="GJ122" s="87"/>
      <c r="GK122" s="87"/>
      <c r="GL122" s="87"/>
      <c r="GM122" s="87"/>
      <c r="GN122" s="87"/>
      <c r="GO122" s="87"/>
      <c r="GP122" s="152"/>
      <c r="GQ122" s="85" t="s">
        <v>467</v>
      </c>
      <c r="GR122" s="757" t="s">
        <v>461</v>
      </c>
      <c r="GS122" s="899"/>
      <c r="GT122" s="1130" t="s">
        <v>126</v>
      </c>
      <c r="GU122" s="1131"/>
      <c r="GV122" s="675" t="s">
        <v>731</v>
      </c>
      <c r="GW122" s="676"/>
      <c r="GX122" s="821" t="s">
        <v>473</v>
      </c>
      <c r="GY122" s="822"/>
      <c r="GZ122" s="822"/>
      <c r="HA122" s="823"/>
      <c r="HB122" s="769" t="s">
        <v>462</v>
      </c>
      <c r="HC122" s="769"/>
      <c r="HD122" s="769"/>
      <c r="HE122" s="769"/>
      <c r="HI122" s="144"/>
      <c r="HJ122" s="144"/>
      <c r="HK122" s="144"/>
      <c r="HL122" s="144"/>
      <c r="HM122" s="144"/>
      <c r="HN122" s="241"/>
      <c r="HO122" s="144"/>
      <c r="HP122" s="144"/>
      <c r="HQ122" s="144"/>
      <c r="HR122" s="144"/>
      <c r="IE122" s="144"/>
      <c r="IF122" s="144"/>
      <c r="IG122" s="144"/>
      <c r="IH122" s="144"/>
      <c r="II122" s="144"/>
      <c r="IJ122" s="3"/>
      <c r="IK122" s="3"/>
      <c r="IT122" s="202"/>
      <c r="IU122" s="665" t="s">
        <v>883</v>
      </c>
      <c r="IV122" s="667"/>
      <c r="IW122" s="202"/>
      <c r="IX122" s="685" t="s">
        <v>75</v>
      </c>
      <c r="IY122" s="686"/>
      <c r="IZ122" s="686"/>
      <c r="JA122" s="686"/>
      <c r="JB122" s="686"/>
      <c r="JC122" s="686"/>
      <c r="JD122" s="686"/>
      <c r="JE122" s="686"/>
      <c r="JF122" s="686"/>
      <c r="JG122" s="686"/>
      <c r="JH122" s="687"/>
      <c r="JI122" s="202"/>
      <c r="JU122" s="144"/>
      <c r="JV122" s="144"/>
      <c r="JW122" s="144"/>
      <c r="JX122" s="144"/>
      <c r="JY122" s="144"/>
      <c r="JZ122" s="144"/>
      <c r="KA122" s="144"/>
      <c r="KB122" s="144"/>
      <c r="KC122" s="144"/>
      <c r="KD122" s="144"/>
      <c r="KE122" s="144"/>
      <c r="KF122" s="144"/>
      <c r="KG122" s="144"/>
      <c r="KH122" s="144"/>
      <c r="KI122" s="144"/>
      <c r="KJ122" s="144"/>
      <c r="KK122" s="144"/>
      <c r="KL122" s="144"/>
      <c r="KM122" s="144"/>
      <c r="LJ122" s="144"/>
      <c r="LK122" s="144"/>
      <c r="LL122" s="144"/>
      <c r="LM122" s="144"/>
      <c r="LN122" s="144"/>
      <c r="LO122" s="144"/>
      <c r="LP122" s="144"/>
      <c r="LQ122" s="144"/>
      <c r="LV122" s="403"/>
      <c r="LW122" s="399"/>
      <c r="LX122" s="55"/>
      <c r="LY122" s="409" t="s">
        <v>1429</v>
      </c>
      <c r="LZ122" s="214" t="s">
        <v>899</v>
      </c>
      <c r="MA122" s="147" t="s">
        <v>442</v>
      </c>
      <c r="MB122" s="148"/>
      <c r="MC122" s="397"/>
      <c r="MD122" s="87"/>
      <c r="ME122" s="87"/>
      <c r="MF122" s="87"/>
      <c r="MG122" s="87"/>
      <c r="MH122" s="87"/>
      <c r="MI122" s="87"/>
      <c r="MJ122" s="397"/>
      <c r="MK122" s="85" t="s">
        <v>467</v>
      </c>
      <c r="ML122" s="757" t="s">
        <v>461</v>
      </c>
      <c r="MM122" s="758"/>
      <c r="MN122" s="819" t="s">
        <v>126</v>
      </c>
      <c r="MO122" s="820"/>
      <c r="MP122" s="675" t="s">
        <v>731</v>
      </c>
      <c r="MQ122" s="676"/>
      <c r="MR122" s="821" t="s">
        <v>473</v>
      </c>
      <c r="MS122" s="822"/>
      <c r="MT122" s="822"/>
      <c r="MU122" s="822"/>
      <c r="MV122" s="823"/>
      <c r="MW122" s="1626" t="s">
        <v>1424</v>
      </c>
      <c r="MX122" s="1627"/>
      <c r="MY122" s="1627"/>
      <c r="MZ122" s="1628"/>
      <c r="NA122" s="769" t="s">
        <v>462</v>
      </c>
      <c r="NB122" s="769"/>
      <c r="NC122" s="769"/>
      <c r="ND122" s="769"/>
      <c r="NE122" s="769"/>
      <c r="NF122" s="769"/>
      <c r="NG122" s="769"/>
      <c r="NH122" s="399"/>
      <c r="NI122" s="55"/>
      <c r="NJ122" s="409" t="s">
        <v>1429</v>
      </c>
      <c r="NK122" s="214" t="s">
        <v>899</v>
      </c>
      <c r="NL122" s="147" t="s">
        <v>442</v>
      </c>
      <c r="NM122" s="148"/>
      <c r="NN122" s="397"/>
      <c r="NO122" s="87"/>
      <c r="NP122" s="87"/>
      <c r="NQ122" s="87"/>
      <c r="NR122" s="87"/>
      <c r="NS122" s="87"/>
      <c r="NT122" s="87"/>
      <c r="NU122" s="397"/>
      <c r="NV122" s="85" t="s">
        <v>467</v>
      </c>
      <c r="NW122" s="757" t="s">
        <v>461</v>
      </c>
      <c r="NX122" s="758"/>
      <c r="NY122" s="1130" t="s">
        <v>126</v>
      </c>
      <c r="NZ122" s="1131"/>
      <c r="OA122" s="675" t="s">
        <v>731</v>
      </c>
      <c r="OB122" s="676"/>
      <c r="OC122" s="821" t="s">
        <v>473</v>
      </c>
      <c r="OD122" s="822"/>
      <c r="OE122" s="822"/>
      <c r="OF122" s="822"/>
      <c r="OG122" s="823"/>
      <c r="OH122" s="1626" t="s">
        <v>1424</v>
      </c>
      <c r="OI122" s="1627"/>
      <c r="OJ122" s="1627"/>
      <c r="OK122" s="1628"/>
      <c r="OL122" s="821" t="s">
        <v>462</v>
      </c>
      <c r="OM122" s="822"/>
      <c r="ON122" s="822"/>
      <c r="OO122" s="822"/>
      <c r="OP122" s="822"/>
      <c r="OQ122" s="823"/>
      <c r="OR122" s="399"/>
      <c r="OS122" s="400"/>
      <c r="OV122" s="144"/>
      <c r="OW122" s="144"/>
      <c r="OX122" s="144"/>
      <c r="OY122" s="144"/>
      <c r="OZ122" s="144"/>
      <c r="PA122" s="144"/>
      <c r="PB122" s="144"/>
      <c r="PC122" s="144"/>
      <c r="PD122" s="144"/>
      <c r="PE122" s="144"/>
      <c r="PF122" s="144"/>
      <c r="XO122" s="827"/>
      <c r="XP122" s="949" t="s">
        <v>1619</v>
      </c>
      <c r="XQ122" s="962"/>
      <c r="XR122" s="963">
        <f>$YC$114</f>
        <v>0.97314501241552853</v>
      </c>
      <c r="XS122" s="964"/>
      <c r="XT122" s="944"/>
      <c r="XU122" s="944"/>
      <c r="XV122" s="944"/>
      <c r="XW122" s="944"/>
      <c r="XX122" s="944"/>
      <c r="XY122" s="944"/>
      <c r="XZ122" s="944"/>
      <c r="YA122" s="944"/>
      <c r="YB122" s="1004"/>
      <c r="YC122" s="765"/>
      <c r="YD122" s="766"/>
      <c r="YE122" s="897"/>
      <c r="YF122" s="898"/>
      <c r="YG122" s="1086"/>
      <c r="YH122" s="994"/>
      <c r="YI122" s="994"/>
      <c r="YJ122" s="994"/>
      <c r="YK122" s="1086"/>
      <c r="YL122" s="768"/>
      <c r="YM122" s="768"/>
      <c r="YN122" s="768"/>
      <c r="YO122" s="768"/>
      <c r="YP122" s="768"/>
      <c r="YQ122" s="768"/>
      <c r="YY122" s="144"/>
      <c r="YZ122" s="144"/>
      <c r="ZA122" s="144"/>
      <c r="ZB122" s="144"/>
      <c r="ZC122" s="144"/>
      <c r="ZD122" s="144"/>
      <c r="ZE122" s="144"/>
      <c r="ZF122" s="144"/>
      <c r="ZG122" s="144"/>
      <c r="ZH122" s="144"/>
      <c r="ZI122" s="144"/>
      <c r="ZJ122" s="144"/>
      <c r="ZK122" s="144"/>
      <c r="AAD122" s="947"/>
      <c r="AAE122" s="947"/>
      <c r="AAF122" s="947"/>
      <c r="AAG122" s="947"/>
      <c r="AAH122" s="535">
        <v>49</v>
      </c>
      <c r="AAI122" s="956"/>
      <c r="AAJ122" s="957"/>
      <c r="AAK122" s="958">
        <f t="shared" si="59"/>
        <v>0.65333333333333332</v>
      </c>
      <c r="AAL122" s="959"/>
      <c r="AAN122" s="947"/>
      <c r="AAO122" s="947"/>
      <c r="AAP122" s="947"/>
      <c r="AAQ122" s="947"/>
      <c r="AAR122" s="535">
        <v>109</v>
      </c>
      <c r="AAS122" s="956"/>
      <c r="AAT122" s="957"/>
      <c r="AAU122" s="958">
        <f t="shared" si="60"/>
        <v>1.4533333333333334</v>
      </c>
      <c r="AAV122" s="959"/>
      <c r="AAX122" s="947"/>
      <c r="AAY122" s="947"/>
      <c r="AAZ122" s="947"/>
      <c r="ABA122" s="947"/>
      <c r="ABB122" s="535">
        <v>169</v>
      </c>
      <c r="ABC122" s="956"/>
      <c r="ABD122" s="957"/>
      <c r="ABE122" s="958">
        <f t="shared" si="61"/>
        <v>2.2533333333333334</v>
      </c>
      <c r="ABF122" s="959"/>
      <c r="ABH122" s="947"/>
      <c r="ABI122" s="947"/>
      <c r="ABJ122" s="947"/>
      <c r="ABK122" s="947"/>
      <c r="ABL122" s="537">
        <v>229</v>
      </c>
      <c r="ABM122" s="956"/>
      <c r="ABN122" s="957"/>
      <c r="ABO122" s="958">
        <f t="shared" si="62"/>
        <v>3.0533333333333337</v>
      </c>
      <c r="ABP122" s="959"/>
      <c r="ABR122" s="947"/>
      <c r="ABS122" s="947"/>
      <c r="ABT122" s="947"/>
      <c r="ABU122" s="947"/>
      <c r="ABV122" s="537">
        <v>289</v>
      </c>
      <c r="ABW122" s="956"/>
      <c r="ABX122" s="957"/>
      <c r="ABY122" s="958">
        <f t="shared" si="63"/>
        <v>3.8533333333333335</v>
      </c>
      <c r="ABZ122" s="959"/>
      <c r="ADB122" s="1033"/>
      <c r="ADC122" s="1033"/>
      <c r="ADD122" s="183"/>
      <c r="ADE122" s="184"/>
      <c r="ADF122" s="184"/>
      <c r="ADG122" s="184"/>
      <c r="ADH122" s="184"/>
      <c r="ADI122" s="186"/>
      <c r="ADJ122" s="1032"/>
      <c r="ADK122" s="1032"/>
      <c r="ADL122" s="1033"/>
      <c r="ADM122" s="1033"/>
      <c r="ADN122" s="1033"/>
      <c r="ADO122" s="1033"/>
      <c r="ADP122" s="1033"/>
      <c r="ADQ122" s="1033"/>
      <c r="ADR122" s="1033"/>
      <c r="ADS122" s="1033"/>
      <c r="ADT122" s="1033"/>
      <c r="ADU122" s="1033"/>
      <c r="ADV122" s="1033"/>
      <c r="ADW122" s="1033"/>
      <c r="ADX122" s="861"/>
      <c r="ADY122" s="1017"/>
      <c r="ADZ122" s="1017"/>
      <c r="AEA122" s="1017"/>
      <c r="AEB122" s="1017"/>
      <c r="AEC122" s="1017"/>
      <c r="AED122" s="1017"/>
      <c r="AEE122" s="1017"/>
      <c r="AEF122" s="1017"/>
      <c r="AEG122" s="862"/>
      <c r="AEH122" s="172"/>
      <c r="AEI122" s="172"/>
      <c r="AEJ122" s="172"/>
      <c r="AEK122" s="177"/>
      <c r="AIM122" s="825"/>
      <c r="AIN122" s="665" t="s">
        <v>442</v>
      </c>
      <c r="AIO122" s="666"/>
      <c r="AIP122" s="156"/>
      <c r="AIQ122" s="87"/>
      <c r="AIR122" s="87"/>
      <c r="AIS122" s="87"/>
      <c r="AIT122" s="87"/>
      <c r="AIU122" s="87"/>
      <c r="AIV122" s="87"/>
      <c r="AIW122" s="156"/>
      <c r="AIX122" s="85" t="s">
        <v>467</v>
      </c>
      <c r="AIY122" s="757" t="s">
        <v>461</v>
      </c>
      <c r="AIZ122" s="758"/>
      <c r="AJA122" s="819" t="s">
        <v>126</v>
      </c>
      <c r="AJB122" s="820"/>
      <c r="AJC122" s="675" t="s">
        <v>731</v>
      </c>
      <c r="AJD122" s="676"/>
      <c r="AJE122" s="821" t="s">
        <v>473</v>
      </c>
      <c r="AJF122" s="822"/>
      <c r="AJG122" s="822"/>
      <c r="AJH122" s="823"/>
    </row>
    <row r="123" spans="60:948" ht="48" customHeight="1" thickBot="1">
      <c r="BM123" s="144"/>
      <c r="BN123" s="144"/>
      <c r="BO123" s="144"/>
      <c r="BP123" s="144"/>
      <c r="BT123" s="55"/>
      <c r="BV123" s="55"/>
      <c r="BX123" s="798"/>
      <c r="BY123" s="799"/>
      <c r="BZ123" s="800"/>
      <c r="CA123" s="827"/>
      <c r="CB123" s="734"/>
      <c r="CC123" s="735"/>
      <c r="CD123" s="735"/>
      <c r="CE123" s="735"/>
      <c r="CF123" s="735"/>
      <c r="CG123" s="735"/>
      <c r="CH123" s="735"/>
      <c r="CI123" s="735"/>
      <c r="CJ123" s="735"/>
      <c r="CK123" s="735"/>
      <c r="CL123" s="735"/>
      <c r="CM123" s="735"/>
      <c r="CN123" s="736"/>
      <c r="CO123" s="810"/>
      <c r="CP123" s="811"/>
      <c r="CQ123" s="851"/>
      <c r="CR123" s="852"/>
      <c r="CS123" s="713"/>
      <c r="CT123" s="743"/>
      <c r="CU123" s="745"/>
      <c r="CV123" s="747"/>
      <c r="CY123" s="144"/>
      <c r="CZ123" s="144"/>
      <c r="DA123" s="144"/>
      <c r="DC123" s="144"/>
      <c r="DP123" s="144"/>
      <c r="DQ123" s="144"/>
      <c r="DR123" s="144"/>
      <c r="DS123" s="144"/>
      <c r="DT123" s="144"/>
      <c r="DU123" s="144"/>
      <c r="DV123" s="144"/>
      <c r="DW123" s="144"/>
      <c r="DX123" s="144"/>
      <c r="DY123" s="144"/>
      <c r="DZ123" s="826"/>
      <c r="EA123" s="770" t="s">
        <v>1085</v>
      </c>
      <c r="EB123" s="770"/>
      <c r="EC123" s="770"/>
      <c r="ED123" s="770"/>
      <c r="EE123" s="770"/>
      <c r="EF123" s="770"/>
      <c r="EG123" s="770"/>
      <c r="EH123" s="770"/>
      <c r="EI123" s="770"/>
      <c r="EJ123" s="770"/>
      <c r="EK123" s="770"/>
      <c r="EL123" s="770"/>
      <c r="EM123" s="771"/>
      <c r="EN123" s="763">
        <f>(0.4*EN91+0.9*EN99)*0</f>
        <v>0</v>
      </c>
      <c r="EO123" s="764"/>
      <c r="EP123" s="812" t="s">
        <v>798</v>
      </c>
      <c r="EQ123" s="813"/>
      <c r="ER123" s="712"/>
      <c r="ES123" s="1465" t="s">
        <v>1451</v>
      </c>
      <c r="ET123" s="1466"/>
      <c r="EU123" s="746"/>
      <c r="EV123" s="767"/>
      <c r="EW123" s="767"/>
      <c r="EX123" s="767"/>
      <c r="EY123" s="767"/>
      <c r="EZ123" s="767"/>
      <c r="FA123" s="767"/>
      <c r="FB123" s="767"/>
      <c r="FF123" s="139"/>
      <c r="GF123" s="826"/>
      <c r="GG123" s="1368" t="s">
        <v>65</v>
      </c>
      <c r="GH123" s="1369"/>
      <c r="GI123" s="1369"/>
      <c r="GJ123" s="1369"/>
      <c r="GK123" s="1369"/>
      <c r="GL123" s="1369"/>
      <c r="GM123" s="1369"/>
      <c r="GN123" s="1369"/>
      <c r="GO123" s="1369"/>
      <c r="GP123" s="1369"/>
      <c r="GQ123" s="1369"/>
      <c r="GR123" s="1369"/>
      <c r="GS123" s="1369"/>
      <c r="GT123" s="1087">
        <f>2*SIN((3.14*AW12)/GW24)</f>
        <v>0.10822297858429225</v>
      </c>
      <c r="GU123" s="1006"/>
      <c r="GV123" s="917" t="s">
        <v>901</v>
      </c>
      <c r="GW123" s="896"/>
      <c r="GX123" s="714"/>
      <c r="GY123" s="1297" t="s">
        <v>65</v>
      </c>
      <c r="GZ123" s="1298"/>
      <c r="HA123" s="746"/>
      <c r="HB123" s="890"/>
      <c r="HC123" s="841"/>
      <c r="HD123" s="841"/>
      <c r="HE123" s="891"/>
      <c r="HI123" s="144"/>
      <c r="HJ123" s="144"/>
      <c r="HK123" s="144"/>
      <c r="HL123" s="144"/>
      <c r="HM123" s="144"/>
      <c r="HN123" s="241"/>
      <c r="HO123" s="144"/>
      <c r="HP123" s="144"/>
      <c r="HQ123" s="144"/>
      <c r="HR123" s="144"/>
      <c r="IE123" s="144"/>
      <c r="IF123" s="144"/>
      <c r="IG123" s="144"/>
      <c r="IH123" s="144"/>
      <c r="II123" s="144"/>
      <c r="JU123" s="144"/>
      <c r="JX123" s="144"/>
      <c r="JY123" s="144"/>
      <c r="JZ123" s="144"/>
      <c r="KA123" s="144"/>
      <c r="KB123" s="144"/>
      <c r="KC123" s="144"/>
      <c r="KD123" s="144"/>
      <c r="KE123" s="144"/>
      <c r="KF123" s="144"/>
      <c r="KG123" s="144"/>
      <c r="KH123" s="144"/>
      <c r="KI123" s="144"/>
      <c r="KJ123" s="144"/>
      <c r="KK123" s="144"/>
      <c r="KL123" s="144"/>
      <c r="KM123" s="144"/>
      <c r="LJ123" s="144"/>
      <c r="LK123" s="144"/>
      <c r="LL123" s="144"/>
      <c r="LM123" s="144"/>
      <c r="LN123" s="144"/>
      <c r="LO123" s="144"/>
      <c r="LQ123" s="144"/>
      <c r="LV123" s="403"/>
      <c r="LW123" s="399"/>
      <c r="LX123" s="399"/>
      <c r="LY123" s="399"/>
      <c r="LZ123" s="825"/>
      <c r="MA123" s="1221" t="s">
        <v>451</v>
      </c>
      <c r="MB123" s="1217" t="str">
        <f>MN119</f>
        <v xml:space="preserve"> Другая формула</v>
      </c>
      <c r="MC123" s="1218"/>
      <c r="MD123" s="701" t="s">
        <v>1431</v>
      </c>
      <c r="ME123" s="701"/>
      <c r="MF123" s="701"/>
      <c r="MG123" s="701"/>
      <c r="MH123" s="701"/>
      <c r="MI123" s="701"/>
      <c r="MJ123" s="701"/>
      <c r="MK123" s="701"/>
      <c r="ML123" s="701"/>
      <c r="MM123" s="702"/>
      <c r="MN123" s="1046" t="str">
        <f>IF(AND(MQ111&gt;ME117,OR(MQ111&lt;MG117,MG117=MQ111)),0.25*(1+3*MN119)," Другая формула")</f>
        <v xml:space="preserve"> Другая формула</v>
      </c>
      <c r="MO123" s="1047"/>
      <c r="MP123" s="849" t="s">
        <v>762</v>
      </c>
      <c r="MQ123" s="850"/>
      <c r="MR123" s="714"/>
      <c r="MS123" s="740" t="s">
        <v>1413</v>
      </c>
      <c r="MT123" s="741"/>
      <c r="MU123" s="742"/>
      <c r="MV123" s="746"/>
      <c r="MW123" s="714"/>
      <c r="MX123" s="740" t="s">
        <v>1420</v>
      </c>
      <c r="MY123" s="741"/>
      <c r="MZ123" s="746"/>
      <c r="NA123" s="767"/>
      <c r="NB123" s="767"/>
      <c r="NC123" s="767"/>
      <c r="ND123" s="767"/>
      <c r="NE123" s="767"/>
      <c r="NF123" s="767"/>
      <c r="NG123" s="767"/>
      <c r="NH123" s="399"/>
      <c r="NI123" s="399"/>
      <c r="NJ123" s="399"/>
      <c r="NK123" s="825"/>
      <c r="NL123" s="1221" t="s">
        <v>1432</v>
      </c>
      <c r="NM123" s="1217"/>
      <c r="NN123" s="1218"/>
      <c r="NO123" s="701" t="s">
        <v>1407</v>
      </c>
      <c r="NP123" s="701"/>
      <c r="NQ123" s="701"/>
      <c r="NR123" s="701"/>
      <c r="NS123" s="701"/>
      <c r="NT123" s="701"/>
      <c r="NU123" s="701"/>
      <c r="NV123" s="701"/>
      <c r="NW123" s="701"/>
      <c r="NX123" s="702"/>
      <c r="NY123" s="1193">
        <f>0.25*(6*NY119-1)</f>
        <v>0.25</v>
      </c>
      <c r="NZ123" s="1194"/>
      <c r="OA123" s="849" t="s">
        <v>762</v>
      </c>
      <c r="OB123" s="850"/>
      <c r="OC123" s="714"/>
      <c r="OD123" s="740" t="s">
        <v>1414</v>
      </c>
      <c r="OE123" s="741"/>
      <c r="OF123" s="742"/>
      <c r="OG123" s="746"/>
      <c r="OH123" s="714"/>
      <c r="OI123" s="740" t="s">
        <v>1420</v>
      </c>
      <c r="OJ123" s="741"/>
      <c r="OK123" s="746"/>
      <c r="OL123" s="919"/>
      <c r="OM123" s="840"/>
      <c r="ON123" s="840"/>
      <c r="OO123" s="840"/>
      <c r="OP123" s="840"/>
      <c r="OQ123" s="920"/>
      <c r="OR123" s="399"/>
      <c r="OS123" s="400"/>
      <c r="OV123" s="144"/>
      <c r="OW123" s="144"/>
      <c r="OX123" s="144"/>
      <c r="OY123" s="144"/>
      <c r="OZ123" s="144"/>
      <c r="PA123" s="144"/>
      <c r="PB123" s="144"/>
      <c r="PC123" s="144"/>
      <c r="PD123" s="144"/>
      <c r="PE123" s="144"/>
      <c r="PF123" s="144"/>
      <c r="PL123" s="504"/>
      <c r="PM123" s="665" t="s">
        <v>1660</v>
      </c>
      <c r="PN123" s="667"/>
      <c r="PO123" s="504"/>
      <c r="PP123" s="685" t="s">
        <v>1668</v>
      </c>
      <c r="PQ123" s="686"/>
      <c r="PR123" s="686"/>
      <c r="PS123" s="686"/>
      <c r="PT123" s="686"/>
      <c r="PU123" s="686"/>
      <c r="PV123" s="686"/>
      <c r="PW123" s="686"/>
      <c r="PX123" s="686"/>
      <c r="PY123" s="686"/>
      <c r="PZ123" s="687"/>
      <c r="QA123" s="504"/>
      <c r="VB123" s="685" t="s">
        <v>1738</v>
      </c>
      <c r="VC123" s="686"/>
      <c r="VD123" s="686"/>
      <c r="VE123" s="686"/>
      <c r="VF123" s="686"/>
      <c r="VG123" s="686"/>
      <c r="VH123" s="686"/>
      <c r="VI123" s="686"/>
      <c r="VJ123" s="686"/>
      <c r="VK123" s="686"/>
      <c r="VL123" s="686"/>
      <c r="VM123" s="686"/>
      <c r="VN123" s="686"/>
      <c r="VO123" s="686"/>
      <c r="VP123" s="686"/>
      <c r="VQ123" s="686"/>
      <c r="VR123" s="686"/>
      <c r="VS123" s="686"/>
      <c r="VT123" s="686"/>
      <c r="VU123" s="686"/>
      <c r="VV123" s="687"/>
      <c r="VW123" s="1029"/>
      <c r="VX123" s="1031"/>
      <c r="YU123" s="144"/>
      <c r="YV123" s="144"/>
      <c r="YW123" s="144"/>
      <c r="YX123" s="144"/>
      <c r="YY123" s="144"/>
      <c r="YZ123" s="144"/>
      <c r="ZA123" s="144"/>
      <c r="ZB123" s="144"/>
      <c r="ZC123" s="144"/>
      <c r="ZD123" s="144"/>
      <c r="ZE123" s="144"/>
      <c r="ZF123" s="144"/>
      <c r="ZG123" s="144"/>
      <c r="ZH123" s="144"/>
      <c r="ZI123" s="144"/>
      <c r="ZJ123" s="144"/>
      <c r="ZK123" s="144"/>
      <c r="AAD123" s="947"/>
      <c r="AAE123" s="947"/>
      <c r="AAF123" s="947"/>
      <c r="AAG123" s="947"/>
      <c r="AAH123" s="535">
        <v>50</v>
      </c>
      <c r="AAI123" s="956"/>
      <c r="AAJ123" s="957"/>
      <c r="AAK123" s="958">
        <f t="shared" si="59"/>
        <v>0.66666666666666674</v>
      </c>
      <c r="AAL123" s="959"/>
      <c r="AAN123" s="947"/>
      <c r="AAO123" s="947"/>
      <c r="AAP123" s="947"/>
      <c r="AAQ123" s="947"/>
      <c r="AAR123" s="535">
        <v>110</v>
      </c>
      <c r="AAS123" s="956"/>
      <c r="AAT123" s="957"/>
      <c r="AAU123" s="958">
        <f t="shared" si="60"/>
        <v>1.4666666666666668</v>
      </c>
      <c r="AAV123" s="959"/>
      <c r="AAX123" s="947"/>
      <c r="AAY123" s="947"/>
      <c r="AAZ123" s="947"/>
      <c r="ABA123" s="947"/>
      <c r="ABB123" s="535">
        <v>170</v>
      </c>
      <c r="ABC123" s="956"/>
      <c r="ABD123" s="957"/>
      <c r="ABE123" s="958">
        <f t="shared" si="61"/>
        <v>2.2666666666666666</v>
      </c>
      <c r="ABF123" s="959"/>
      <c r="ABH123" s="947"/>
      <c r="ABI123" s="947"/>
      <c r="ABJ123" s="947"/>
      <c r="ABK123" s="947"/>
      <c r="ABL123" s="537">
        <v>230</v>
      </c>
      <c r="ABM123" s="956"/>
      <c r="ABN123" s="957"/>
      <c r="ABO123" s="958">
        <f t="shared" si="62"/>
        <v>3.0666666666666669</v>
      </c>
      <c r="ABP123" s="959"/>
      <c r="ABR123" s="947"/>
      <c r="ABS123" s="947"/>
      <c r="ABT123" s="947"/>
      <c r="ABU123" s="947"/>
      <c r="ABV123" s="537">
        <v>290</v>
      </c>
      <c r="ABW123" s="956"/>
      <c r="ABX123" s="957"/>
      <c r="ABY123" s="958">
        <f t="shared" si="63"/>
        <v>3.8666666666666667</v>
      </c>
      <c r="ABZ123" s="959"/>
      <c r="ADB123" s="1033">
        <v>32</v>
      </c>
      <c r="ADC123" s="1033"/>
      <c r="ADD123" s="696" t="s">
        <v>1340</v>
      </c>
      <c r="ADE123" s="720"/>
      <c r="ADF123" s="720"/>
      <c r="ADG123" s="697"/>
      <c r="ADH123" s="724">
        <f>$AQ$6</f>
        <v>380</v>
      </c>
      <c r="ADI123" s="724"/>
      <c r="ADJ123" s="1035" t="s">
        <v>35</v>
      </c>
      <c r="ADK123" s="1036"/>
      <c r="ADL123" s="1033"/>
      <c r="ADM123" s="1033"/>
      <c r="ADN123" s="1033"/>
      <c r="ADO123" s="1033"/>
      <c r="ADP123" s="1033"/>
      <c r="ADQ123" s="1033"/>
      <c r="ADR123" s="1033"/>
      <c r="ADS123" s="1033"/>
      <c r="ADT123" s="1033"/>
      <c r="ADU123" s="1033"/>
      <c r="ADV123" s="1033"/>
      <c r="ADW123" s="1033"/>
      <c r="ADX123" s="857"/>
      <c r="ADY123" s="1015"/>
      <c r="ADZ123" s="1015"/>
      <c r="AEA123" s="1015"/>
      <c r="AEB123" s="1015"/>
      <c r="AEC123" s="858"/>
      <c r="AED123" s="172"/>
      <c r="AEE123" s="172"/>
      <c r="AEF123" s="172"/>
      <c r="AEG123" s="172"/>
      <c r="AEH123" s="172"/>
      <c r="AEI123" s="172"/>
      <c r="AEJ123" s="172"/>
      <c r="AEK123" s="177"/>
      <c r="AIM123" s="826"/>
      <c r="AIN123" s="727" t="s">
        <v>164</v>
      </c>
      <c r="AIO123" s="727"/>
      <c r="AIP123" s="727"/>
      <c r="AIQ123" s="727"/>
      <c r="AIR123" s="727"/>
      <c r="AIS123" s="727"/>
      <c r="AIT123" s="727"/>
      <c r="AIU123" s="727"/>
      <c r="AIV123" s="727"/>
      <c r="AIW123" s="727"/>
      <c r="AIX123" s="727"/>
      <c r="AIY123" s="727"/>
      <c r="AIZ123" s="727"/>
      <c r="AJA123" s="763">
        <f>((AJA18+AJA52)*2*AW82)/MN31/1000+((AJA83+AJA99)*2*MN27)/MN31/1000</f>
        <v>8109.7753724360136</v>
      </c>
      <c r="AJB123" s="764"/>
      <c r="AJC123" s="1319" t="s">
        <v>1007</v>
      </c>
      <c r="AJD123" s="1157"/>
      <c r="AJE123" s="712"/>
      <c r="AJF123" s="716" t="s">
        <v>442</v>
      </c>
      <c r="AJG123" s="717"/>
      <c r="AJH123" s="746"/>
    </row>
    <row r="124" spans="60:948" ht="48" customHeight="1" thickBot="1">
      <c r="BM124" s="144"/>
      <c r="BN124" s="144"/>
      <c r="BO124" s="144"/>
      <c r="BP124" s="144"/>
      <c r="BT124" s="55"/>
      <c r="BV124" s="55"/>
      <c r="DP124" s="144"/>
      <c r="DQ124" s="144"/>
      <c r="DR124" s="144"/>
      <c r="DS124" s="144"/>
      <c r="DT124" s="144"/>
      <c r="DU124" s="144"/>
      <c r="DV124" s="144"/>
      <c r="DW124" s="144"/>
      <c r="DX124" s="144"/>
      <c r="DY124" s="144"/>
      <c r="DZ124" s="827"/>
      <c r="EA124" s="772"/>
      <c r="EB124" s="772"/>
      <c r="EC124" s="772"/>
      <c r="ED124" s="772"/>
      <c r="EE124" s="772"/>
      <c r="EF124" s="772"/>
      <c r="EG124" s="772"/>
      <c r="EH124" s="772"/>
      <c r="EI124" s="772"/>
      <c r="EJ124" s="772"/>
      <c r="EK124" s="772"/>
      <c r="EL124" s="772"/>
      <c r="EM124" s="773"/>
      <c r="EN124" s="765"/>
      <c r="EO124" s="766"/>
      <c r="EP124" s="814"/>
      <c r="EQ124" s="815"/>
      <c r="ER124" s="713"/>
      <c r="ES124" s="1467"/>
      <c r="ET124" s="1468"/>
      <c r="EU124" s="747"/>
      <c r="EV124" s="768"/>
      <c r="EW124" s="768"/>
      <c r="EX124" s="768"/>
      <c r="EY124" s="768"/>
      <c r="EZ124" s="768"/>
      <c r="FA124" s="768"/>
      <c r="FB124" s="768"/>
      <c r="FF124" s="139"/>
      <c r="GF124" s="827"/>
      <c r="GG124" s="1370"/>
      <c r="GH124" s="1371"/>
      <c r="GI124" s="1371"/>
      <c r="GJ124" s="1371"/>
      <c r="GK124" s="1371"/>
      <c r="GL124" s="1371"/>
      <c r="GM124" s="1371"/>
      <c r="GN124" s="1371"/>
      <c r="GO124" s="1371"/>
      <c r="GP124" s="1371"/>
      <c r="GQ124" s="1371"/>
      <c r="GR124" s="1371"/>
      <c r="GS124" s="1371"/>
      <c r="GT124" s="1089"/>
      <c r="GU124" s="708"/>
      <c r="GV124" s="918"/>
      <c r="GW124" s="898"/>
      <c r="GX124" s="715"/>
      <c r="GY124" s="1299"/>
      <c r="GZ124" s="1300"/>
      <c r="HA124" s="747"/>
      <c r="HB124" s="892"/>
      <c r="HC124" s="893"/>
      <c r="HD124" s="893"/>
      <c r="HE124" s="894"/>
      <c r="HI124" s="144"/>
      <c r="HJ124" s="144"/>
      <c r="HK124" s="144"/>
      <c r="HL124" s="144"/>
      <c r="HM124" s="144"/>
      <c r="HN124" s="241"/>
      <c r="HO124" s="144"/>
      <c r="HP124" s="144"/>
      <c r="HQ124" s="144"/>
      <c r="HR124" s="144"/>
      <c r="IE124" s="144"/>
      <c r="IF124" s="144"/>
      <c r="IG124" s="144"/>
      <c r="IH124" s="144"/>
      <c r="II124" s="144"/>
      <c r="IR124" s="767"/>
      <c r="IS124" s="665" t="s">
        <v>442</v>
      </c>
      <c r="IT124" s="667"/>
      <c r="IU124" s="575"/>
      <c r="IV124" s="87"/>
      <c r="IW124" s="87"/>
      <c r="IX124" s="87"/>
      <c r="IY124" s="87"/>
      <c r="IZ124" s="87"/>
      <c r="JA124" s="87"/>
      <c r="JB124" s="575"/>
      <c r="JC124" s="85" t="s">
        <v>467</v>
      </c>
      <c r="JD124" s="757" t="s">
        <v>461</v>
      </c>
      <c r="JE124" s="899"/>
      <c r="JF124" s="1130" t="s">
        <v>126</v>
      </c>
      <c r="JG124" s="1131"/>
      <c r="JH124" s="675" t="s">
        <v>731</v>
      </c>
      <c r="JI124" s="676"/>
      <c r="JJ124" s="821" t="s">
        <v>473</v>
      </c>
      <c r="JK124" s="822"/>
      <c r="JL124" s="822"/>
      <c r="JM124" s="823"/>
      <c r="JN124" s="769" t="s">
        <v>462</v>
      </c>
      <c r="JO124" s="769"/>
      <c r="JP124" s="769"/>
      <c r="JQ124" s="769"/>
      <c r="JR124" s="769"/>
      <c r="JU124" s="144"/>
      <c r="JX124" s="144"/>
      <c r="JY124" s="144"/>
      <c r="JZ124" s="144"/>
      <c r="KA124" s="144"/>
      <c r="KB124" s="144"/>
      <c r="KC124" s="144"/>
      <c r="KD124" s="144"/>
      <c r="KE124" s="144"/>
      <c r="KF124" s="144"/>
      <c r="KG124" s="144"/>
      <c r="KH124" s="144"/>
      <c r="KI124" s="144"/>
      <c r="KJ124" s="144"/>
      <c r="KK124" s="144"/>
      <c r="KL124" s="144"/>
      <c r="KM124" s="144"/>
      <c r="LJ124" s="144"/>
      <c r="LK124" s="144"/>
      <c r="LL124" s="144"/>
      <c r="LM124" s="144"/>
      <c r="LN124" s="144"/>
      <c r="LO124" s="144"/>
      <c r="LQ124" s="144"/>
      <c r="LV124" s="403"/>
      <c r="LW124" s="399"/>
      <c r="LX124" s="399"/>
      <c r="LY124" s="399"/>
      <c r="LZ124" s="827"/>
      <c r="MA124" s="1222"/>
      <c r="MB124" s="1219"/>
      <c r="MC124" s="1220"/>
      <c r="MD124" s="707"/>
      <c r="ME124" s="707"/>
      <c r="MF124" s="707"/>
      <c r="MG124" s="707"/>
      <c r="MH124" s="707"/>
      <c r="MI124" s="707"/>
      <c r="MJ124" s="707"/>
      <c r="MK124" s="707"/>
      <c r="ML124" s="707"/>
      <c r="MM124" s="708"/>
      <c r="MN124" s="1048"/>
      <c r="MO124" s="1004"/>
      <c r="MP124" s="851"/>
      <c r="MQ124" s="852"/>
      <c r="MR124" s="715"/>
      <c r="MS124" s="743"/>
      <c r="MT124" s="744"/>
      <c r="MU124" s="745"/>
      <c r="MV124" s="747"/>
      <c r="MW124" s="715"/>
      <c r="MX124" s="743"/>
      <c r="MY124" s="744"/>
      <c r="MZ124" s="747"/>
      <c r="NA124" s="768"/>
      <c r="NB124" s="768"/>
      <c r="NC124" s="768"/>
      <c r="ND124" s="768"/>
      <c r="NE124" s="768"/>
      <c r="NF124" s="768"/>
      <c r="NG124" s="768"/>
      <c r="NH124" s="399"/>
      <c r="NI124" s="399"/>
      <c r="NJ124" s="399"/>
      <c r="NK124" s="827"/>
      <c r="NL124" s="1222"/>
      <c r="NM124" s="1219"/>
      <c r="NN124" s="1220"/>
      <c r="NO124" s="707"/>
      <c r="NP124" s="707"/>
      <c r="NQ124" s="707"/>
      <c r="NR124" s="707"/>
      <c r="NS124" s="707"/>
      <c r="NT124" s="707"/>
      <c r="NU124" s="707"/>
      <c r="NV124" s="707"/>
      <c r="NW124" s="707"/>
      <c r="NX124" s="708"/>
      <c r="NY124" s="1195"/>
      <c r="NZ124" s="1196"/>
      <c r="OA124" s="851"/>
      <c r="OB124" s="852"/>
      <c r="OC124" s="715"/>
      <c r="OD124" s="743"/>
      <c r="OE124" s="744"/>
      <c r="OF124" s="745"/>
      <c r="OG124" s="747"/>
      <c r="OH124" s="715"/>
      <c r="OI124" s="743"/>
      <c r="OJ124" s="744"/>
      <c r="OK124" s="747"/>
      <c r="OL124" s="892"/>
      <c r="OM124" s="893"/>
      <c r="ON124" s="893"/>
      <c r="OO124" s="893"/>
      <c r="OP124" s="893"/>
      <c r="OQ124" s="894"/>
      <c r="OR124" s="399"/>
      <c r="OS124" s="400"/>
      <c r="OV124" s="144"/>
      <c r="OW124" s="144"/>
      <c r="OX124" s="144"/>
      <c r="OY124" s="144"/>
      <c r="OZ124" s="144"/>
      <c r="PA124" s="144"/>
      <c r="PB124" s="144"/>
      <c r="PC124" s="144"/>
      <c r="PD124" s="144"/>
      <c r="PE124" s="144"/>
      <c r="PF124" s="144"/>
      <c r="RB124" s="144"/>
      <c r="RC124" s="144"/>
      <c r="RD124" s="144"/>
      <c r="VB124" s="902"/>
      <c r="VC124" s="903"/>
      <c r="VD124" s="903"/>
      <c r="VE124" s="903"/>
      <c r="VF124" s="903"/>
      <c r="VG124" s="903"/>
      <c r="VH124" s="903"/>
      <c r="VI124" s="903"/>
      <c r="VJ124" s="903"/>
      <c r="VK124" s="903"/>
      <c r="VL124" s="903"/>
      <c r="VM124" s="903"/>
      <c r="VN124" s="903"/>
      <c r="VO124" s="903"/>
      <c r="VP124" s="903"/>
      <c r="VQ124" s="903"/>
      <c r="VR124" s="903"/>
      <c r="VS124" s="903"/>
      <c r="VT124" s="903"/>
      <c r="VU124" s="903"/>
      <c r="VV124" s="903"/>
      <c r="VW124" s="903"/>
      <c r="VX124" s="904"/>
      <c r="XO124" s="143"/>
      <c r="XP124" s="665" t="s">
        <v>442</v>
      </c>
      <c r="XQ124" s="666"/>
      <c r="XR124" s="456"/>
      <c r="XS124" s="473" t="s">
        <v>1596</v>
      </c>
      <c r="XT124" s="739">
        <f>$WR$68</f>
        <v>34.601834264627279</v>
      </c>
      <c r="XU124" s="739"/>
      <c r="XV124" s="473" t="s">
        <v>1599</v>
      </c>
      <c r="XW124" s="756">
        <f>$JF$153</f>
        <v>1.1301399792776805</v>
      </c>
      <c r="XX124" s="756"/>
      <c r="XY124" s="456"/>
      <c r="XZ124" s="85" t="s">
        <v>467</v>
      </c>
      <c r="YA124" s="757" t="s">
        <v>461</v>
      </c>
      <c r="YB124" s="899"/>
      <c r="YC124" s="819" t="s">
        <v>126</v>
      </c>
      <c r="YD124" s="820"/>
      <c r="YE124" s="675" t="s">
        <v>731</v>
      </c>
      <c r="YF124" s="676"/>
      <c r="YG124" s="821" t="s">
        <v>473</v>
      </c>
      <c r="YH124" s="822"/>
      <c r="YI124" s="822"/>
      <c r="YJ124" s="822"/>
      <c r="YK124" s="823"/>
      <c r="YL124" s="769" t="s">
        <v>462</v>
      </c>
      <c r="YM124" s="769"/>
      <c r="YN124" s="769"/>
      <c r="YO124" s="769"/>
      <c r="YP124" s="769"/>
      <c r="YQ124" s="769"/>
      <c r="YU124" s="144"/>
      <c r="YV124" s="144"/>
      <c r="YW124" s="144"/>
      <c r="YX124" s="144"/>
      <c r="YY124" s="144"/>
      <c r="YZ124" s="144"/>
      <c r="ZA124" s="144"/>
      <c r="ZB124" s="144"/>
      <c r="ZC124" s="144"/>
      <c r="ZD124" s="144"/>
      <c r="ZE124" s="144"/>
      <c r="ZF124" s="144"/>
      <c r="ZG124" s="144"/>
      <c r="ZH124" s="144"/>
      <c r="ZI124" s="144"/>
      <c r="ZJ124" s="144"/>
      <c r="ZK124" s="144"/>
      <c r="AAD124" s="947"/>
      <c r="AAE124" s="947"/>
      <c r="AAF124" s="947"/>
      <c r="AAG124" s="947"/>
      <c r="AAH124" s="535">
        <v>51</v>
      </c>
      <c r="AAI124" s="956"/>
      <c r="AAJ124" s="957"/>
      <c r="AAK124" s="958">
        <f t="shared" si="59"/>
        <v>0.68</v>
      </c>
      <c r="AAL124" s="959"/>
      <c r="AAN124" s="947"/>
      <c r="AAO124" s="947"/>
      <c r="AAP124" s="947"/>
      <c r="AAQ124" s="947"/>
      <c r="AAR124" s="535">
        <v>111</v>
      </c>
      <c r="AAS124" s="956"/>
      <c r="AAT124" s="957"/>
      <c r="AAU124" s="958">
        <f t="shared" si="60"/>
        <v>1.4800000000000002</v>
      </c>
      <c r="AAV124" s="959"/>
      <c r="AAX124" s="947"/>
      <c r="AAY124" s="947"/>
      <c r="AAZ124" s="947"/>
      <c r="ABA124" s="947"/>
      <c r="ABB124" s="535">
        <v>171</v>
      </c>
      <c r="ABC124" s="956"/>
      <c r="ABD124" s="957"/>
      <c r="ABE124" s="958">
        <f t="shared" si="61"/>
        <v>2.2800000000000002</v>
      </c>
      <c r="ABF124" s="959"/>
      <c r="ABH124" s="947"/>
      <c r="ABI124" s="947"/>
      <c r="ABJ124" s="947"/>
      <c r="ABK124" s="947"/>
      <c r="ABL124" s="537">
        <v>231</v>
      </c>
      <c r="ABM124" s="956"/>
      <c r="ABN124" s="957"/>
      <c r="ABO124" s="958">
        <f t="shared" si="62"/>
        <v>3.08</v>
      </c>
      <c r="ABP124" s="959"/>
      <c r="ABR124" s="947"/>
      <c r="ABS124" s="947"/>
      <c r="ABT124" s="947"/>
      <c r="ABU124" s="947"/>
      <c r="ABV124" s="537">
        <v>291</v>
      </c>
      <c r="ABW124" s="956"/>
      <c r="ABX124" s="957"/>
      <c r="ABY124" s="958">
        <f t="shared" si="63"/>
        <v>3.8800000000000003</v>
      </c>
      <c r="ABZ124" s="959"/>
      <c r="ADB124" s="1033"/>
      <c r="ADC124" s="1033"/>
      <c r="ADD124" s="192"/>
      <c r="ADE124" s="187"/>
      <c r="ADF124" s="187"/>
      <c r="ADG124" s="187"/>
      <c r="ADH124" s="187"/>
      <c r="ADI124" s="188"/>
      <c r="ADJ124" s="1037"/>
      <c r="ADK124" s="1038"/>
      <c r="ADL124" s="1033"/>
      <c r="ADM124" s="1033"/>
      <c r="ADN124" s="1033"/>
      <c r="ADO124" s="1033"/>
      <c r="ADP124" s="1033"/>
      <c r="ADQ124" s="1033"/>
      <c r="ADR124" s="1033"/>
      <c r="ADS124" s="1033"/>
      <c r="ADT124" s="1033"/>
      <c r="ADU124" s="1033"/>
      <c r="ADV124" s="1033"/>
      <c r="ADW124" s="1033"/>
      <c r="ADX124" s="859"/>
      <c r="ADY124" s="1016"/>
      <c r="ADZ124" s="1016"/>
      <c r="AEA124" s="1016"/>
      <c r="AEB124" s="1016"/>
      <c r="AEC124" s="860"/>
      <c r="AED124" s="172"/>
      <c r="AEE124" s="172"/>
      <c r="AEF124" s="172"/>
      <c r="AEG124" s="172"/>
      <c r="AEH124" s="172"/>
      <c r="AEI124" s="172"/>
      <c r="AEJ124" s="172"/>
      <c r="AEK124" s="177"/>
      <c r="AIM124" s="827"/>
      <c r="AIN124" s="729"/>
      <c r="AIO124" s="729"/>
      <c r="AIP124" s="729"/>
      <c r="AIQ124" s="729"/>
      <c r="AIR124" s="729"/>
      <c r="AIS124" s="729"/>
      <c r="AIT124" s="729"/>
      <c r="AIU124" s="729"/>
      <c r="AIV124" s="729"/>
      <c r="AIW124" s="729"/>
      <c r="AIX124" s="729"/>
      <c r="AIY124" s="729"/>
      <c r="AIZ124" s="729"/>
      <c r="AJA124" s="765"/>
      <c r="AJB124" s="766"/>
      <c r="AJC124" s="1320"/>
      <c r="AJD124" s="1159"/>
      <c r="AJE124" s="713"/>
      <c r="AJF124" s="718"/>
      <c r="AJG124" s="719"/>
      <c r="AJH124" s="747"/>
    </row>
    <row r="125" spans="60:948" ht="48" customHeight="1" thickBot="1">
      <c r="BM125" s="144"/>
      <c r="BN125" s="144"/>
      <c r="BO125" s="144"/>
      <c r="BP125" s="144"/>
      <c r="BT125" s="55"/>
      <c r="BV125" s="55"/>
      <c r="BX125" s="825"/>
      <c r="BY125" s="1570"/>
      <c r="BZ125" s="1571"/>
      <c r="CA125" s="146"/>
      <c r="CB125" s="87"/>
      <c r="CC125" s="87"/>
      <c r="CD125" s="87"/>
      <c r="CE125" s="87"/>
      <c r="CF125" s="87"/>
      <c r="CG125" s="87"/>
      <c r="CH125" s="146"/>
      <c r="CI125" s="85" t="s">
        <v>467</v>
      </c>
      <c r="CJ125" s="757" t="s">
        <v>461</v>
      </c>
      <c r="CK125" s="758"/>
      <c r="CL125" s="774" t="s">
        <v>126</v>
      </c>
      <c r="CM125" s="776"/>
      <c r="CN125" s="675" t="s">
        <v>731</v>
      </c>
      <c r="CO125" s="1094"/>
      <c r="CP125" s="821" t="s">
        <v>810</v>
      </c>
      <c r="CQ125" s="822"/>
      <c r="CR125" s="822"/>
      <c r="CS125" s="822"/>
      <c r="CT125" s="822"/>
      <c r="CU125" s="769" t="s">
        <v>811</v>
      </c>
      <c r="CV125" s="769"/>
      <c r="CW125" s="769"/>
      <c r="CX125" s="769"/>
      <c r="CY125" s="769"/>
      <c r="CZ125" s="821" t="s">
        <v>462</v>
      </c>
      <c r="DA125" s="822"/>
      <c r="DB125" s="822"/>
      <c r="DC125" s="823"/>
      <c r="DP125" s="144"/>
      <c r="DQ125" s="144"/>
      <c r="DR125" s="144"/>
      <c r="DS125" s="144"/>
      <c r="DT125" s="144"/>
      <c r="DU125" s="144"/>
      <c r="DV125" s="144"/>
      <c r="DW125" s="144"/>
      <c r="DX125" s="144"/>
      <c r="DY125" s="144"/>
      <c r="FF125" s="139"/>
      <c r="HI125" s="144"/>
      <c r="HJ125" s="144"/>
      <c r="HK125" s="144"/>
      <c r="HL125" s="144"/>
      <c r="HM125" s="144"/>
      <c r="HN125" s="241"/>
      <c r="HO125" s="144"/>
      <c r="HP125" s="144"/>
      <c r="HQ125" s="144"/>
      <c r="HR125" s="144"/>
      <c r="IE125" s="144"/>
      <c r="IF125" s="144"/>
      <c r="IG125" s="144"/>
      <c r="IH125" s="144"/>
      <c r="II125" s="144"/>
      <c r="IR125" s="767"/>
      <c r="IS125" s="574" t="s">
        <v>1270</v>
      </c>
      <c r="IT125" s="1074">
        <f>$JF$58</f>
        <v>31.0688</v>
      </c>
      <c r="IU125" s="1074"/>
      <c r="IV125" s="940" t="s">
        <v>1786</v>
      </c>
      <c r="IW125" s="940"/>
      <c r="IX125" s="940"/>
      <c r="IY125" s="940"/>
      <c r="IZ125" s="940"/>
      <c r="JA125" s="940"/>
      <c r="JB125" s="940"/>
      <c r="JC125" s="940"/>
      <c r="JD125" s="940"/>
      <c r="JE125" s="1003"/>
      <c r="JF125" s="763">
        <f>1+(JF14+JF58)/JF106</f>
        <v>1.0430764681833571</v>
      </c>
      <c r="JG125" s="764"/>
      <c r="JH125" s="849" t="s">
        <v>762</v>
      </c>
      <c r="JI125" s="850"/>
      <c r="JJ125" s="714"/>
      <c r="JK125" s="716" t="s">
        <v>878</v>
      </c>
      <c r="JL125" s="717"/>
      <c r="JM125" s="746"/>
      <c r="JN125" s="767"/>
      <c r="JO125" s="767"/>
      <c r="JP125" s="767"/>
      <c r="JQ125" s="767"/>
      <c r="JR125" s="767"/>
      <c r="JU125" s="144"/>
      <c r="JX125" s="144"/>
      <c r="KB125" s="144"/>
      <c r="KC125" s="144"/>
      <c r="KD125" s="144"/>
      <c r="KE125" s="144"/>
      <c r="KF125" s="144"/>
      <c r="KG125" s="144"/>
      <c r="KH125" s="144"/>
      <c r="KI125" s="144"/>
      <c r="KJ125" s="144"/>
      <c r="KK125" s="144"/>
      <c r="KL125" s="144"/>
      <c r="LJ125" s="144"/>
      <c r="LK125" s="144"/>
      <c r="LL125" s="144"/>
      <c r="LM125" s="144"/>
      <c r="LN125" s="144"/>
      <c r="LO125" s="144"/>
      <c r="LP125" s="144"/>
      <c r="LQ125" s="144"/>
      <c r="LV125" s="403"/>
      <c r="LW125" s="399"/>
      <c r="LX125" s="399"/>
      <c r="LY125" s="399"/>
      <c r="LZ125" s="399"/>
      <c r="MA125" s="399"/>
      <c r="MB125" s="399"/>
      <c r="MC125" s="399"/>
      <c r="MD125" s="399"/>
      <c r="ME125" s="399"/>
      <c r="MF125" s="399"/>
      <c r="MG125" s="399"/>
      <c r="MH125" s="399"/>
      <c r="MI125" s="399"/>
      <c r="MJ125" s="399"/>
      <c r="MK125" s="399"/>
      <c r="ML125" s="399"/>
      <c r="MM125" s="399"/>
      <c r="MN125" s="399"/>
      <c r="MO125" s="409" t="s">
        <v>844</v>
      </c>
      <c r="MP125" s="399"/>
      <c r="MQ125" s="399"/>
      <c r="MR125" s="399"/>
      <c r="MS125" s="399"/>
      <c r="MT125" s="399"/>
      <c r="MU125" s="399"/>
      <c r="MV125" s="399"/>
      <c r="MW125" s="399"/>
      <c r="MX125" s="399"/>
      <c r="MY125" s="399"/>
      <c r="MZ125" s="399"/>
      <c r="NA125" s="399"/>
      <c r="NB125" s="399"/>
      <c r="NC125" s="399"/>
      <c r="ND125" s="399"/>
      <c r="NE125" s="399"/>
      <c r="NF125" s="399"/>
      <c r="NG125" s="399"/>
      <c r="NH125" s="399"/>
      <c r="NI125" s="399"/>
      <c r="NJ125" s="399"/>
      <c r="NK125" s="399"/>
      <c r="NL125" s="399"/>
      <c r="NM125" s="399"/>
      <c r="NN125" s="399"/>
      <c r="NO125" s="399"/>
      <c r="NP125" s="399"/>
      <c r="NQ125" s="399"/>
      <c r="NR125" s="399"/>
      <c r="NS125" s="399"/>
      <c r="NT125" s="399"/>
      <c r="NU125" s="409" t="s">
        <v>844</v>
      </c>
      <c r="NV125" s="399"/>
      <c r="NW125" s="399"/>
      <c r="NX125" s="399"/>
      <c r="NY125" s="399"/>
      <c r="NZ125" s="399"/>
      <c r="OA125" s="399"/>
      <c r="OB125" s="399"/>
      <c r="OC125" s="399"/>
      <c r="OD125" s="399"/>
      <c r="OE125" s="399"/>
      <c r="OF125" s="399"/>
      <c r="OG125" s="399"/>
      <c r="OH125" s="399"/>
      <c r="OI125" s="399"/>
      <c r="OJ125" s="399"/>
      <c r="OK125" s="399"/>
      <c r="OL125" s="399"/>
      <c r="OM125" s="399"/>
      <c r="ON125" s="399"/>
      <c r="OO125" s="399"/>
      <c r="OP125" s="399"/>
      <c r="OQ125" s="399"/>
      <c r="OR125" s="399"/>
      <c r="OS125" s="400"/>
      <c r="OV125" s="144"/>
      <c r="OW125" s="144"/>
      <c r="OX125" s="144"/>
      <c r="OY125" s="144"/>
      <c r="OZ125" s="144"/>
      <c r="PA125" s="144"/>
      <c r="PB125" s="144"/>
      <c r="PC125" s="144"/>
      <c r="PD125" s="144"/>
      <c r="PE125" s="144"/>
      <c r="PF125" s="144"/>
      <c r="PJ125" s="825"/>
      <c r="PK125" s="695" t="s">
        <v>442</v>
      </c>
      <c r="PL125" s="695"/>
      <c r="PM125" s="504"/>
      <c r="PN125" s="696" t="s">
        <v>1704</v>
      </c>
      <c r="PO125" s="697"/>
      <c r="PP125" s="698">
        <f>$PX$31</f>
        <v>332.23361083473287</v>
      </c>
      <c r="PQ125" s="726"/>
      <c r="PR125" s="87"/>
      <c r="PS125" s="87"/>
      <c r="PT125" s="504"/>
      <c r="PU125" s="85" t="s">
        <v>467</v>
      </c>
      <c r="PV125" s="757" t="s">
        <v>461</v>
      </c>
      <c r="PW125" s="899"/>
      <c r="PX125" s="819" t="s">
        <v>126</v>
      </c>
      <c r="PY125" s="820"/>
      <c r="PZ125" s="675" t="s">
        <v>731</v>
      </c>
      <c r="QA125" s="676"/>
      <c r="QB125" s="821" t="s">
        <v>473</v>
      </c>
      <c r="QC125" s="822"/>
      <c r="QD125" s="822"/>
      <c r="QE125" s="823"/>
      <c r="QF125" s="769" t="s">
        <v>462</v>
      </c>
      <c r="QG125" s="769"/>
      <c r="QH125" s="769"/>
      <c r="QI125" s="769"/>
      <c r="QJ125" s="769"/>
      <c r="QK125" s="769"/>
      <c r="QL125" s="769"/>
      <c r="RB125" s="144"/>
      <c r="RC125" s="144"/>
      <c r="RD125" s="144"/>
      <c r="VB125" s="905"/>
      <c r="VC125" s="900"/>
      <c r="VD125" s="900"/>
      <c r="VE125" s="900"/>
      <c r="VF125" s="900"/>
      <c r="VG125" s="900"/>
      <c r="VH125" s="900"/>
      <c r="VI125" s="900"/>
      <c r="VJ125" s="900"/>
      <c r="VK125" s="900"/>
      <c r="VL125" s="900"/>
      <c r="VM125" s="900"/>
      <c r="VN125" s="900"/>
      <c r="VO125" s="900"/>
      <c r="VP125" s="900"/>
      <c r="VQ125" s="900"/>
      <c r="VR125" s="900"/>
      <c r="VS125" s="900"/>
      <c r="VT125" s="900"/>
      <c r="VU125" s="900"/>
      <c r="VV125" s="900"/>
      <c r="VW125" s="900"/>
      <c r="VX125" s="906"/>
      <c r="VY125" s="15"/>
      <c r="XL125" s="144"/>
      <c r="XO125" s="133"/>
      <c r="XP125" s="700" t="s">
        <v>156</v>
      </c>
      <c r="XQ125" s="701"/>
      <c r="XR125" s="701"/>
      <c r="XS125" s="701"/>
      <c r="XT125" s="701"/>
      <c r="XU125" s="701"/>
      <c r="XV125" s="701"/>
      <c r="XW125" s="701"/>
      <c r="XX125" s="701"/>
      <c r="XY125" s="701"/>
      <c r="XZ125" s="701"/>
      <c r="YA125" s="701"/>
      <c r="YB125" s="702"/>
      <c r="YC125" s="763">
        <f>XT124*XW124</f>
        <v>39.104916258795605</v>
      </c>
      <c r="YD125" s="764"/>
      <c r="YE125" s="895" t="s">
        <v>415</v>
      </c>
      <c r="YF125" s="896"/>
      <c r="YG125" s="712"/>
      <c r="YH125" s="952" t="s">
        <v>1528</v>
      </c>
      <c r="YI125" s="1151"/>
      <c r="YJ125" s="953"/>
      <c r="YK125" s="746"/>
      <c r="YL125" s="919"/>
      <c r="YM125" s="840"/>
      <c r="YN125" s="840"/>
      <c r="YO125" s="840"/>
      <c r="YP125" s="840"/>
      <c r="YQ125" s="920"/>
      <c r="YU125" s="144"/>
      <c r="YV125" s="144"/>
      <c r="YW125" s="144"/>
      <c r="YX125" s="144"/>
      <c r="YY125" s="144"/>
      <c r="YZ125" s="144"/>
      <c r="ZA125" s="144"/>
      <c r="ZB125" s="144"/>
      <c r="ZC125" s="144"/>
      <c r="ZD125" s="144"/>
      <c r="ZE125" s="144"/>
      <c r="ZF125" s="144"/>
      <c r="ZG125" s="144"/>
      <c r="ZH125" s="144"/>
      <c r="ZI125" s="144"/>
      <c r="ZJ125" s="144"/>
      <c r="ZK125" s="144"/>
      <c r="AAD125" s="947"/>
      <c r="AAE125" s="947"/>
      <c r="AAF125" s="947"/>
      <c r="AAG125" s="947"/>
      <c r="AAH125" s="535">
        <v>52</v>
      </c>
      <c r="AAI125" s="956"/>
      <c r="AAJ125" s="957"/>
      <c r="AAK125" s="958">
        <f t="shared" si="59"/>
        <v>0.69333333333333336</v>
      </c>
      <c r="AAL125" s="959"/>
      <c r="AAN125" s="947"/>
      <c r="AAO125" s="947"/>
      <c r="AAP125" s="947"/>
      <c r="AAQ125" s="947"/>
      <c r="AAR125" s="535">
        <v>112</v>
      </c>
      <c r="AAS125" s="956"/>
      <c r="AAT125" s="957"/>
      <c r="AAU125" s="958">
        <f t="shared" si="60"/>
        <v>1.4933333333333334</v>
      </c>
      <c r="AAV125" s="959"/>
      <c r="AAX125" s="947"/>
      <c r="AAY125" s="947"/>
      <c r="AAZ125" s="947"/>
      <c r="ABA125" s="947"/>
      <c r="ABB125" s="535">
        <v>172</v>
      </c>
      <c r="ABC125" s="956"/>
      <c r="ABD125" s="957"/>
      <c r="ABE125" s="958">
        <f t="shared" si="61"/>
        <v>2.2933333333333334</v>
      </c>
      <c r="ABF125" s="959"/>
      <c r="ABH125" s="947"/>
      <c r="ABI125" s="947"/>
      <c r="ABJ125" s="947"/>
      <c r="ABK125" s="947"/>
      <c r="ABL125" s="537">
        <v>232</v>
      </c>
      <c r="ABM125" s="956"/>
      <c r="ABN125" s="957"/>
      <c r="ABO125" s="958">
        <f t="shared" si="62"/>
        <v>3.0933333333333337</v>
      </c>
      <c r="ABP125" s="959"/>
      <c r="ABR125" s="947"/>
      <c r="ABS125" s="947"/>
      <c r="ABT125" s="947"/>
      <c r="ABU125" s="947"/>
      <c r="ABV125" s="537">
        <v>292</v>
      </c>
      <c r="ABW125" s="956"/>
      <c r="ABX125" s="957"/>
      <c r="ABY125" s="958">
        <f t="shared" si="63"/>
        <v>3.8933333333333335</v>
      </c>
      <c r="ABZ125" s="959"/>
      <c r="ADB125" s="1033"/>
      <c r="ADC125" s="1033"/>
      <c r="ADD125" s="183"/>
      <c r="ADE125" s="184"/>
      <c r="ADF125" s="184"/>
      <c r="ADG125" s="184"/>
      <c r="ADH125" s="184"/>
      <c r="ADI125" s="186"/>
      <c r="ADJ125" s="1039"/>
      <c r="ADK125" s="1040"/>
      <c r="ADL125" s="1033"/>
      <c r="ADM125" s="1033"/>
      <c r="ADN125" s="1033"/>
      <c r="ADO125" s="1033"/>
      <c r="ADP125" s="1033"/>
      <c r="ADQ125" s="1033"/>
      <c r="ADR125" s="1033"/>
      <c r="ADS125" s="1033"/>
      <c r="ADT125" s="1033"/>
      <c r="ADU125" s="1033"/>
      <c r="ADV125" s="1033"/>
      <c r="ADW125" s="1033"/>
      <c r="ADX125" s="859"/>
      <c r="ADY125" s="1016"/>
      <c r="ADZ125" s="1016"/>
      <c r="AEA125" s="1016"/>
      <c r="AEB125" s="1016"/>
      <c r="AEC125" s="860"/>
      <c r="AED125" s="172"/>
      <c r="AEE125" s="172"/>
      <c r="AEF125" s="172"/>
      <c r="AEG125" s="172"/>
      <c r="AEH125" s="172"/>
      <c r="AEI125" s="172"/>
      <c r="AEJ125" s="172"/>
      <c r="AEK125" s="177"/>
      <c r="AIO125" s="216"/>
      <c r="AIP125" s="665" t="s">
        <v>953</v>
      </c>
      <c r="AIQ125" s="667"/>
      <c r="AIR125" s="216"/>
      <c r="AIS125" s="728" t="s">
        <v>961</v>
      </c>
      <c r="AIT125" s="1053"/>
      <c r="AIU125" s="1053"/>
      <c r="AIV125" s="1053"/>
      <c r="AIW125" s="1053"/>
      <c r="AIX125" s="1053"/>
      <c r="AIY125" s="1053"/>
      <c r="AIZ125" s="1053"/>
      <c r="AJA125" s="1053"/>
      <c r="AJB125" s="1053"/>
      <c r="AJC125" s="1054"/>
      <c r="AJD125" s="216"/>
    </row>
    <row r="126" spans="60:948" ht="48" customHeight="1" thickBot="1">
      <c r="BM126" s="144"/>
      <c r="BN126" s="144"/>
      <c r="BO126" s="144"/>
      <c r="BP126" s="144"/>
      <c r="BT126" s="55"/>
      <c r="BV126" s="55"/>
      <c r="BW126" s="55"/>
      <c r="BX126" s="826"/>
      <c r="BY126" s="731" t="s">
        <v>795</v>
      </c>
      <c r="BZ126" s="732"/>
      <c r="CA126" s="732"/>
      <c r="CB126" s="732"/>
      <c r="CC126" s="732"/>
      <c r="CD126" s="732"/>
      <c r="CE126" s="732"/>
      <c r="CF126" s="732"/>
      <c r="CG126" s="732"/>
      <c r="CH126" s="732"/>
      <c r="CI126" s="732"/>
      <c r="CJ126" s="732"/>
      <c r="CK126" s="733"/>
      <c r="CL126" s="1208">
        <f>CO110*CO122</f>
        <v>6.5640000000000001</v>
      </c>
      <c r="CM126" s="705"/>
      <c r="CN126" s="812" t="s">
        <v>796</v>
      </c>
      <c r="CO126" s="813"/>
      <c r="CP126" s="714"/>
      <c r="CQ126" s="952" t="s">
        <v>1142</v>
      </c>
      <c r="CR126" s="1151"/>
      <c r="CS126" s="953"/>
      <c r="CT126" s="746"/>
      <c r="CU126" s="746"/>
      <c r="CV126" s="1365" t="s">
        <v>794</v>
      </c>
      <c r="CW126" s="1564"/>
      <c r="CX126" s="1565"/>
      <c r="CY126" s="746"/>
      <c r="CZ126" s="74"/>
      <c r="DA126" s="70"/>
      <c r="DB126" s="70"/>
      <c r="DC126" s="71"/>
      <c r="DP126" s="144"/>
      <c r="DQ126" s="144"/>
      <c r="DR126" s="144"/>
      <c r="DS126" s="144"/>
      <c r="DT126" s="144"/>
      <c r="DU126" s="144"/>
      <c r="DV126" s="144"/>
      <c r="DW126" s="144"/>
      <c r="DX126" s="144"/>
      <c r="DY126" s="144"/>
      <c r="DZ126" s="825"/>
      <c r="EA126" s="665" t="s">
        <v>442</v>
      </c>
      <c r="EB126" s="666"/>
      <c r="EC126" s="152"/>
      <c r="ED126" s="473" t="s">
        <v>1627</v>
      </c>
      <c r="EE126" s="724">
        <f>$CO$64</f>
        <v>19</v>
      </c>
      <c r="EF126" s="724"/>
      <c r="EG126" s="87"/>
      <c r="EH126" s="87"/>
      <c r="EI126" s="87"/>
      <c r="EJ126" s="87"/>
      <c r="EK126" s="87"/>
      <c r="EL126" s="87"/>
      <c r="EM126" s="152"/>
      <c r="EN126" s="85" t="s">
        <v>467</v>
      </c>
      <c r="EO126" s="757" t="s">
        <v>461</v>
      </c>
      <c r="EP126" s="758"/>
      <c r="EQ126" s="819" t="s">
        <v>126</v>
      </c>
      <c r="ER126" s="820"/>
      <c r="ES126" s="675" t="s">
        <v>731</v>
      </c>
      <c r="ET126" s="676"/>
      <c r="EU126" s="821" t="s">
        <v>473</v>
      </c>
      <c r="EV126" s="822"/>
      <c r="EW126" s="822"/>
      <c r="EX126" s="823"/>
      <c r="EY126" s="769" t="s">
        <v>462</v>
      </c>
      <c r="EZ126" s="769"/>
      <c r="FA126" s="769"/>
      <c r="FB126" s="769"/>
      <c r="FC126" s="769"/>
      <c r="FD126" s="769"/>
      <c r="FF126" s="139"/>
      <c r="GF126" s="825"/>
      <c r="GG126" s="665" t="s">
        <v>442</v>
      </c>
      <c r="GH126" s="667"/>
      <c r="GI126" s="152"/>
      <c r="GJ126" s="87"/>
      <c r="GK126" s="87"/>
      <c r="GL126" s="87"/>
      <c r="GM126" s="87"/>
      <c r="GN126" s="87"/>
      <c r="GO126" s="87"/>
      <c r="GP126" s="152"/>
      <c r="GQ126" s="85" t="s">
        <v>467</v>
      </c>
      <c r="GR126" s="757" t="s">
        <v>461</v>
      </c>
      <c r="GS126" s="899"/>
      <c r="GT126" s="1130" t="s">
        <v>126</v>
      </c>
      <c r="GU126" s="1131"/>
      <c r="GV126" s="675" t="s">
        <v>731</v>
      </c>
      <c r="GW126" s="1094"/>
      <c r="GX126" s="676"/>
      <c r="GY126" s="821" t="s">
        <v>473</v>
      </c>
      <c r="GZ126" s="822"/>
      <c r="HA126" s="822"/>
      <c r="HB126" s="823"/>
      <c r="HC126" s="769" t="s">
        <v>462</v>
      </c>
      <c r="HD126" s="769"/>
      <c r="HE126" s="769"/>
      <c r="HF126" s="769"/>
      <c r="HI126" s="144"/>
      <c r="HJ126" s="144"/>
      <c r="HK126" s="144"/>
      <c r="HP126" s="144"/>
      <c r="HQ126" s="144"/>
      <c r="HR126" s="144"/>
      <c r="IE126" s="144"/>
      <c r="IF126" s="144"/>
      <c r="IG126" s="144"/>
      <c r="IH126" s="144"/>
      <c r="II126" s="144"/>
      <c r="IR126" s="767"/>
      <c r="IS126" s="574" t="s">
        <v>1271</v>
      </c>
      <c r="IT126" s="1074">
        <f>$JF$106</f>
        <v>2604.6891221021392</v>
      </c>
      <c r="IU126" s="1074"/>
      <c r="IV126" s="942"/>
      <c r="IW126" s="942"/>
      <c r="IX126" s="942"/>
      <c r="IY126" s="942"/>
      <c r="IZ126" s="942"/>
      <c r="JA126" s="942"/>
      <c r="JB126" s="942"/>
      <c r="JC126" s="942"/>
      <c r="JD126" s="942"/>
      <c r="JE126" s="1011"/>
      <c r="JF126" s="765"/>
      <c r="JG126" s="766"/>
      <c r="JH126" s="851"/>
      <c r="JI126" s="852"/>
      <c r="JJ126" s="715"/>
      <c r="JK126" s="718"/>
      <c r="JL126" s="719"/>
      <c r="JM126" s="747"/>
      <c r="JN126" s="767"/>
      <c r="JO126" s="767"/>
      <c r="JP126" s="767"/>
      <c r="JQ126" s="767"/>
      <c r="JR126" s="767"/>
      <c r="JX126" s="144"/>
      <c r="JY126" s="144"/>
      <c r="JZ126" s="144"/>
      <c r="KA126" s="144"/>
      <c r="KB126" s="144"/>
      <c r="KC126" s="144"/>
      <c r="KD126" s="144"/>
      <c r="KE126" s="144"/>
      <c r="KF126" s="144"/>
      <c r="KG126" s="144"/>
      <c r="KH126" s="144"/>
      <c r="KI126" s="144"/>
      <c r="KJ126" s="144"/>
      <c r="KK126" s="144"/>
      <c r="KL126" s="144"/>
      <c r="LJ126" s="144"/>
      <c r="LK126" s="144"/>
      <c r="LL126" s="144"/>
      <c r="LM126" s="144"/>
      <c r="LN126" s="144"/>
      <c r="LO126" s="144"/>
      <c r="LP126" s="144"/>
      <c r="LQ126" s="144"/>
      <c r="LV126" s="403"/>
      <c r="LW126" s="399"/>
      <c r="LX126" s="399"/>
      <c r="LY126" s="399"/>
      <c r="LZ126" s="399"/>
      <c r="MA126" s="399"/>
      <c r="MB126" s="399"/>
      <c r="MC126" s="399"/>
      <c r="MD126" s="399"/>
      <c r="ME126" s="399"/>
      <c r="MF126" s="399"/>
      <c r="MG126" s="399"/>
      <c r="MH126" s="399"/>
      <c r="MI126" s="399"/>
      <c r="MJ126" s="399"/>
      <c r="MK126" s="399"/>
      <c r="ML126" s="399"/>
      <c r="MM126" s="399"/>
      <c r="MN126" s="399"/>
      <c r="MO126" s="55"/>
      <c r="MP126" s="55"/>
      <c r="MQ126" s="55"/>
      <c r="MR126" s="55"/>
      <c r="MS126" s="399"/>
      <c r="MT126" s="55"/>
      <c r="MU126" s="55"/>
      <c r="MV126" s="55"/>
      <c r="MW126" s="55"/>
      <c r="MX126" s="55"/>
      <c r="MY126" s="55"/>
      <c r="MZ126" s="55"/>
      <c r="NA126" s="55"/>
      <c r="NB126" s="55"/>
      <c r="NC126" s="55"/>
      <c r="ND126" s="55"/>
      <c r="NE126" s="55"/>
      <c r="NF126" s="55"/>
      <c r="NG126" s="55"/>
      <c r="NH126" s="55"/>
      <c r="NI126" s="55"/>
      <c r="NJ126" s="55"/>
      <c r="NK126" s="55"/>
      <c r="NL126" s="55"/>
      <c r="NM126" s="55"/>
      <c r="NN126" s="55"/>
      <c r="NO126" s="55"/>
      <c r="NP126" s="55"/>
      <c r="NQ126" s="55"/>
      <c r="NR126" s="55"/>
      <c r="NS126" s="55"/>
      <c r="NT126" s="55"/>
      <c r="NU126" s="55"/>
      <c r="NV126" s="399"/>
      <c r="NW126" s="399"/>
      <c r="NX126" s="399"/>
      <c r="NY126" s="399"/>
      <c r="NZ126" s="399"/>
      <c r="OA126" s="399"/>
      <c r="OB126" s="399"/>
      <c r="OC126" s="399"/>
      <c r="OD126" s="399"/>
      <c r="OE126" s="399"/>
      <c r="OF126" s="399"/>
      <c r="OG126" s="399"/>
      <c r="OH126" s="399"/>
      <c r="OI126" s="399"/>
      <c r="OJ126" s="399"/>
      <c r="OK126" s="399"/>
      <c r="OL126" s="399"/>
      <c r="OM126" s="399"/>
      <c r="ON126" s="399"/>
      <c r="OO126" s="399"/>
      <c r="OP126" s="399"/>
      <c r="OQ126" s="399"/>
      <c r="OR126" s="399"/>
      <c r="OS126" s="400"/>
      <c r="OV126" s="144"/>
      <c r="OW126" s="144"/>
      <c r="OX126" s="144"/>
      <c r="OY126" s="144"/>
      <c r="OZ126" s="144"/>
      <c r="PA126" s="144"/>
      <c r="PB126" s="144"/>
      <c r="PC126" s="144"/>
      <c r="PD126" s="144"/>
      <c r="PE126" s="144"/>
      <c r="PF126" s="144"/>
      <c r="PJ126" s="826"/>
      <c r="PK126" s="503"/>
      <c r="PL126" s="948"/>
      <c r="PM126" s="965"/>
      <c r="PN126" s="700" t="s">
        <v>138</v>
      </c>
      <c r="PO126" s="701"/>
      <c r="PP126" s="701"/>
      <c r="PQ126" s="701"/>
      <c r="PR126" s="701"/>
      <c r="PS126" s="701"/>
      <c r="PT126" s="701"/>
      <c r="PU126" s="701"/>
      <c r="PV126" s="701"/>
      <c r="PW126" s="702"/>
      <c r="PX126" s="763">
        <f>PX17+PX120</f>
        <v>400.20783985168828</v>
      </c>
      <c r="PY126" s="764"/>
      <c r="PZ126" s="759" t="s">
        <v>3</v>
      </c>
      <c r="QA126" s="760"/>
      <c r="QB126" s="714"/>
      <c r="QC126" s="952" t="s">
        <v>1732</v>
      </c>
      <c r="QD126" s="953"/>
      <c r="QE126" s="746"/>
      <c r="QF126" s="767"/>
      <c r="QG126" s="767"/>
      <c r="QH126" s="767"/>
      <c r="QI126" s="767"/>
      <c r="QJ126" s="767"/>
      <c r="QK126" s="767"/>
      <c r="QL126" s="767"/>
      <c r="RB126" s="144"/>
      <c r="RC126" s="144"/>
      <c r="RD126" s="144"/>
      <c r="VB126" s="905"/>
      <c r="VC126" s="900"/>
      <c r="VD126" s="900"/>
      <c r="VE126" s="900"/>
      <c r="VF126" s="900"/>
      <c r="VG126" s="900"/>
      <c r="VH126" s="900"/>
      <c r="VI126" s="900"/>
      <c r="VJ126" s="900"/>
      <c r="VK126" s="900"/>
      <c r="VL126" s="900"/>
      <c r="VM126" s="900"/>
      <c r="VN126" s="900"/>
      <c r="VO126" s="900"/>
      <c r="VP126" s="900"/>
      <c r="VQ126" s="900"/>
      <c r="VR126" s="900"/>
      <c r="VS126" s="900"/>
      <c r="VT126" s="900"/>
      <c r="VU126" s="900"/>
      <c r="VV126" s="900"/>
      <c r="VW126" s="900"/>
      <c r="VX126" s="906"/>
      <c r="VY126" s="15"/>
      <c r="XL126" s="144"/>
      <c r="XO126" s="134"/>
      <c r="XP126" s="706"/>
      <c r="XQ126" s="707"/>
      <c r="XR126" s="707"/>
      <c r="XS126" s="707"/>
      <c r="XT126" s="707"/>
      <c r="XU126" s="707"/>
      <c r="XV126" s="707"/>
      <c r="XW126" s="707"/>
      <c r="XX126" s="707"/>
      <c r="XY126" s="707"/>
      <c r="XZ126" s="707"/>
      <c r="YA126" s="707"/>
      <c r="YB126" s="708"/>
      <c r="YC126" s="765"/>
      <c r="YD126" s="766"/>
      <c r="YE126" s="897"/>
      <c r="YF126" s="898"/>
      <c r="YG126" s="713"/>
      <c r="YH126" s="954"/>
      <c r="YI126" s="1152"/>
      <c r="YJ126" s="955"/>
      <c r="YK126" s="747"/>
      <c r="YL126" s="892"/>
      <c r="YM126" s="893"/>
      <c r="YN126" s="893"/>
      <c r="YO126" s="893"/>
      <c r="YP126" s="893"/>
      <c r="YQ126" s="894"/>
      <c r="YU126" s="144"/>
      <c r="YV126" s="144"/>
      <c r="YW126" s="144"/>
      <c r="YX126" s="144"/>
      <c r="YY126" s="144"/>
      <c r="YZ126" s="144"/>
      <c r="ZA126" s="144"/>
      <c r="ZB126" s="144"/>
      <c r="ZC126" s="144"/>
      <c r="ZD126" s="144"/>
      <c r="ZE126" s="144"/>
      <c r="ZF126" s="144"/>
      <c r="ZG126" s="144"/>
      <c r="ZH126" s="144"/>
      <c r="ZI126" s="144"/>
      <c r="ZJ126" s="144"/>
      <c r="ZK126" s="144"/>
      <c r="AAD126" s="947"/>
      <c r="AAE126" s="947"/>
      <c r="AAF126" s="947"/>
      <c r="AAG126" s="947"/>
      <c r="AAH126" s="535">
        <v>53</v>
      </c>
      <c r="AAI126" s="956"/>
      <c r="AAJ126" s="957"/>
      <c r="AAK126" s="958">
        <f t="shared" si="59"/>
        <v>0.70666666666666667</v>
      </c>
      <c r="AAL126" s="959"/>
      <c r="AAN126" s="947"/>
      <c r="AAO126" s="947"/>
      <c r="AAP126" s="947"/>
      <c r="AAQ126" s="947"/>
      <c r="AAR126" s="535">
        <v>113</v>
      </c>
      <c r="AAS126" s="956"/>
      <c r="AAT126" s="957"/>
      <c r="AAU126" s="958">
        <f t="shared" si="60"/>
        <v>1.5066666666666668</v>
      </c>
      <c r="AAV126" s="959"/>
      <c r="AAX126" s="947"/>
      <c r="AAY126" s="947"/>
      <c r="AAZ126" s="947"/>
      <c r="ABA126" s="947"/>
      <c r="ABB126" s="535">
        <v>173</v>
      </c>
      <c r="ABC126" s="956"/>
      <c r="ABD126" s="957"/>
      <c r="ABE126" s="958">
        <f t="shared" si="61"/>
        <v>2.3066666666666666</v>
      </c>
      <c r="ABF126" s="959"/>
      <c r="ABH126" s="947"/>
      <c r="ABI126" s="947"/>
      <c r="ABJ126" s="947"/>
      <c r="ABK126" s="947"/>
      <c r="ABL126" s="537">
        <v>233</v>
      </c>
      <c r="ABM126" s="956"/>
      <c r="ABN126" s="957"/>
      <c r="ABO126" s="958">
        <f t="shared" si="62"/>
        <v>3.1066666666666669</v>
      </c>
      <c r="ABP126" s="959"/>
      <c r="ABR126" s="947"/>
      <c r="ABS126" s="947"/>
      <c r="ABT126" s="947"/>
      <c r="ABU126" s="947"/>
      <c r="ABV126" s="537">
        <v>293</v>
      </c>
      <c r="ABW126" s="956"/>
      <c r="ABX126" s="957"/>
      <c r="ABY126" s="958">
        <f t="shared" si="63"/>
        <v>3.9066666666666667</v>
      </c>
      <c r="ABZ126" s="959"/>
      <c r="ADB126" s="1033">
        <v>33</v>
      </c>
      <c r="ADC126" s="1033"/>
      <c r="ADD126" s="863" t="s">
        <v>1607</v>
      </c>
      <c r="ADE126" s="863"/>
      <c r="ADF126" s="863"/>
      <c r="ADG126" s="863"/>
      <c r="ADH126" s="948">
        <f>$YC$125</f>
        <v>39.104916258795605</v>
      </c>
      <c r="ADI126" s="965"/>
      <c r="ADJ126" s="1035" t="s">
        <v>35</v>
      </c>
      <c r="ADK126" s="1036"/>
      <c r="ADL126" s="1033"/>
      <c r="ADM126" s="1033"/>
      <c r="ADN126" s="1033"/>
      <c r="ADO126" s="1033"/>
      <c r="ADP126" s="1033"/>
      <c r="ADQ126" s="1033"/>
      <c r="ADR126" s="1033"/>
      <c r="ADS126" s="1033"/>
      <c r="ADT126" s="1033"/>
      <c r="ADU126" s="1033"/>
      <c r="ADV126" s="1033"/>
      <c r="ADW126" s="1033"/>
      <c r="ADX126" s="857"/>
      <c r="ADY126" s="1015"/>
      <c r="ADZ126" s="1015"/>
      <c r="AEA126" s="1015"/>
      <c r="AEB126" s="1015"/>
      <c r="AEC126" s="1015"/>
      <c r="AED126" s="1015"/>
      <c r="AEE126" s="1015"/>
      <c r="AEF126" s="1015"/>
      <c r="AEG126" s="1015"/>
      <c r="AEH126" s="1015"/>
      <c r="AEI126" s="858"/>
      <c r="AEJ126" s="172"/>
      <c r="AEK126" s="177"/>
      <c r="AIM126" s="825"/>
      <c r="AIN126" s="665" t="s">
        <v>442</v>
      </c>
      <c r="AIO126" s="666"/>
      <c r="AIP126" s="156"/>
      <c r="AIQ126" s="87"/>
      <c r="AIR126" s="87"/>
      <c r="AIS126" s="87"/>
      <c r="AIT126" s="87"/>
      <c r="AIU126" s="87"/>
      <c r="AIV126" s="87"/>
      <c r="AIW126" s="156"/>
      <c r="AIX126" s="85" t="s">
        <v>467</v>
      </c>
      <c r="AIY126" s="757" t="s">
        <v>461</v>
      </c>
      <c r="AIZ126" s="758"/>
      <c r="AJA126" s="819" t="s">
        <v>126</v>
      </c>
      <c r="AJB126" s="820"/>
      <c r="AJC126" s="675" t="s">
        <v>731</v>
      </c>
      <c r="AJD126" s="676"/>
      <c r="AJE126" s="821" t="s">
        <v>473</v>
      </c>
      <c r="AJF126" s="822"/>
      <c r="AJG126" s="822"/>
      <c r="AJH126" s="823"/>
      <c r="AJI126" s="769" t="s">
        <v>462</v>
      </c>
      <c r="AJJ126" s="769"/>
      <c r="AJK126" s="769"/>
      <c r="AJL126" s="769"/>
    </row>
    <row r="127" spans="60:948" ht="48" customHeight="1" thickBot="1">
      <c r="BM127" s="144"/>
      <c r="BN127" s="144"/>
      <c r="BO127" s="144"/>
      <c r="BP127" s="144"/>
      <c r="BT127" s="55"/>
      <c r="BX127" s="827"/>
      <c r="BY127" s="734"/>
      <c r="BZ127" s="735"/>
      <c r="CA127" s="735"/>
      <c r="CB127" s="735"/>
      <c r="CC127" s="735"/>
      <c r="CD127" s="735"/>
      <c r="CE127" s="735"/>
      <c r="CF127" s="735"/>
      <c r="CG127" s="735"/>
      <c r="CH127" s="735"/>
      <c r="CI127" s="735"/>
      <c r="CJ127" s="735"/>
      <c r="CK127" s="736"/>
      <c r="CL127" s="1089"/>
      <c r="CM127" s="708"/>
      <c r="CN127" s="814"/>
      <c r="CO127" s="815"/>
      <c r="CP127" s="715"/>
      <c r="CQ127" s="954"/>
      <c r="CR127" s="1152"/>
      <c r="CS127" s="955"/>
      <c r="CT127" s="747"/>
      <c r="CU127" s="747"/>
      <c r="CV127" s="1566"/>
      <c r="CW127" s="1567"/>
      <c r="CX127" s="1568"/>
      <c r="CY127" s="747"/>
      <c r="CZ127" s="90"/>
      <c r="DA127" s="88"/>
      <c r="DB127" s="88"/>
      <c r="DC127" s="89"/>
      <c r="DZ127" s="826"/>
      <c r="EA127" s="574" t="s">
        <v>1785</v>
      </c>
      <c r="EB127" s="724">
        <f>$EQ$115</f>
        <v>241.8</v>
      </c>
      <c r="EC127" s="724"/>
      <c r="ED127" s="939" t="s">
        <v>829</v>
      </c>
      <c r="EE127" s="940"/>
      <c r="EF127" s="940"/>
      <c r="EG127" s="940"/>
      <c r="EH127" s="940"/>
      <c r="EI127" s="940"/>
      <c r="EJ127" s="940"/>
      <c r="EK127" s="940"/>
      <c r="EL127" s="940"/>
      <c r="EM127" s="940"/>
      <c r="EN127" s="940"/>
      <c r="EO127" s="940"/>
      <c r="EP127" s="940"/>
      <c r="EQ127" s="1087">
        <f>((EB128^2)*EE126*EB129)/EB127</f>
        <v>0.74849627791563278</v>
      </c>
      <c r="ER127" s="1006"/>
      <c r="ES127" s="1211" t="s">
        <v>762</v>
      </c>
      <c r="ET127" s="1212"/>
      <c r="EU127" s="712"/>
      <c r="EV127" s="740" t="s">
        <v>835</v>
      </c>
      <c r="EW127" s="742"/>
      <c r="EX127" s="1085"/>
      <c r="EY127" s="767"/>
      <c r="EZ127" s="767"/>
      <c r="FA127" s="767"/>
      <c r="FB127" s="767"/>
      <c r="FC127" s="767"/>
      <c r="FD127" s="767"/>
      <c r="GF127" s="826"/>
      <c r="GG127" s="700" t="s">
        <v>1097</v>
      </c>
      <c r="GH127" s="701"/>
      <c r="GI127" s="701"/>
      <c r="GJ127" s="701"/>
      <c r="GK127" s="701"/>
      <c r="GL127" s="701"/>
      <c r="GM127" s="701"/>
      <c r="GN127" s="701"/>
      <c r="GO127" s="701"/>
      <c r="GP127" s="701"/>
      <c r="GQ127" s="701"/>
      <c r="GR127" s="701"/>
      <c r="GS127" s="701"/>
      <c r="GT127" s="1087">
        <f>0.85*GT111</f>
        <v>6.8408688926023959</v>
      </c>
      <c r="GU127" s="1006"/>
      <c r="GV127" s="917" t="s">
        <v>831</v>
      </c>
      <c r="GW127" s="895"/>
      <c r="GX127" s="896"/>
      <c r="GY127" s="714"/>
      <c r="GZ127" s="952" t="s">
        <v>1099</v>
      </c>
      <c r="HA127" s="953"/>
      <c r="HB127" s="746"/>
      <c r="HC127" s="890"/>
      <c r="HD127" s="841"/>
      <c r="HE127" s="841"/>
      <c r="HF127" s="891"/>
      <c r="HI127" s="144"/>
      <c r="HJ127" s="144"/>
      <c r="HK127" s="144"/>
      <c r="HP127" s="144"/>
      <c r="HQ127" s="144"/>
      <c r="HR127" s="144"/>
      <c r="IE127" s="144"/>
      <c r="IF127" s="144"/>
      <c r="IG127" s="144"/>
      <c r="IH127" s="144"/>
      <c r="II127" s="144"/>
      <c r="IR127" s="768"/>
      <c r="IS127" s="576" t="s">
        <v>1269</v>
      </c>
      <c r="IT127" s="1534">
        <f>$JF$14</f>
        <v>81.132008095768938</v>
      </c>
      <c r="IU127" s="1534"/>
      <c r="IV127" s="944"/>
      <c r="IW127" s="944"/>
      <c r="IX127" s="944"/>
      <c r="IY127" s="944"/>
      <c r="IZ127" s="944"/>
      <c r="JA127" s="944"/>
      <c r="JB127" s="944"/>
      <c r="JC127" s="944"/>
      <c r="JD127" s="944"/>
      <c r="JE127" s="1004"/>
      <c r="JF127" s="1022"/>
      <c r="JG127" s="1023"/>
      <c r="JH127" s="1023"/>
      <c r="JI127" s="1023"/>
      <c r="JJ127" s="1023"/>
      <c r="JK127" s="1023"/>
      <c r="JL127" s="1023"/>
      <c r="JM127" s="1024"/>
      <c r="JN127" s="768"/>
      <c r="JO127" s="768"/>
      <c r="JP127" s="768"/>
      <c r="JQ127" s="768"/>
      <c r="JR127" s="768"/>
      <c r="JX127" s="144"/>
      <c r="JY127" s="144"/>
      <c r="JZ127" s="144"/>
      <c r="KA127" s="144"/>
      <c r="KB127" s="144"/>
      <c r="KC127" s="144"/>
      <c r="KD127" s="144"/>
      <c r="KE127" s="144"/>
      <c r="KF127" s="144"/>
      <c r="KG127" s="144"/>
      <c r="KH127" s="144"/>
      <c r="KI127" s="144"/>
      <c r="KJ127" s="144"/>
      <c r="KK127" s="144"/>
      <c r="KL127" s="144"/>
      <c r="LJ127" s="144"/>
      <c r="LK127" s="144"/>
      <c r="LL127" s="144"/>
      <c r="LM127" s="144"/>
      <c r="LN127" s="144"/>
      <c r="LO127" s="144"/>
      <c r="LP127" s="144"/>
      <c r="LQ127" s="144"/>
      <c r="LV127" s="403"/>
      <c r="LW127" s="399"/>
      <c r="LX127" s="399"/>
      <c r="LY127" s="399"/>
      <c r="LZ127" s="399"/>
      <c r="MA127" s="399"/>
      <c r="MB127" s="399"/>
      <c r="MC127" s="399"/>
      <c r="MD127" s="399"/>
      <c r="ME127" s="399"/>
      <c r="MF127" s="399"/>
      <c r="MG127" s="399"/>
      <c r="MH127" s="399"/>
      <c r="MI127" s="399"/>
      <c r="MJ127" s="399"/>
      <c r="MK127" s="399"/>
      <c r="ML127" s="399"/>
      <c r="MM127" s="399"/>
      <c r="MN127" s="399"/>
      <c r="MO127" s="399"/>
      <c r="MP127" s="399"/>
      <c r="MQ127" s="399"/>
      <c r="MR127" s="55"/>
      <c r="MS127" s="399"/>
      <c r="MT127" s="55"/>
      <c r="MU127" s="399"/>
      <c r="MV127" s="399"/>
      <c r="MW127" s="399"/>
      <c r="MX127" s="399"/>
      <c r="MY127" s="399"/>
      <c r="MZ127" s="399"/>
      <c r="NA127" s="399"/>
      <c r="NB127" s="399"/>
      <c r="NC127" s="399"/>
      <c r="ND127" s="399"/>
      <c r="NE127" s="399"/>
      <c r="NF127" s="399"/>
      <c r="NG127" s="399"/>
      <c r="NH127" s="399"/>
      <c r="NI127" s="399"/>
      <c r="NJ127" s="399"/>
      <c r="NK127" s="399"/>
      <c r="NL127" s="399"/>
      <c r="NM127" s="399"/>
      <c r="NN127" s="399"/>
      <c r="NO127" s="399"/>
      <c r="NP127" s="399"/>
      <c r="NQ127" s="399"/>
      <c r="NR127" s="399"/>
      <c r="NS127" s="399"/>
      <c r="NT127" s="399"/>
      <c r="NU127" s="399"/>
      <c r="NV127" s="399"/>
      <c r="NW127" s="399"/>
      <c r="NX127" s="399"/>
      <c r="NY127" s="399"/>
      <c r="NZ127" s="399"/>
      <c r="OA127" s="399"/>
      <c r="OB127" s="399"/>
      <c r="OC127" s="399"/>
      <c r="OD127" s="399"/>
      <c r="OE127" s="399"/>
      <c r="OF127" s="399"/>
      <c r="OG127" s="399"/>
      <c r="OH127" s="399"/>
      <c r="OI127" s="399"/>
      <c r="OJ127" s="399"/>
      <c r="OK127" s="399"/>
      <c r="OL127" s="399"/>
      <c r="OM127" s="399"/>
      <c r="ON127" s="399"/>
      <c r="OO127" s="399"/>
      <c r="OP127" s="399"/>
      <c r="OQ127" s="399"/>
      <c r="OR127" s="399"/>
      <c r="OS127" s="400"/>
      <c r="OV127" s="144"/>
      <c r="OW127" s="144"/>
      <c r="OX127" s="144"/>
      <c r="OY127" s="144"/>
      <c r="OZ127" s="144"/>
      <c r="PA127" s="144"/>
      <c r="PB127" s="144"/>
      <c r="PC127" s="144"/>
      <c r="PD127" s="144"/>
      <c r="PE127" s="144"/>
      <c r="PF127" s="144"/>
      <c r="PJ127" s="827"/>
      <c r="PK127" s="505"/>
      <c r="PL127" s="963"/>
      <c r="PM127" s="964"/>
      <c r="PN127" s="706"/>
      <c r="PO127" s="707"/>
      <c r="PP127" s="707"/>
      <c r="PQ127" s="707"/>
      <c r="PR127" s="707"/>
      <c r="PS127" s="707"/>
      <c r="PT127" s="707"/>
      <c r="PU127" s="707"/>
      <c r="PV127" s="707"/>
      <c r="PW127" s="708"/>
      <c r="PX127" s="765"/>
      <c r="PY127" s="766"/>
      <c r="PZ127" s="761"/>
      <c r="QA127" s="762"/>
      <c r="QB127" s="715"/>
      <c r="QC127" s="954"/>
      <c r="QD127" s="955"/>
      <c r="QE127" s="747"/>
      <c r="QF127" s="768"/>
      <c r="QG127" s="768"/>
      <c r="QH127" s="768"/>
      <c r="QI127" s="768"/>
      <c r="QJ127" s="768"/>
      <c r="QK127" s="768"/>
      <c r="QL127" s="768"/>
      <c r="RB127" s="144"/>
      <c r="RC127" s="144"/>
      <c r="RD127" s="144"/>
      <c r="VB127" s="905"/>
      <c r="VC127" s="900"/>
      <c r="VD127" s="900"/>
      <c r="VE127" s="900"/>
      <c r="VF127" s="900"/>
      <c r="VG127" s="900"/>
      <c r="VH127" s="900"/>
      <c r="VI127" s="900"/>
      <c r="VJ127" s="900"/>
      <c r="VK127" s="900"/>
      <c r="VL127" s="900"/>
      <c r="VM127" s="900"/>
      <c r="VN127" s="900"/>
      <c r="VO127" s="900"/>
      <c r="VP127" s="900"/>
      <c r="VQ127" s="900"/>
      <c r="VR127" s="900"/>
      <c r="VS127" s="900"/>
      <c r="VT127" s="900"/>
      <c r="VU127" s="900"/>
      <c r="VV127" s="900"/>
      <c r="VW127" s="900"/>
      <c r="VX127" s="906"/>
      <c r="VY127" s="15"/>
      <c r="XL127" s="144"/>
      <c r="YU127" s="144"/>
      <c r="YV127" s="144"/>
      <c r="YW127" s="144"/>
      <c r="YX127" s="144"/>
      <c r="YY127" s="144"/>
      <c r="YZ127" s="144"/>
      <c r="ZA127" s="144"/>
      <c r="ZB127" s="144"/>
      <c r="ZC127" s="144"/>
      <c r="ZD127" s="144"/>
      <c r="ZE127" s="144"/>
      <c r="ZF127" s="144"/>
      <c r="ZG127" s="144"/>
      <c r="ZH127" s="144"/>
      <c r="ZI127" s="144"/>
      <c r="ZJ127" s="144"/>
      <c r="ZK127" s="144"/>
      <c r="AAD127" s="947"/>
      <c r="AAE127" s="947"/>
      <c r="AAF127" s="947"/>
      <c r="AAG127" s="947"/>
      <c r="AAH127" s="535">
        <v>54</v>
      </c>
      <c r="AAI127" s="956"/>
      <c r="AAJ127" s="957"/>
      <c r="AAK127" s="958">
        <f t="shared" si="59"/>
        <v>0.72000000000000008</v>
      </c>
      <c r="AAL127" s="959"/>
      <c r="AAN127" s="947"/>
      <c r="AAO127" s="947"/>
      <c r="AAP127" s="947"/>
      <c r="AAQ127" s="947"/>
      <c r="AAR127" s="535">
        <v>114</v>
      </c>
      <c r="AAS127" s="956"/>
      <c r="AAT127" s="957"/>
      <c r="AAU127" s="958">
        <f t="shared" si="60"/>
        <v>1.52</v>
      </c>
      <c r="AAV127" s="959"/>
      <c r="AAX127" s="947"/>
      <c r="AAY127" s="947"/>
      <c r="AAZ127" s="947"/>
      <c r="ABA127" s="947"/>
      <c r="ABB127" s="535">
        <v>174</v>
      </c>
      <c r="ABC127" s="956"/>
      <c r="ABD127" s="957"/>
      <c r="ABE127" s="958">
        <f t="shared" si="61"/>
        <v>2.3200000000000003</v>
      </c>
      <c r="ABF127" s="959"/>
      <c r="ABH127" s="947"/>
      <c r="ABI127" s="947"/>
      <c r="ABJ127" s="947"/>
      <c r="ABK127" s="947"/>
      <c r="ABL127" s="537">
        <v>234</v>
      </c>
      <c r="ABM127" s="956"/>
      <c r="ABN127" s="957"/>
      <c r="ABO127" s="958">
        <f t="shared" si="62"/>
        <v>3.12</v>
      </c>
      <c r="ABP127" s="959"/>
      <c r="ABR127" s="947"/>
      <c r="ABS127" s="947"/>
      <c r="ABT127" s="947"/>
      <c r="ABU127" s="947"/>
      <c r="ABV127" s="537">
        <v>294</v>
      </c>
      <c r="ABW127" s="956"/>
      <c r="ABX127" s="957"/>
      <c r="ABY127" s="958">
        <f t="shared" si="63"/>
        <v>3.9200000000000004</v>
      </c>
      <c r="ABZ127" s="959"/>
      <c r="ADB127" s="1033"/>
      <c r="ADC127" s="1033"/>
      <c r="ADD127" s="192"/>
      <c r="ADE127" s="187"/>
      <c r="ADF127" s="187"/>
      <c r="ADG127" s="187"/>
      <c r="ADH127" s="187"/>
      <c r="ADI127" s="188"/>
      <c r="ADJ127" s="1037"/>
      <c r="ADK127" s="1038"/>
      <c r="ADL127" s="1033"/>
      <c r="ADM127" s="1033"/>
      <c r="ADN127" s="1033"/>
      <c r="ADO127" s="1033"/>
      <c r="ADP127" s="1033"/>
      <c r="ADQ127" s="1033"/>
      <c r="ADR127" s="1033"/>
      <c r="ADS127" s="1033"/>
      <c r="ADT127" s="1033"/>
      <c r="ADU127" s="1033"/>
      <c r="ADV127" s="1033"/>
      <c r="ADW127" s="1033"/>
      <c r="ADX127" s="859"/>
      <c r="ADY127" s="1016"/>
      <c r="ADZ127" s="1016"/>
      <c r="AEA127" s="1016"/>
      <c r="AEB127" s="1016"/>
      <c r="AEC127" s="1016"/>
      <c r="AED127" s="1016"/>
      <c r="AEE127" s="1016"/>
      <c r="AEF127" s="1016"/>
      <c r="AEG127" s="1016"/>
      <c r="AEH127" s="1016"/>
      <c r="AEI127" s="860"/>
      <c r="AEJ127" s="172"/>
      <c r="AEK127" s="177"/>
      <c r="AIM127" s="826"/>
      <c r="AIN127" s="727" t="s">
        <v>165</v>
      </c>
      <c r="AIO127" s="727"/>
      <c r="AIP127" s="727"/>
      <c r="AIQ127" s="727"/>
      <c r="AIR127" s="727"/>
      <c r="AIS127" s="727"/>
      <c r="AIT127" s="727"/>
      <c r="AIU127" s="727"/>
      <c r="AIV127" s="727"/>
      <c r="AIW127" s="727"/>
      <c r="AIX127" s="727"/>
      <c r="AIY127" s="727"/>
      <c r="AIZ127" s="727"/>
      <c r="AJA127" s="763">
        <f>(AJA131/(AJA147*AJD119))/1000</f>
        <v>1.0067612469261475</v>
      </c>
      <c r="AJB127" s="764"/>
      <c r="AJC127" s="1005"/>
      <c r="AJD127" s="1006"/>
      <c r="AJE127" s="712"/>
      <c r="AJF127" s="716" t="s">
        <v>442</v>
      </c>
      <c r="AJG127" s="717"/>
      <c r="AJH127" s="746"/>
      <c r="AJI127" s="890"/>
      <c r="AJJ127" s="841"/>
      <c r="AJK127" s="841"/>
      <c r="AJL127" s="891"/>
    </row>
    <row r="128" spans="60:948" ht="48" customHeight="1" thickBot="1">
      <c r="BT128" s="55"/>
      <c r="CG128" s="139"/>
      <c r="CH128" s="139"/>
      <c r="CI128" s="139"/>
      <c r="CJ128" s="139"/>
      <c r="DZ128" s="826"/>
      <c r="EA128" s="574" t="s">
        <v>1783</v>
      </c>
      <c r="EB128" s="739">
        <f>$CO$118</f>
        <v>1.26</v>
      </c>
      <c r="EC128" s="739"/>
      <c r="ED128" s="941"/>
      <c r="EE128" s="942"/>
      <c r="EF128" s="942"/>
      <c r="EG128" s="942"/>
      <c r="EH128" s="942"/>
      <c r="EI128" s="942"/>
      <c r="EJ128" s="942"/>
      <c r="EK128" s="942"/>
      <c r="EL128" s="942"/>
      <c r="EM128" s="942"/>
      <c r="EN128" s="942"/>
      <c r="EO128" s="942"/>
      <c r="EP128" s="942"/>
      <c r="EQ128" s="1208"/>
      <c r="ER128" s="705"/>
      <c r="ES128" s="1213"/>
      <c r="ET128" s="1214"/>
      <c r="EU128" s="1207"/>
      <c r="EV128" s="1166"/>
      <c r="EW128" s="1168"/>
      <c r="EX128" s="1085"/>
      <c r="EY128" s="767"/>
      <c r="EZ128" s="767"/>
      <c r="FA128" s="767"/>
      <c r="FB128" s="767"/>
      <c r="FC128" s="767"/>
      <c r="FD128" s="767"/>
      <c r="GF128" s="827"/>
      <c r="GG128" s="706"/>
      <c r="GH128" s="707"/>
      <c r="GI128" s="707"/>
      <c r="GJ128" s="707"/>
      <c r="GK128" s="707"/>
      <c r="GL128" s="707"/>
      <c r="GM128" s="707"/>
      <c r="GN128" s="707"/>
      <c r="GO128" s="707"/>
      <c r="GP128" s="707"/>
      <c r="GQ128" s="707"/>
      <c r="GR128" s="707"/>
      <c r="GS128" s="707"/>
      <c r="GT128" s="1089"/>
      <c r="GU128" s="708"/>
      <c r="GV128" s="918"/>
      <c r="GW128" s="897"/>
      <c r="GX128" s="898"/>
      <c r="GY128" s="715"/>
      <c r="GZ128" s="954"/>
      <c r="HA128" s="955"/>
      <c r="HB128" s="747"/>
      <c r="HC128" s="892"/>
      <c r="HD128" s="893"/>
      <c r="HE128" s="893"/>
      <c r="HF128" s="894"/>
      <c r="HI128" s="144"/>
      <c r="HJ128" s="144"/>
      <c r="HK128" s="144"/>
      <c r="HP128" s="144"/>
      <c r="HQ128" s="144"/>
      <c r="HR128" s="144"/>
      <c r="IE128" s="144"/>
      <c r="IF128" s="144"/>
      <c r="IG128" s="144"/>
      <c r="IH128" s="144"/>
      <c r="II128" s="144"/>
      <c r="JX128" s="144"/>
      <c r="JY128" s="144"/>
      <c r="JZ128" s="144"/>
      <c r="KA128" s="144"/>
      <c r="KB128" s="144"/>
      <c r="KC128" s="144"/>
      <c r="KD128" s="144"/>
      <c r="KE128" s="144"/>
      <c r="KF128" s="144"/>
      <c r="KG128" s="144"/>
      <c r="KH128" s="144"/>
      <c r="KI128" s="144"/>
      <c r="KJ128" s="144"/>
      <c r="KK128" s="144"/>
      <c r="KL128" s="144"/>
      <c r="LV128" s="403"/>
      <c r="LW128" s="399"/>
      <c r="LX128" s="399"/>
      <c r="LY128" s="399"/>
      <c r="LZ128" s="399"/>
      <c r="MA128" s="399"/>
      <c r="MB128" s="399"/>
      <c r="MC128" s="399"/>
      <c r="MD128" s="399"/>
      <c r="ME128" s="399"/>
      <c r="MF128" s="399"/>
      <c r="MG128" s="399"/>
      <c r="MH128" s="399"/>
      <c r="MI128" s="399"/>
      <c r="MJ128" s="399"/>
      <c r="MK128" s="399"/>
      <c r="ML128" s="399"/>
      <c r="MM128" s="399"/>
      <c r="MN128" s="825"/>
      <c r="MO128" s="147" t="s">
        <v>442</v>
      </c>
      <c r="MP128" s="148"/>
      <c r="MQ128" s="397"/>
      <c r="MR128" s="396" t="s">
        <v>1432</v>
      </c>
      <c r="MS128" s="739">
        <f>IF(NJ109=NG108,MN123,
IF(NJ109=NG109,NY123,"Введите корректный тип укорочения"))</f>
        <v>0.25</v>
      </c>
      <c r="MT128" s="739"/>
      <c r="MU128" s="87"/>
      <c r="MV128" s="87"/>
      <c r="MW128" s="87"/>
      <c r="MX128" s="397"/>
      <c r="MY128" s="85" t="s">
        <v>467</v>
      </c>
      <c r="MZ128" s="757" t="s">
        <v>461</v>
      </c>
      <c r="NA128" s="758"/>
      <c r="NB128" s="1130" t="s">
        <v>126</v>
      </c>
      <c r="NC128" s="1131"/>
      <c r="ND128" s="675" t="s">
        <v>731</v>
      </c>
      <c r="NE128" s="676"/>
      <c r="NF128" s="769" t="s">
        <v>473</v>
      </c>
      <c r="NG128" s="769"/>
      <c r="NH128" s="769"/>
      <c r="NI128" s="769"/>
      <c r="NJ128" s="769"/>
      <c r="NK128" s="769" t="s">
        <v>462</v>
      </c>
      <c r="NL128" s="769"/>
      <c r="NM128" s="769"/>
      <c r="NN128" s="769"/>
      <c r="NO128" s="769"/>
      <c r="NP128" s="769"/>
      <c r="NQ128" s="769"/>
      <c r="NR128" s="821" t="s">
        <v>921</v>
      </c>
      <c r="NS128" s="822"/>
      <c r="NT128" s="823"/>
      <c r="NU128" s="399"/>
      <c r="NV128" s="399"/>
      <c r="NW128" s="399"/>
      <c r="NX128" s="399"/>
      <c r="NY128" s="399"/>
      <c r="NZ128" s="399"/>
      <c r="OA128" s="399"/>
      <c r="OB128" s="399"/>
      <c r="OC128" s="399"/>
      <c r="OD128" s="399"/>
      <c r="OE128" s="399"/>
      <c r="OF128" s="399"/>
      <c r="OG128" s="399"/>
      <c r="OH128" s="399"/>
      <c r="OI128" s="399"/>
      <c r="OJ128" s="399"/>
      <c r="OK128" s="399"/>
      <c r="OL128" s="399"/>
      <c r="OM128" s="399"/>
      <c r="ON128" s="399"/>
      <c r="OO128" s="399"/>
      <c r="OP128" s="399"/>
      <c r="OQ128" s="399"/>
      <c r="OR128" s="399"/>
      <c r="OS128" s="400"/>
      <c r="OV128" s="144"/>
      <c r="OW128" s="144"/>
      <c r="OX128" s="144"/>
      <c r="OY128" s="144"/>
      <c r="OZ128" s="144"/>
      <c r="PA128" s="144"/>
      <c r="PB128" s="144"/>
      <c r="PC128" s="144"/>
      <c r="PD128" s="144"/>
      <c r="PE128" s="144"/>
      <c r="PF128" s="144"/>
      <c r="RB128" s="144"/>
      <c r="RC128" s="144"/>
      <c r="RD128" s="144"/>
      <c r="VB128" s="905"/>
      <c r="VC128" s="900"/>
      <c r="VD128" s="900"/>
      <c r="VE128" s="900"/>
      <c r="VF128" s="900"/>
      <c r="VG128" s="900"/>
      <c r="VH128" s="900"/>
      <c r="VI128" s="900"/>
      <c r="VJ128" s="900"/>
      <c r="VK128" s="900"/>
      <c r="VL128" s="900"/>
      <c r="VM128" s="900"/>
      <c r="VN128" s="900"/>
      <c r="VO128" s="900"/>
      <c r="VP128" s="900"/>
      <c r="VQ128" s="900"/>
      <c r="VR128" s="900"/>
      <c r="VS128" s="900"/>
      <c r="VT128" s="900"/>
      <c r="VU128" s="900"/>
      <c r="VV128" s="900"/>
      <c r="VW128" s="900"/>
      <c r="VX128" s="906"/>
      <c r="XL128" s="144"/>
      <c r="YU128" s="144"/>
      <c r="YV128" s="144"/>
      <c r="YW128" s="144"/>
      <c r="YX128" s="144"/>
      <c r="YY128" s="144"/>
      <c r="YZ128" s="144"/>
      <c r="ZA128" s="144"/>
      <c r="ZB128" s="144"/>
      <c r="ZC128" s="144"/>
      <c r="ZD128" s="144"/>
      <c r="ZE128" s="144"/>
      <c r="ZF128" s="144"/>
      <c r="ZG128" s="144"/>
      <c r="ZH128" s="144"/>
      <c r="ZI128" s="144"/>
      <c r="ZJ128" s="144"/>
      <c r="ZK128" s="144"/>
      <c r="AAD128" s="947"/>
      <c r="AAE128" s="947"/>
      <c r="AAF128" s="947"/>
      <c r="AAG128" s="947"/>
      <c r="AAH128" s="535">
        <v>55</v>
      </c>
      <c r="AAI128" s="956"/>
      <c r="AAJ128" s="957"/>
      <c r="AAK128" s="958">
        <f t="shared" si="59"/>
        <v>0.73333333333333339</v>
      </c>
      <c r="AAL128" s="959"/>
      <c r="AAN128" s="947"/>
      <c r="AAO128" s="947"/>
      <c r="AAP128" s="947"/>
      <c r="AAQ128" s="947"/>
      <c r="AAR128" s="535">
        <v>115</v>
      </c>
      <c r="AAS128" s="956"/>
      <c r="AAT128" s="957"/>
      <c r="AAU128" s="958">
        <f t="shared" si="60"/>
        <v>1.5333333333333334</v>
      </c>
      <c r="AAV128" s="959"/>
      <c r="AAX128" s="947"/>
      <c r="AAY128" s="947"/>
      <c r="AAZ128" s="947"/>
      <c r="ABA128" s="947"/>
      <c r="ABB128" s="535">
        <v>175</v>
      </c>
      <c r="ABC128" s="956"/>
      <c r="ABD128" s="957"/>
      <c r="ABE128" s="958">
        <f t="shared" si="61"/>
        <v>2.3333333333333335</v>
      </c>
      <c r="ABF128" s="959"/>
      <c r="ABH128" s="947"/>
      <c r="ABI128" s="947"/>
      <c r="ABJ128" s="947"/>
      <c r="ABK128" s="947"/>
      <c r="ABL128" s="537">
        <v>235</v>
      </c>
      <c r="ABM128" s="956"/>
      <c r="ABN128" s="957"/>
      <c r="ABO128" s="958">
        <f t="shared" si="62"/>
        <v>3.1333333333333337</v>
      </c>
      <c r="ABP128" s="959"/>
      <c r="ABR128" s="947"/>
      <c r="ABS128" s="947"/>
      <c r="ABT128" s="947"/>
      <c r="ABU128" s="947"/>
      <c r="ABV128" s="537">
        <v>295</v>
      </c>
      <c r="ABW128" s="956"/>
      <c r="ABX128" s="957"/>
      <c r="ABY128" s="958">
        <f t="shared" si="63"/>
        <v>3.9333333333333336</v>
      </c>
      <c r="ABZ128" s="959"/>
      <c r="ADB128" s="1033"/>
      <c r="ADC128" s="1033"/>
      <c r="ADD128" s="183"/>
      <c r="ADE128" s="184"/>
      <c r="ADF128" s="184"/>
      <c r="ADG128" s="184"/>
      <c r="ADH128" s="184"/>
      <c r="ADI128" s="186"/>
      <c r="ADJ128" s="1039"/>
      <c r="ADK128" s="1040"/>
      <c r="ADL128" s="1033"/>
      <c r="ADM128" s="1033"/>
      <c r="ADN128" s="1033"/>
      <c r="ADO128" s="1033"/>
      <c r="ADP128" s="1033"/>
      <c r="ADQ128" s="1033"/>
      <c r="ADR128" s="1033"/>
      <c r="ADS128" s="1033"/>
      <c r="ADT128" s="1033"/>
      <c r="ADU128" s="1033"/>
      <c r="ADV128" s="1033"/>
      <c r="ADW128" s="1033"/>
      <c r="ADX128" s="861"/>
      <c r="ADY128" s="1017"/>
      <c r="ADZ128" s="1017"/>
      <c r="AEA128" s="1017"/>
      <c r="AEB128" s="1017"/>
      <c r="AEC128" s="1017"/>
      <c r="AED128" s="1017"/>
      <c r="AEE128" s="1017"/>
      <c r="AEF128" s="1017"/>
      <c r="AEG128" s="1017"/>
      <c r="AEH128" s="1017"/>
      <c r="AEI128" s="862"/>
      <c r="AEJ128" s="172"/>
      <c r="AEK128" s="177"/>
      <c r="AIM128" s="827"/>
      <c r="AIN128" s="729"/>
      <c r="AIO128" s="729"/>
      <c r="AIP128" s="729"/>
      <c r="AIQ128" s="729"/>
      <c r="AIR128" s="729"/>
      <c r="AIS128" s="729"/>
      <c r="AIT128" s="729"/>
      <c r="AIU128" s="729"/>
      <c r="AIV128" s="729"/>
      <c r="AIW128" s="729"/>
      <c r="AIX128" s="729"/>
      <c r="AIY128" s="729"/>
      <c r="AIZ128" s="729"/>
      <c r="AJA128" s="765"/>
      <c r="AJB128" s="766"/>
      <c r="AJC128" s="706"/>
      <c r="AJD128" s="708"/>
      <c r="AJE128" s="713"/>
      <c r="AJF128" s="718"/>
      <c r="AJG128" s="719"/>
      <c r="AJH128" s="747"/>
      <c r="AJI128" s="892"/>
      <c r="AJJ128" s="893"/>
      <c r="AJK128" s="893"/>
      <c r="AJL128" s="894"/>
    </row>
    <row r="129" spans="72:956" ht="48" customHeight="1" thickBot="1">
      <c r="BT129" s="55"/>
      <c r="BX129" s="825"/>
      <c r="BY129" s="665" t="s">
        <v>41</v>
      </c>
      <c r="BZ129" s="666"/>
      <c r="CA129" s="146"/>
      <c r="CB129" s="571" t="s">
        <v>1189</v>
      </c>
      <c r="CC129" s="698">
        <f>$CL$52</f>
        <v>32.488628979857047</v>
      </c>
      <c r="CD129" s="726"/>
      <c r="CE129" s="574" t="s">
        <v>774</v>
      </c>
      <c r="CF129" s="724">
        <f>$CO$56</f>
        <v>1</v>
      </c>
      <c r="CG129" s="724"/>
      <c r="CH129" s="146"/>
      <c r="CI129" s="85" t="s">
        <v>467</v>
      </c>
      <c r="CJ129" s="757" t="s">
        <v>461</v>
      </c>
      <c r="CK129" s="758"/>
      <c r="CL129" s="819" t="s">
        <v>126</v>
      </c>
      <c r="CM129" s="820"/>
      <c r="CN129" s="675" t="s">
        <v>731</v>
      </c>
      <c r="CO129" s="676"/>
      <c r="CP129" s="821" t="s">
        <v>473</v>
      </c>
      <c r="CQ129" s="822"/>
      <c r="CR129" s="822"/>
      <c r="CS129" s="823"/>
      <c r="CT129" s="821" t="s">
        <v>462</v>
      </c>
      <c r="CU129" s="822"/>
      <c r="CV129" s="822"/>
      <c r="CW129" s="823"/>
      <c r="DZ129" s="827"/>
      <c r="EA129" s="576" t="s">
        <v>1784</v>
      </c>
      <c r="EB129" s="738">
        <f>$CO$122</f>
        <v>6</v>
      </c>
      <c r="EC129" s="738"/>
      <c r="ED129" s="943"/>
      <c r="EE129" s="944"/>
      <c r="EF129" s="944"/>
      <c r="EG129" s="944"/>
      <c r="EH129" s="944"/>
      <c r="EI129" s="944"/>
      <c r="EJ129" s="944"/>
      <c r="EK129" s="944"/>
      <c r="EL129" s="944"/>
      <c r="EM129" s="944"/>
      <c r="EN129" s="944"/>
      <c r="EO129" s="944"/>
      <c r="EP129" s="944"/>
      <c r="EQ129" s="1089"/>
      <c r="ER129" s="708"/>
      <c r="ES129" s="1215"/>
      <c r="ET129" s="1216"/>
      <c r="EU129" s="1209"/>
      <c r="EV129" s="1209"/>
      <c r="EW129" s="1209"/>
      <c r="EX129" s="1210"/>
      <c r="EY129" s="768"/>
      <c r="EZ129" s="768"/>
      <c r="FA129" s="768"/>
      <c r="FB129" s="768"/>
      <c r="FC129" s="768"/>
      <c r="FD129" s="768"/>
      <c r="HI129" s="144"/>
      <c r="HJ129" s="144"/>
      <c r="HK129" s="144"/>
      <c r="HL129" s="144"/>
      <c r="IR129" s="554"/>
      <c r="IS129" s="513"/>
      <c r="IT129" s="547" t="s">
        <v>1222</v>
      </c>
      <c r="IU129" s="677">
        <f>$JF$37</f>
        <v>1.5000000000000002</v>
      </c>
      <c r="IV129" s="677"/>
      <c r="IW129" s="554"/>
      <c r="IX129" s="513"/>
      <c r="IY129" s="513"/>
      <c r="IZ129" s="513"/>
      <c r="JA129" s="513"/>
      <c r="JB129" s="513"/>
      <c r="JC129" s="513"/>
      <c r="JD129" s="513"/>
      <c r="JE129" s="513"/>
      <c r="JF129" s="513"/>
      <c r="JG129" s="513"/>
      <c r="JH129" s="513"/>
      <c r="JI129" s="513"/>
      <c r="JJ129" s="513"/>
      <c r="JK129" s="513"/>
      <c r="JL129" s="513"/>
      <c r="JM129" s="513"/>
      <c r="JN129" s="513"/>
      <c r="JO129" s="513"/>
      <c r="JP129" s="519"/>
      <c r="JS129" s="144"/>
      <c r="JT129" s="144"/>
      <c r="LV129" s="403"/>
      <c r="LW129" s="399"/>
      <c r="LX129" s="399"/>
      <c r="LY129" s="399"/>
      <c r="LZ129" s="399"/>
      <c r="MA129" s="399"/>
      <c r="MB129" s="399"/>
      <c r="MC129" s="399"/>
      <c r="MD129" s="399"/>
      <c r="ME129" s="399"/>
      <c r="MF129" s="399"/>
      <c r="MG129" s="399"/>
      <c r="MH129" s="399"/>
      <c r="MI129" s="399"/>
      <c r="MJ129" s="399"/>
      <c r="MK129" s="399"/>
      <c r="ML129" s="399"/>
      <c r="MM129" s="399"/>
      <c r="MN129" s="826"/>
      <c r="MO129" s="700" t="s">
        <v>1404</v>
      </c>
      <c r="MP129" s="701"/>
      <c r="MQ129" s="701"/>
      <c r="MR129" s="701"/>
      <c r="MS129" s="701"/>
      <c r="MT129" s="701"/>
      <c r="MU129" s="701"/>
      <c r="MV129" s="701"/>
      <c r="MW129" s="701"/>
      <c r="MX129" s="701"/>
      <c r="MY129" s="701"/>
      <c r="MZ129" s="701"/>
      <c r="NA129" s="702"/>
      <c r="NB129" s="1046">
        <f>0.25*(1+3*MS128)</f>
        <v>0.4375</v>
      </c>
      <c r="NC129" s="1047"/>
      <c r="ND129" s="1088"/>
      <c r="NE129" s="1006"/>
      <c r="NF129" s="714"/>
      <c r="NG129" s="740" t="s">
        <v>1433</v>
      </c>
      <c r="NH129" s="741"/>
      <c r="NI129" s="742"/>
      <c r="NJ129" s="746"/>
      <c r="NK129" s="767"/>
      <c r="NL129" s="767"/>
      <c r="NM129" s="767"/>
      <c r="NN129" s="767"/>
      <c r="NO129" s="767"/>
      <c r="NP129" s="767"/>
      <c r="NQ129" s="767"/>
      <c r="NR129" s="1066" t="s">
        <v>920</v>
      </c>
      <c r="NS129" s="1111"/>
      <c r="NT129" s="1067"/>
      <c r="NU129" s="399"/>
      <c r="NV129" s="399"/>
      <c r="NW129" s="399"/>
      <c r="NX129" s="399"/>
      <c r="NY129" s="399"/>
      <c r="NZ129" s="399"/>
      <c r="OA129" s="399"/>
      <c r="OB129" s="399"/>
      <c r="OC129" s="399"/>
      <c r="OD129" s="399"/>
      <c r="OE129" s="399"/>
      <c r="OF129" s="399"/>
      <c r="OG129" s="399"/>
      <c r="OH129" s="399"/>
      <c r="OI129" s="399"/>
      <c r="OJ129" s="399"/>
      <c r="OK129" s="399"/>
      <c r="OL129" s="399"/>
      <c r="OM129" s="399"/>
      <c r="ON129" s="399"/>
      <c r="OO129" s="399"/>
      <c r="OP129" s="399"/>
      <c r="OQ129" s="399"/>
      <c r="OR129" s="399"/>
      <c r="OS129" s="400"/>
      <c r="OV129" s="144"/>
      <c r="OW129" s="144"/>
      <c r="OX129" s="144"/>
      <c r="OY129" s="144"/>
      <c r="OZ129" s="144"/>
      <c r="PA129" s="144"/>
      <c r="PB129" s="144"/>
      <c r="PC129" s="144"/>
      <c r="PD129" s="144"/>
      <c r="PE129" s="144"/>
      <c r="PF129" s="144"/>
      <c r="PL129" s="504"/>
      <c r="PM129" s="665" t="s">
        <v>1661</v>
      </c>
      <c r="PN129" s="667"/>
      <c r="PO129" s="504"/>
      <c r="PP129" s="685" t="s">
        <v>1669</v>
      </c>
      <c r="PQ129" s="686"/>
      <c r="PR129" s="686"/>
      <c r="PS129" s="686"/>
      <c r="PT129" s="686"/>
      <c r="PU129" s="686"/>
      <c r="PV129" s="686"/>
      <c r="PW129" s="686"/>
      <c r="PX129" s="686"/>
      <c r="PY129" s="686"/>
      <c r="PZ129" s="687"/>
      <c r="QA129" s="504"/>
      <c r="QS129" s="144"/>
      <c r="QT129" s="144"/>
      <c r="QU129" s="144"/>
      <c r="QV129" s="144"/>
      <c r="QW129" s="144"/>
      <c r="QX129" s="144"/>
      <c r="QY129" s="144"/>
      <c r="QZ129" s="144"/>
      <c r="RA129" s="144"/>
      <c r="RB129" s="144"/>
      <c r="RC129" s="144"/>
      <c r="RD129" s="144"/>
      <c r="VB129" s="905"/>
      <c r="VC129" s="900"/>
      <c r="VD129" s="900"/>
      <c r="VE129" s="900"/>
      <c r="VF129" s="900"/>
      <c r="VG129" s="900"/>
      <c r="VH129" s="900"/>
      <c r="VI129" s="900"/>
      <c r="VJ129" s="900"/>
      <c r="VK129" s="900"/>
      <c r="VL129" s="900"/>
      <c r="VM129" s="900"/>
      <c r="VN129" s="900"/>
      <c r="VO129" s="900"/>
      <c r="VP129" s="900"/>
      <c r="VQ129" s="900"/>
      <c r="VR129" s="900"/>
      <c r="VS129" s="900"/>
      <c r="VT129" s="900"/>
      <c r="VU129" s="900"/>
      <c r="VV129" s="900"/>
      <c r="VW129" s="900"/>
      <c r="VX129" s="906"/>
      <c r="XL129" s="144"/>
      <c r="XQ129" s="216"/>
      <c r="XR129" s="665" t="s">
        <v>944</v>
      </c>
      <c r="XS129" s="667"/>
      <c r="XT129" s="216"/>
      <c r="XU129" s="685" t="s">
        <v>156</v>
      </c>
      <c r="XV129" s="686"/>
      <c r="XW129" s="686"/>
      <c r="XX129" s="686"/>
      <c r="XY129" s="686"/>
      <c r="XZ129" s="686"/>
      <c r="YA129" s="686"/>
      <c r="YB129" s="686"/>
      <c r="YC129" s="686"/>
      <c r="YD129" s="686"/>
      <c r="YE129" s="687"/>
      <c r="YF129" s="216"/>
      <c r="YU129" s="144"/>
      <c r="YV129" s="144"/>
      <c r="YW129" s="144"/>
      <c r="YX129" s="144"/>
      <c r="YY129" s="144"/>
      <c r="YZ129" s="144"/>
      <c r="ZA129" s="144"/>
      <c r="ZB129" s="144"/>
      <c r="ZC129" s="144"/>
      <c r="ZD129" s="144"/>
      <c r="ZE129" s="144"/>
      <c r="ZF129" s="144"/>
      <c r="ZG129" s="144"/>
      <c r="ZH129" s="144"/>
      <c r="ZI129" s="144"/>
      <c r="ZJ129" s="144"/>
      <c r="ZK129" s="144"/>
      <c r="AAD129" s="947"/>
      <c r="AAE129" s="947"/>
      <c r="AAF129" s="947"/>
      <c r="AAG129" s="947"/>
      <c r="AAH129" s="535">
        <v>56</v>
      </c>
      <c r="AAI129" s="956"/>
      <c r="AAJ129" s="957"/>
      <c r="AAK129" s="958">
        <f t="shared" si="59"/>
        <v>0.7466666666666667</v>
      </c>
      <c r="AAL129" s="959"/>
      <c r="AAN129" s="947"/>
      <c r="AAO129" s="947"/>
      <c r="AAP129" s="947"/>
      <c r="AAQ129" s="947"/>
      <c r="AAR129" s="535">
        <v>116</v>
      </c>
      <c r="AAS129" s="956"/>
      <c r="AAT129" s="957"/>
      <c r="AAU129" s="958">
        <f t="shared" si="60"/>
        <v>1.5466666666666669</v>
      </c>
      <c r="AAV129" s="959"/>
      <c r="AAX129" s="947"/>
      <c r="AAY129" s="947"/>
      <c r="AAZ129" s="947"/>
      <c r="ABA129" s="947"/>
      <c r="ABB129" s="535">
        <v>176</v>
      </c>
      <c r="ABC129" s="956"/>
      <c r="ABD129" s="957"/>
      <c r="ABE129" s="958">
        <f t="shared" si="61"/>
        <v>2.3466666666666667</v>
      </c>
      <c r="ABF129" s="959"/>
      <c r="ABH129" s="947"/>
      <c r="ABI129" s="947"/>
      <c r="ABJ129" s="947"/>
      <c r="ABK129" s="947"/>
      <c r="ABL129" s="537">
        <v>236</v>
      </c>
      <c r="ABM129" s="956"/>
      <c r="ABN129" s="957"/>
      <c r="ABO129" s="958">
        <f t="shared" si="62"/>
        <v>3.1466666666666669</v>
      </c>
      <c r="ABP129" s="959"/>
      <c r="ABR129" s="947"/>
      <c r="ABS129" s="947"/>
      <c r="ABT129" s="947"/>
      <c r="ABU129" s="947"/>
      <c r="ABV129" s="537">
        <v>296</v>
      </c>
      <c r="ABW129" s="956"/>
      <c r="ABX129" s="957"/>
      <c r="ABY129" s="958">
        <f t="shared" si="63"/>
        <v>3.9466666666666668</v>
      </c>
      <c r="ABZ129" s="959"/>
      <c r="ADB129" s="1033">
        <v>34</v>
      </c>
      <c r="ADC129" s="1033"/>
      <c r="ADD129" s="857"/>
      <c r="ADE129" s="1015"/>
      <c r="ADF129" s="1015"/>
      <c r="ADG129" s="1015"/>
      <c r="ADH129" s="1015"/>
      <c r="ADI129" s="858"/>
      <c r="ADJ129" s="1032" t="s">
        <v>762</v>
      </c>
      <c r="ADK129" s="1032"/>
      <c r="ADL129" s="1033"/>
      <c r="ADM129" s="1033"/>
      <c r="ADN129" s="1033"/>
      <c r="ADO129" s="1033"/>
      <c r="ADP129" s="1033"/>
      <c r="ADQ129" s="1033"/>
      <c r="ADR129" s="1033"/>
      <c r="ADS129" s="1033"/>
      <c r="ADT129" s="1033"/>
      <c r="ADU129" s="1033"/>
      <c r="ADV129" s="1033"/>
      <c r="ADW129" s="1033"/>
      <c r="ADX129" s="857"/>
      <c r="ADY129" s="1015"/>
      <c r="ADZ129" s="1015"/>
      <c r="AEA129" s="1015"/>
      <c r="AEB129" s="858"/>
      <c r="AEC129" s="172"/>
      <c r="AED129" s="172"/>
      <c r="AEE129" s="172"/>
      <c r="AEF129" s="172"/>
      <c r="AEG129" s="172"/>
      <c r="AEH129" s="172"/>
      <c r="AEI129" s="172"/>
      <c r="AEJ129" s="172"/>
      <c r="AEK129" s="177"/>
    </row>
    <row r="130" spans="72:956" ht="48" customHeight="1" thickBot="1">
      <c r="BT130" s="55"/>
      <c r="BU130" s="55"/>
      <c r="BV130" s="55"/>
      <c r="BW130" s="55"/>
      <c r="BX130" s="826"/>
      <c r="BY130" s="574" t="s">
        <v>1790</v>
      </c>
      <c r="BZ130" s="724">
        <f>$CO$56</f>
        <v>1</v>
      </c>
      <c r="CA130" s="737"/>
      <c r="CB130" s="731" t="s">
        <v>791</v>
      </c>
      <c r="CC130" s="732"/>
      <c r="CD130" s="732"/>
      <c r="CE130" s="732"/>
      <c r="CF130" s="732"/>
      <c r="CG130" s="732"/>
      <c r="CH130" s="732"/>
      <c r="CI130" s="732"/>
      <c r="CJ130" s="732"/>
      <c r="CK130" s="733"/>
      <c r="CL130" s="1087">
        <f>CC129/(CF129*CO56*CL126)</f>
        <v>4.9495169073517742</v>
      </c>
      <c r="CM130" s="1006"/>
      <c r="CN130" s="759" t="s">
        <v>792</v>
      </c>
      <c r="CO130" s="760"/>
      <c r="CP130" s="712"/>
      <c r="CQ130" s="716" t="s">
        <v>826</v>
      </c>
      <c r="CR130" s="717"/>
      <c r="CS130" s="746"/>
      <c r="CT130" s="74"/>
      <c r="CU130" s="70"/>
      <c r="CV130" s="70"/>
      <c r="CW130" s="71"/>
      <c r="FE130" s="6"/>
      <c r="GF130" s="825"/>
      <c r="GG130" s="665" t="s">
        <v>442</v>
      </c>
      <c r="GH130" s="667"/>
      <c r="GI130" s="152"/>
      <c r="GJ130" s="696" t="s">
        <v>1584</v>
      </c>
      <c r="GK130" s="720"/>
      <c r="GL130" s="1074">
        <f>$GT$101</f>
        <v>10.65</v>
      </c>
      <c r="GM130" s="1074"/>
      <c r="GN130" s="87"/>
      <c r="GO130" s="87"/>
      <c r="GP130" s="152"/>
      <c r="GQ130" s="85" t="s">
        <v>467</v>
      </c>
      <c r="GR130" s="757" t="s">
        <v>461</v>
      </c>
      <c r="GS130" s="899"/>
      <c r="GT130" s="819" t="s">
        <v>126</v>
      </c>
      <c r="GU130" s="820"/>
      <c r="GV130" s="675" t="s">
        <v>731</v>
      </c>
      <c r="GW130" s="676"/>
      <c r="GX130" s="821" t="s">
        <v>473</v>
      </c>
      <c r="GY130" s="822"/>
      <c r="GZ130" s="822"/>
      <c r="HA130" s="822"/>
      <c r="HB130" s="769" t="s">
        <v>462</v>
      </c>
      <c r="HC130" s="769"/>
      <c r="HD130" s="769"/>
      <c r="HE130" s="769"/>
      <c r="HF130" s="769"/>
      <c r="HG130" s="60"/>
      <c r="HI130" s="144"/>
      <c r="HJ130" s="144"/>
      <c r="IR130" s="792" t="s">
        <v>1078</v>
      </c>
      <c r="IS130" s="793"/>
      <c r="IT130" s="794"/>
      <c r="IU130" s="825"/>
      <c r="IV130" s="665" t="s">
        <v>442</v>
      </c>
      <c r="IW130" s="667"/>
      <c r="IX130" s="156"/>
      <c r="IY130" s="87"/>
      <c r="IZ130" s="87"/>
      <c r="JA130" s="87"/>
      <c r="JB130" s="87"/>
      <c r="JC130" s="202"/>
      <c r="JD130" s="84" t="s">
        <v>477</v>
      </c>
      <c r="JE130" s="156"/>
      <c r="JF130" s="85" t="s">
        <v>467</v>
      </c>
      <c r="JG130" s="757" t="s">
        <v>461</v>
      </c>
      <c r="JH130" s="899"/>
      <c r="JI130" s="1130" t="s">
        <v>126</v>
      </c>
      <c r="JJ130" s="1131"/>
      <c r="JK130" s="675" t="s">
        <v>731</v>
      </c>
      <c r="JL130" s="676"/>
      <c r="JM130" s="821" t="s">
        <v>473</v>
      </c>
      <c r="JN130" s="822"/>
      <c r="JO130" s="822"/>
      <c r="JP130" s="823"/>
      <c r="JR130" s="144"/>
      <c r="JS130" s="144"/>
      <c r="JT130" s="144"/>
      <c r="JU130" s="144"/>
      <c r="LV130" s="403"/>
      <c r="LW130" s="399"/>
      <c r="LX130" s="399"/>
      <c r="LY130" s="399"/>
      <c r="LZ130" s="399"/>
      <c r="MA130" s="399"/>
      <c r="MB130" s="399"/>
      <c r="MC130" s="399"/>
      <c r="MD130" s="399"/>
      <c r="ME130" s="399"/>
      <c r="MF130" s="399"/>
      <c r="MG130" s="399"/>
      <c r="MH130" s="399"/>
      <c r="MI130" s="399"/>
      <c r="MJ130" s="399"/>
      <c r="MK130" s="399"/>
      <c r="ML130" s="399"/>
      <c r="MM130" s="399"/>
      <c r="MN130" s="827"/>
      <c r="MO130" s="706"/>
      <c r="MP130" s="707"/>
      <c r="MQ130" s="707"/>
      <c r="MR130" s="707"/>
      <c r="MS130" s="707"/>
      <c r="MT130" s="707"/>
      <c r="MU130" s="707"/>
      <c r="MV130" s="707"/>
      <c r="MW130" s="707"/>
      <c r="MX130" s="707"/>
      <c r="MY130" s="707"/>
      <c r="MZ130" s="707"/>
      <c r="NA130" s="708"/>
      <c r="NB130" s="1048"/>
      <c r="NC130" s="1004"/>
      <c r="ND130" s="707"/>
      <c r="NE130" s="708"/>
      <c r="NF130" s="715"/>
      <c r="NG130" s="743"/>
      <c r="NH130" s="744"/>
      <c r="NI130" s="745"/>
      <c r="NJ130" s="747"/>
      <c r="NK130" s="768"/>
      <c r="NL130" s="768"/>
      <c r="NM130" s="768"/>
      <c r="NN130" s="768"/>
      <c r="NO130" s="768"/>
      <c r="NP130" s="768"/>
      <c r="NQ130" s="768"/>
      <c r="NR130" s="1112"/>
      <c r="NS130" s="1113"/>
      <c r="NT130" s="1114"/>
      <c r="NU130" s="399"/>
      <c r="NV130" s="399"/>
      <c r="NW130" s="399"/>
      <c r="NX130" s="399"/>
      <c r="NY130" s="399"/>
      <c r="NZ130" s="399"/>
      <c r="OA130" s="399"/>
      <c r="OB130" s="399"/>
      <c r="OC130" s="399"/>
      <c r="OD130" s="399"/>
      <c r="OE130" s="399"/>
      <c r="OF130" s="399"/>
      <c r="OG130" s="399"/>
      <c r="OH130" s="399"/>
      <c r="OI130" s="399"/>
      <c r="OJ130" s="399"/>
      <c r="OK130" s="399"/>
      <c r="OL130" s="399"/>
      <c r="OM130" s="399"/>
      <c r="ON130" s="399"/>
      <c r="OO130" s="399"/>
      <c r="OP130" s="399"/>
      <c r="OQ130" s="399"/>
      <c r="OR130" s="399"/>
      <c r="OS130" s="400"/>
      <c r="OV130" s="144"/>
      <c r="OW130" s="144"/>
      <c r="OX130" s="144"/>
      <c r="OY130" s="144"/>
      <c r="OZ130" s="144"/>
      <c r="PA130" s="144"/>
      <c r="PB130" s="144"/>
      <c r="PC130" s="144"/>
      <c r="PD130" s="144"/>
      <c r="QS130" s="144"/>
      <c r="QT130" s="144"/>
      <c r="QU130" s="144"/>
      <c r="QV130" s="144"/>
      <c r="QW130" s="144"/>
      <c r="QX130" s="144"/>
      <c r="QY130" s="144"/>
      <c r="QZ130" s="144"/>
      <c r="RA130" s="144"/>
      <c r="RB130" s="144"/>
      <c r="RC130" s="144"/>
      <c r="RD130" s="144"/>
      <c r="VB130" s="905"/>
      <c r="VC130" s="900"/>
      <c r="VD130" s="900"/>
      <c r="VE130" s="900"/>
      <c r="VF130" s="900"/>
      <c r="VG130" s="900"/>
      <c r="VH130" s="900"/>
      <c r="VI130" s="900"/>
      <c r="VJ130" s="900"/>
      <c r="VK130" s="900"/>
      <c r="VL130" s="900"/>
      <c r="VM130" s="900"/>
      <c r="VN130" s="900"/>
      <c r="VO130" s="900"/>
      <c r="VP130" s="900"/>
      <c r="VQ130" s="900"/>
      <c r="VR130" s="900"/>
      <c r="VS130" s="900"/>
      <c r="VT130" s="900"/>
      <c r="VU130" s="900"/>
      <c r="VV130" s="900"/>
      <c r="VW130" s="900"/>
      <c r="VX130" s="906"/>
      <c r="XL130" s="144"/>
      <c r="YU130" s="144"/>
      <c r="YV130" s="144"/>
      <c r="YW130" s="144"/>
      <c r="YX130" s="144"/>
      <c r="YY130" s="144"/>
      <c r="YZ130" s="144"/>
      <c r="ZA130" s="144"/>
      <c r="ZB130" s="144"/>
      <c r="ZC130" s="144"/>
      <c r="ZD130" s="144"/>
      <c r="ZE130" s="144"/>
      <c r="ZF130" s="144"/>
      <c r="ZG130" s="144"/>
      <c r="ZH130" s="144"/>
      <c r="ZI130" s="144"/>
      <c r="ZJ130" s="144"/>
      <c r="ZK130" s="144"/>
      <c r="AAD130" s="947"/>
      <c r="AAE130" s="947"/>
      <c r="AAF130" s="947"/>
      <c r="AAG130" s="947"/>
      <c r="AAH130" s="535">
        <v>57</v>
      </c>
      <c r="AAI130" s="956"/>
      <c r="AAJ130" s="957"/>
      <c r="AAK130" s="958">
        <f t="shared" si="59"/>
        <v>0.76</v>
      </c>
      <c r="AAL130" s="959"/>
      <c r="AAN130" s="947"/>
      <c r="AAO130" s="947"/>
      <c r="AAP130" s="947"/>
      <c r="AAQ130" s="947"/>
      <c r="AAR130" s="535">
        <v>117</v>
      </c>
      <c r="AAS130" s="956"/>
      <c r="AAT130" s="957"/>
      <c r="AAU130" s="958">
        <f t="shared" si="60"/>
        <v>1.56</v>
      </c>
      <c r="AAV130" s="959"/>
      <c r="AAX130" s="947"/>
      <c r="AAY130" s="947"/>
      <c r="AAZ130" s="947"/>
      <c r="ABA130" s="947"/>
      <c r="ABB130" s="535">
        <v>177</v>
      </c>
      <c r="ABC130" s="956"/>
      <c r="ABD130" s="957"/>
      <c r="ABE130" s="958">
        <f t="shared" si="61"/>
        <v>2.3600000000000003</v>
      </c>
      <c r="ABF130" s="959"/>
      <c r="ABH130" s="947"/>
      <c r="ABI130" s="947"/>
      <c r="ABJ130" s="947"/>
      <c r="ABK130" s="947"/>
      <c r="ABL130" s="537">
        <v>237</v>
      </c>
      <c r="ABM130" s="956"/>
      <c r="ABN130" s="957"/>
      <c r="ABO130" s="958">
        <f t="shared" si="62"/>
        <v>3.16</v>
      </c>
      <c r="ABP130" s="959"/>
      <c r="ABR130" s="947"/>
      <c r="ABS130" s="947"/>
      <c r="ABT130" s="947"/>
      <c r="ABU130" s="947"/>
      <c r="ABV130" s="537">
        <v>297</v>
      </c>
      <c r="ABW130" s="956"/>
      <c r="ABX130" s="957"/>
      <c r="ABY130" s="958">
        <f t="shared" si="63"/>
        <v>3.9600000000000004</v>
      </c>
      <c r="ABZ130" s="959"/>
      <c r="ADB130" s="1033"/>
      <c r="ADC130" s="1033"/>
      <c r="ADD130" s="859"/>
      <c r="ADE130" s="1016"/>
      <c r="ADF130" s="1016"/>
      <c r="ADG130" s="1016"/>
      <c r="ADH130" s="1016"/>
      <c r="ADI130" s="860"/>
      <c r="ADJ130" s="1032"/>
      <c r="ADK130" s="1032"/>
      <c r="ADL130" s="1033"/>
      <c r="ADM130" s="1033"/>
      <c r="ADN130" s="1033"/>
      <c r="ADO130" s="1033"/>
      <c r="ADP130" s="1033"/>
      <c r="ADQ130" s="1033"/>
      <c r="ADR130" s="1033"/>
      <c r="ADS130" s="1033"/>
      <c r="ADT130" s="1033"/>
      <c r="ADU130" s="1033"/>
      <c r="ADV130" s="1033"/>
      <c r="ADW130" s="1033"/>
      <c r="ADX130" s="859"/>
      <c r="ADY130" s="1016"/>
      <c r="ADZ130" s="1016"/>
      <c r="AEA130" s="1016"/>
      <c r="AEB130" s="860"/>
      <c r="AEC130" s="172"/>
      <c r="AED130" s="172"/>
      <c r="AEE130" s="172"/>
      <c r="AEF130" s="172"/>
      <c r="AEG130" s="172"/>
      <c r="AEH130" s="172"/>
      <c r="AEI130" s="172"/>
      <c r="AEJ130" s="172"/>
      <c r="AEK130" s="177"/>
      <c r="AIM130" s="214" t="s">
        <v>899</v>
      </c>
      <c r="AIN130" s="665" t="s">
        <v>442</v>
      </c>
      <c r="AIO130" s="666"/>
      <c r="AIP130" s="156"/>
      <c r="AIQ130" s="87"/>
      <c r="AIR130" s="87"/>
      <c r="AIS130" s="87"/>
      <c r="AIT130" s="87"/>
      <c r="AIU130" s="87"/>
      <c r="AIV130" s="87"/>
      <c r="AIW130" s="156"/>
      <c r="AIX130" s="85" t="s">
        <v>467</v>
      </c>
      <c r="AIY130" s="757" t="s">
        <v>461</v>
      </c>
      <c r="AIZ130" s="899"/>
      <c r="AJA130" s="1130" t="s">
        <v>126</v>
      </c>
      <c r="AJB130" s="1131"/>
      <c r="AJC130" s="675" t="s">
        <v>731</v>
      </c>
      <c r="AJD130" s="676"/>
      <c r="AJE130" s="821" t="s">
        <v>473</v>
      </c>
      <c r="AJF130" s="822"/>
      <c r="AJG130" s="822"/>
      <c r="AJH130" s="823"/>
      <c r="AJI130" s="769" t="s">
        <v>462</v>
      </c>
      <c r="AJJ130" s="769"/>
      <c r="AJK130" s="769"/>
      <c r="AJL130" s="769"/>
      <c r="AJM130" s="769"/>
      <c r="AJN130" s="769"/>
      <c r="AJO130" s="769"/>
      <c r="AJP130" s="769"/>
      <c r="AJQ130" s="769"/>
      <c r="AJR130" s="769"/>
      <c r="AJS130" s="769"/>
    </row>
    <row r="131" spans="72:956" ht="48" customHeight="1" thickBot="1">
      <c r="BX131" s="827"/>
      <c r="BY131" s="576" t="s">
        <v>1784</v>
      </c>
      <c r="BZ131" s="738">
        <f>$CO$122</f>
        <v>6</v>
      </c>
      <c r="CA131" s="738"/>
      <c r="CB131" s="734"/>
      <c r="CC131" s="735"/>
      <c r="CD131" s="735"/>
      <c r="CE131" s="735"/>
      <c r="CF131" s="735"/>
      <c r="CG131" s="735"/>
      <c r="CH131" s="735"/>
      <c r="CI131" s="735"/>
      <c r="CJ131" s="735"/>
      <c r="CK131" s="736"/>
      <c r="CL131" s="1089"/>
      <c r="CM131" s="708"/>
      <c r="CN131" s="761"/>
      <c r="CO131" s="762"/>
      <c r="CP131" s="713"/>
      <c r="CQ131" s="718"/>
      <c r="CR131" s="719"/>
      <c r="CS131" s="747"/>
      <c r="CT131" s="90"/>
      <c r="CU131" s="88"/>
      <c r="CV131" s="88"/>
      <c r="CW131" s="89"/>
      <c r="GF131" s="826"/>
      <c r="GG131" s="1572" t="s">
        <v>1100</v>
      </c>
      <c r="GH131" s="1121"/>
      <c r="GI131" s="1121"/>
      <c r="GJ131" s="1121"/>
      <c r="GK131" s="1121"/>
      <c r="GL131" s="1121"/>
      <c r="GM131" s="1121"/>
      <c r="GN131" s="1121"/>
      <c r="GO131" s="1121"/>
      <c r="GP131" s="1121"/>
      <c r="GQ131" s="1121"/>
      <c r="GR131" s="1121"/>
      <c r="GS131" s="1121"/>
      <c r="GT131" s="1087">
        <f>1.25*GT101</f>
        <v>13.3125</v>
      </c>
      <c r="GU131" s="1006"/>
      <c r="GV131" s="1203" t="s">
        <v>50</v>
      </c>
      <c r="GW131" s="1063"/>
      <c r="GX131" s="714"/>
      <c r="GY131" s="952" t="s">
        <v>1210</v>
      </c>
      <c r="GZ131" s="953"/>
      <c r="HA131" s="1119"/>
      <c r="HB131" s="767"/>
      <c r="HC131" s="767"/>
      <c r="HD131" s="767"/>
      <c r="HE131" s="767"/>
      <c r="HF131" s="767"/>
      <c r="HI131" s="144"/>
      <c r="HJ131" s="144"/>
      <c r="IR131" s="795"/>
      <c r="IS131" s="796"/>
      <c r="IT131" s="797"/>
      <c r="IU131" s="826"/>
      <c r="IV131" s="700" t="s">
        <v>94</v>
      </c>
      <c r="IW131" s="701"/>
      <c r="IX131" s="701"/>
      <c r="IY131" s="701"/>
      <c r="IZ131" s="701"/>
      <c r="JA131" s="701"/>
      <c r="JB131" s="701"/>
      <c r="JC131" s="701"/>
      <c r="JD131" s="701"/>
      <c r="JE131" s="701"/>
      <c r="JF131" s="701"/>
      <c r="JG131" s="701"/>
      <c r="JH131" s="702"/>
      <c r="JI131" s="983">
        <v>520</v>
      </c>
      <c r="JJ131" s="984"/>
      <c r="JK131" s="759" t="s">
        <v>17</v>
      </c>
      <c r="JL131" s="760"/>
      <c r="JM131" s="714"/>
      <c r="JN131" s="716" t="s">
        <v>1167</v>
      </c>
      <c r="JO131" s="717"/>
      <c r="JP131" s="746"/>
      <c r="LV131" s="404"/>
      <c r="LW131" s="401"/>
      <c r="LX131" s="401"/>
      <c r="LY131" s="401"/>
      <c r="LZ131" s="401"/>
      <c r="MA131" s="401"/>
      <c r="MB131" s="401"/>
      <c r="MC131" s="401"/>
      <c r="MD131" s="401"/>
      <c r="ME131" s="401"/>
      <c r="MF131" s="401"/>
      <c r="MG131" s="401"/>
      <c r="MH131" s="401"/>
      <c r="MI131" s="401"/>
      <c r="MJ131" s="401"/>
      <c r="MK131" s="401"/>
      <c r="ML131" s="401"/>
      <c r="MM131" s="401"/>
      <c r="MN131" s="179"/>
      <c r="MO131" s="179"/>
      <c r="MP131" s="179"/>
      <c r="MQ131" s="179"/>
      <c r="MR131" s="179"/>
      <c r="MS131" s="179"/>
      <c r="MT131" s="179"/>
      <c r="MU131" s="179"/>
      <c r="MV131" s="179"/>
      <c r="MW131" s="179"/>
      <c r="MX131" s="179"/>
      <c r="MY131" s="179"/>
      <c r="MZ131" s="179"/>
      <c r="NA131" s="179"/>
      <c r="NB131" s="179"/>
      <c r="NC131" s="179"/>
      <c r="ND131" s="179"/>
      <c r="NE131" s="179"/>
      <c r="NF131" s="179"/>
      <c r="NG131" s="179"/>
      <c r="NH131" s="179"/>
      <c r="NI131" s="179"/>
      <c r="NJ131" s="179"/>
      <c r="NK131" s="179"/>
      <c r="NL131" s="179"/>
      <c r="NM131" s="179"/>
      <c r="NN131" s="179"/>
      <c r="NO131" s="179"/>
      <c r="NP131" s="179"/>
      <c r="NQ131" s="179"/>
      <c r="NR131" s="179"/>
      <c r="NS131" s="179"/>
      <c r="NT131" s="401"/>
      <c r="NU131" s="401"/>
      <c r="NV131" s="401"/>
      <c r="NW131" s="401"/>
      <c r="NX131" s="401"/>
      <c r="NY131" s="401"/>
      <c r="NZ131" s="401"/>
      <c r="OA131" s="401"/>
      <c r="OB131" s="401"/>
      <c r="OC131" s="401"/>
      <c r="OD131" s="401"/>
      <c r="OE131" s="401"/>
      <c r="OF131" s="401"/>
      <c r="OG131" s="401"/>
      <c r="OH131" s="401"/>
      <c r="OI131" s="401"/>
      <c r="OJ131" s="401"/>
      <c r="OK131" s="401"/>
      <c r="OL131" s="401"/>
      <c r="OM131" s="401"/>
      <c r="ON131" s="401"/>
      <c r="OO131" s="401"/>
      <c r="OP131" s="401"/>
      <c r="OQ131" s="401"/>
      <c r="OR131" s="401"/>
      <c r="OS131" s="402"/>
      <c r="OV131" s="144"/>
      <c r="OW131" s="144"/>
      <c r="OX131" s="144"/>
      <c r="OY131" s="144"/>
      <c r="OZ131" s="144"/>
      <c r="PA131" s="144"/>
      <c r="PB131" s="144"/>
      <c r="PC131" s="144"/>
      <c r="PD131" s="144"/>
      <c r="PE131" s="150"/>
      <c r="PF131" s="973"/>
      <c r="PG131" s="973"/>
      <c r="PH131" s="973"/>
      <c r="PI131" s="973"/>
      <c r="PJ131" s="973"/>
      <c r="PK131" s="973"/>
      <c r="PL131" s="973"/>
      <c r="PM131" s="973"/>
      <c r="PN131" s="973"/>
      <c r="PO131" s="973"/>
      <c r="PP131" s="973"/>
      <c r="PQ131" s="973"/>
      <c r="PR131" s="973"/>
      <c r="PS131" s="973"/>
      <c r="PT131" s="973"/>
      <c r="PU131" s="973"/>
      <c r="PV131" s="973"/>
      <c r="PW131" s="973"/>
      <c r="PX131" s="973"/>
      <c r="PY131" s="973"/>
      <c r="PZ131" s="973"/>
      <c r="QA131" s="973"/>
      <c r="QB131" s="973"/>
      <c r="QC131" s="973"/>
      <c r="QD131" s="973"/>
      <c r="QE131" s="973"/>
      <c r="QF131" s="973"/>
      <c r="QG131" s="973"/>
      <c r="QH131" s="973"/>
      <c r="QI131" s="973"/>
      <c r="QJ131" s="973"/>
      <c r="QK131" s="973"/>
      <c r="QL131" s="973"/>
      <c r="QM131" s="973"/>
      <c r="QN131" s="973"/>
      <c r="QO131" s="973"/>
      <c r="QP131" s="150"/>
      <c r="QS131" s="144"/>
      <c r="QT131" s="144"/>
      <c r="QU131" s="144"/>
      <c r="QV131" s="144"/>
      <c r="QW131" s="144"/>
      <c r="QX131" s="144"/>
      <c r="QY131" s="144"/>
      <c r="QZ131" s="144"/>
      <c r="RA131" s="144"/>
      <c r="VB131" s="905"/>
      <c r="VC131" s="900"/>
      <c r="VD131" s="900"/>
      <c r="VE131" s="900"/>
      <c r="VF131" s="900"/>
      <c r="VG131" s="900"/>
      <c r="VH131" s="900"/>
      <c r="VI131" s="900"/>
      <c r="VJ131" s="900"/>
      <c r="VK131" s="900"/>
      <c r="VL131" s="900"/>
      <c r="VM131" s="900"/>
      <c r="VN131" s="900"/>
      <c r="VO131" s="900"/>
      <c r="VP131" s="900"/>
      <c r="VQ131" s="900"/>
      <c r="VR131" s="900"/>
      <c r="VS131" s="900"/>
      <c r="VT131" s="900"/>
      <c r="VU131" s="900"/>
      <c r="VV131" s="900"/>
      <c r="VW131" s="900"/>
      <c r="VX131" s="906"/>
      <c r="WS131" s="214" t="s">
        <v>899</v>
      </c>
      <c r="WT131" s="821" t="s">
        <v>921</v>
      </c>
      <c r="WU131" s="822"/>
      <c r="WV131" s="823"/>
      <c r="WY131" s="792" t="s">
        <v>1013</v>
      </c>
      <c r="WZ131" s="793"/>
      <c r="XA131" s="794"/>
      <c r="XC131" s="792" t="s">
        <v>1078</v>
      </c>
      <c r="XD131" s="793"/>
      <c r="XE131" s="794"/>
      <c r="XG131" s="792" t="s">
        <v>1079</v>
      </c>
      <c r="XH131" s="793"/>
      <c r="XI131" s="794"/>
      <c r="XL131" s="144"/>
      <c r="XO131" s="825"/>
      <c r="XP131" s="665" t="s">
        <v>442</v>
      </c>
      <c r="XQ131" s="666"/>
      <c r="XR131" s="459"/>
      <c r="XS131" s="87"/>
      <c r="XT131" s="87"/>
      <c r="XU131" s="87"/>
      <c r="XV131" s="87"/>
      <c r="XW131" s="87"/>
      <c r="XX131" s="87"/>
      <c r="XY131" s="459"/>
      <c r="XZ131" s="85" t="s">
        <v>467</v>
      </c>
      <c r="YA131" s="757" t="s">
        <v>461</v>
      </c>
      <c r="YB131" s="899"/>
      <c r="YC131" s="819" t="s">
        <v>126</v>
      </c>
      <c r="YD131" s="820"/>
      <c r="YE131" s="675" t="s">
        <v>731</v>
      </c>
      <c r="YF131" s="1094"/>
      <c r="YG131" s="821" t="s">
        <v>473</v>
      </c>
      <c r="YH131" s="822"/>
      <c r="YI131" s="822"/>
      <c r="YJ131" s="822"/>
      <c r="YK131" s="769" t="s">
        <v>462</v>
      </c>
      <c r="YL131" s="769"/>
      <c r="YM131" s="769"/>
      <c r="YN131" s="769"/>
      <c r="YO131" s="769"/>
      <c r="YP131" s="769"/>
      <c r="YU131" s="144"/>
      <c r="YV131" s="144"/>
      <c r="YW131" s="144"/>
      <c r="YX131" s="144"/>
      <c r="YY131" s="144"/>
      <c r="ZA131" s="144"/>
      <c r="ZB131" s="144"/>
      <c r="ZC131" s="144"/>
      <c r="ZD131" s="144"/>
      <c r="ZE131" s="144"/>
      <c r="ZJ131" s="144"/>
      <c r="ZK131" s="144"/>
      <c r="AAD131" s="947"/>
      <c r="AAE131" s="947"/>
      <c r="AAF131" s="947"/>
      <c r="AAG131" s="947"/>
      <c r="AAH131" s="535">
        <v>58</v>
      </c>
      <c r="AAI131" s="956"/>
      <c r="AAJ131" s="957"/>
      <c r="AAK131" s="958">
        <f t="shared" si="59"/>
        <v>0.77333333333333343</v>
      </c>
      <c r="AAL131" s="959"/>
      <c r="AAN131" s="947"/>
      <c r="AAO131" s="947"/>
      <c r="AAP131" s="947"/>
      <c r="AAQ131" s="947"/>
      <c r="AAR131" s="535">
        <v>118</v>
      </c>
      <c r="AAS131" s="956"/>
      <c r="AAT131" s="957"/>
      <c r="AAU131" s="958">
        <f t="shared" si="60"/>
        <v>1.5733333333333335</v>
      </c>
      <c r="AAV131" s="959"/>
      <c r="AAX131" s="947"/>
      <c r="AAY131" s="947"/>
      <c r="AAZ131" s="947"/>
      <c r="ABA131" s="947"/>
      <c r="ABB131" s="535">
        <v>178</v>
      </c>
      <c r="ABC131" s="956"/>
      <c r="ABD131" s="957"/>
      <c r="ABE131" s="958">
        <f t="shared" si="61"/>
        <v>2.3733333333333335</v>
      </c>
      <c r="ABF131" s="959"/>
      <c r="ABH131" s="947"/>
      <c r="ABI131" s="947"/>
      <c r="ABJ131" s="947"/>
      <c r="ABK131" s="947"/>
      <c r="ABL131" s="537">
        <v>238</v>
      </c>
      <c r="ABM131" s="956"/>
      <c r="ABN131" s="957"/>
      <c r="ABO131" s="958">
        <f t="shared" si="62"/>
        <v>3.1733333333333333</v>
      </c>
      <c r="ABP131" s="959"/>
      <c r="ABR131" s="947"/>
      <c r="ABS131" s="947"/>
      <c r="ABT131" s="947"/>
      <c r="ABU131" s="947"/>
      <c r="ABV131" s="537">
        <v>298</v>
      </c>
      <c r="ABW131" s="956"/>
      <c r="ABX131" s="957"/>
      <c r="ABY131" s="958">
        <f t="shared" si="63"/>
        <v>3.9733333333333336</v>
      </c>
      <c r="ABZ131" s="959"/>
      <c r="ADB131" s="1033"/>
      <c r="ADC131" s="1033"/>
      <c r="ADD131" s="861"/>
      <c r="ADE131" s="1017"/>
      <c r="ADF131" s="1017"/>
      <c r="ADG131" s="1017"/>
      <c r="ADH131" s="1017"/>
      <c r="ADI131" s="862"/>
      <c r="ADJ131" s="1032"/>
      <c r="ADK131" s="1032"/>
      <c r="ADL131" s="1033"/>
      <c r="ADM131" s="1033"/>
      <c r="ADN131" s="1033"/>
      <c r="ADO131" s="1033"/>
      <c r="ADP131" s="1033"/>
      <c r="ADQ131" s="1033"/>
      <c r="ADR131" s="1033"/>
      <c r="ADS131" s="1033"/>
      <c r="ADT131" s="1033"/>
      <c r="ADU131" s="1033"/>
      <c r="ADV131" s="1033"/>
      <c r="ADW131" s="1033"/>
      <c r="ADX131" s="859"/>
      <c r="ADY131" s="1016"/>
      <c r="ADZ131" s="1016"/>
      <c r="AEA131" s="1016"/>
      <c r="AEB131" s="860"/>
      <c r="AEC131" s="172"/>
      <c r="AED131" s="172"/>
      <c r="AEE131" s="172"/>
      <c r="AEF131" s="172"/>
      <c r="AEG131" s="172"/>
      <c r="AEH131" s="172"/>
      <c r="AEI131" s="172"/>
      <c r="AEJ131" s="172"/>
      <c r="AEK131" s="177"/>
      <c r="AIM131" s="825"/>
      <c r="AIN131" s="727" t="s">
        <v>413</v>
      </c>
      <c r="AIO131" s="727"/>
      <c r="AIP131" s="727"/>
      <c r="AIQ131" s="727"/>
      <c r="AIR131" s="727"/>
      <c r="AIS131" s="727"/>
      <c r="AIT131" s="727"/>
      <c r="AIU131" s="727"/>
      <c r="AIV131" s="727"/>
      <c r="AIW131" s="727"/>
      <c r="AIX131" s="727"/>
      <c r="AIY131" s="727"/>
      <c r="AIZ131" s="727"/>
      <c r="AJA131" s="763">
        <f>AJA143-(1-AJD22)*(AJA88+PX17)</f>
        <v>2883.9970273539748</v>
      </c>
      <c r="AJB131" s="764"/>
      <c r="AJC131" s="1005"/>
      <c r="AJD131" s="1006"/>
      <c r="AJE131" s="714"/>
      <c r="AJF131" s="716" t="s">
        <v>442</v>
      </c>
      <c r="AJG131" s="717"/>
      <c r="AJH131" s="746"/>
      <c r="AJI131" s="767"/>
      <c r="AJJ131" s="767"/>
      <c r="AJK131" s="767"/>
      <c r="AJL131" s="767"/>
      <c r="AJM131" s="767"/>
      <c r="AJN131" s="767"/>
      <c r="AJO131" s="767"/>
      <c r="AJP131" s="767"/>
      <c r="AJQ131" s="767"/>
      <c r="AJR131" s="767"/>
      <c r="AJS131" s="767"/>
    </row>
    <row r="132" spans="72:956" ht="48" customHeight="1" thickBot="1">
      <c r="GF132" s="827"/>
      <c r="GG132" s="1352"/>
      <c r="GH132" s="1255"/>
      <c r="GI132" s="1255"/>
      <c r="GJ132" s="1255"/>
      <c r="GK132" s="1255"/>
      <c r="GL132" s="1255"/>
      <c r="GM132" s="1255"/>
      <c r="GN132" s="1255"/>
      <c r="GO132" s="1255"/>
      <c r="GP132" s="1255"/>
      <c r="GQ132" s="1255"/>
      <c r="GR132" s="1255"/>
      <c r="GS132" s="1255"/>
      <c r="GT132" s="1089"/>
      <c r="GU132" s="708"/>
      <c r="GV132" s="1204"/>
      <c r="GW132" s="1065"/>
      <c r="GX132" s="715"/>
      <c r="GY132" s="954"/>
      <c r="GZ132" s="955"/>
      <c r="HA132" s="1120"/>
      <c r="HB132" s="768"/>
      <c r="HC132" s="768"/>
      <c r="HD132" s="768"/>
      <c r="HE132" s="768"/>
      <c r="HF132" s="768"/>
      <c r="HI132" s="144"/>
      <c r="IR132" s="798"/>
      <c r="IS132" s="799"/>
      <c r="IT132" s="800"/>
      <c r="IU132" s="827"/>
      <c r="IV132" s="706"/>
      <c r="IW132" s="707"/>
      <c r="IX132" s="707"/>
      <c r="IY132" s="707"/>
      <c r="IZ132" s="707"/>
      <c r="JA132" s="707"/>
      <c r="JB132" s="707"/>
      <c r="JC132" s="707"/>
      <c r="JD132" s="707"/>
      <c r="JE132" s="707"/>
      <c r="JF132" s="707"/>
      <c r="JG132" s="707"/>
      <c r="JH132" s="708"/>
      <c r="JI132" s="985"/>
      <c r="JJ132" s="986"/>
      <c r="JK132" s="761"/>
      <c r="JL132" s="762"/>
      <c r="JM132" s="715"/>
      <c r="JN132" s="718"/>
      <c r="JO132" s="719"/>
      <c r="JP132" s="747"/>
      <c r="LV132" s="150"/>
      <c r="LW132" s="973"/>
      <c r="LX132" s="973"/>
      <c r="LY132" s="973"/>
      <c r="LZ132" s="973"/>
      <c r="MA132" s="973"/>
      <c r="MB132" s="973"/>
      <c r="MC132" s="973"/>
      <c r="MD132" s="973"/>
      <c r="ME132" s="973"/>
      <c r="MF132" s="973"/>
      <c r="MG132" s="973"/>
      <c r="MH132" s="973"/>
      <c r="MI132" s="973"/>
      <c r="MJ132" s="973"/>
      <c r="MK132" s="973"/>
      <c r="ML132" s="973"/>
      <c r="MM132" s="973"/>
      <c r="MN132" s="973"/>
      <c r="MO132" s="973"/>
      <c r="MP132" s="973"/>
      <c r="MQ132" s="973"/>
      <c r="MR132" s="973"/>
      <c r="MS132" s="973"/>
      <c r="MT132" s="973"/>
      <c r="MU132" s="973"/>
      <c r="MV132" s="973"/>
      <c r="MW132" s="973"/>
      <c r="MX132" s="973"/>
      <c r="MY132" s="973"/>
      <c r="MZ132" s="973"/>
      <c r="NA132" s="973"/>
      <c r="NB132" s="973"/>
      <c r="NC132" s="973"/>
      <c r="ND132" s="973"/>
      <c r="NE132" s="973"/>
      <c r="NF132" s="973"/>
      <c r="NG132" s="973"/>
      <c r="NH132" s="973"/>
      <c r="NI132" s="973"/>
      <c r="NJ132" s="973"/>
      <c r="NK132" s="973"/>
      <c r="NL132" s="973"/>
      <c r="NM132" s="973"/>
      <c r="NN132" s="973"/>
      <c r="NO132" s="973"/>
      <c r="NP132" s="973"/>
      <c r="NQ132" s="973"/>
      <c r="NR132" s="973"/>
      <c r="NS132" s="973"/>
      <c r="NT132" s="973"/>
      <c r="NU132" s="973"/>
      <c r="NV132" s="973"/>
      <c r="NW132" s="973"/>
      <c r="NX132" s="973"/>
      <c r="NY132" s="973"/>
      <c r="NZ132" s="973"/>
      <c r="OA132" s="973"/>
      <c r="OB132" s="973"/>
      <c r="OC132" s="973"/>
      <c r="OD132" s="973"/>
      <c r="OE132" s="973"/>
      <c r="OF132" s="973"/>
      <c r="OG132" s="973"/>
      <c r="OH132" s="973"/>
      <c r="OI132" s="973"/>
      <c r="OJ132" s="973"/>
      <c r="OK132" s="973"/>
      <c r="OL132" s="973"/>
      <c r="OM132" s="973"/>
      <c r="ON132" s="973"/>
      <c r="OO132" s="973"/>
      <c r="OP132" s="973"/>
      <c r="OQ132" s="973"/>
      <c r="OR132" s="973"/>
      <c r="OS132" s="410"/>
      <c r="OV132" s="144"/>
      <c r="OW132" s="144"/>
      <c r="OX132" s="144"/>
      <c r="OY132" s="144"/>
      <c r="OZ132" s="144"/>
      <c r="PA132" s="144"/>
      <c r="PB132" s="144"/>
      <c r="PC132" s="144"/>
      <c r="PD132" s="144"/>
      <c r="PE132" s="403"/>
      <c r="PF132" s="399"/>
      <c r="PG132" s="399"/>
      <c r="PH132" s="399"/>
      <c r="PI132" s="399"/>
      <c r="PJ132" s="399"/>
      <c r="PK132" s="399"/>
      <c r="PL132" s="399"/>
      <c r="PM132" s="399"/>
      <c r="PN132" s="399"/>
      <c r="PO132" s="399"/>
      <c r="PP132" s="399"/>
      <c r="PQ132" s="399"/>
      <c r="PR132" s="399"/>
      <c r="PS132" s="399"/>
      <c r="PT132" s="399"/>
      <c r="PU132" s="399"/>
      <c r="PV132" s="399"/>
      <c r="PW132" s="399"/>
      <c r="PX132" s="399"/>
      <c r="PY132" s="399"/>
      <c r="PZ132" s="399"/>
      <c r="QA132" s="399"/>
      <c r="QB132" s="399"/>
      <c r="QC132" s="405"/>
      <c r="QD132" s="405"/>
      <c r="QE132" s="405"/>
      <c r="QF132" s="405"/>
      <c r="QG132" s="405"/>
      <c r="QH132" s="405"/>
      <c r="QI132" s="405"/>
      <c r="QJ132" s="405"/>
      <c r="QK132" s="405"/>
      <c r="QL132" s="405"/>
      <c r="QM132" s="405"/>
      <c r="QN132" s="405"/>
      <c r="QO132" s="405"/>
      <c r="QP132" s="409" t="s">
        <v>1429</v>
      </c>
      <c r="QS132" s="144"/>
      <c r="QT132" s="144"/>
      <c r="QU132" s="144"/>
      <c r="QV132" s="144"/>
      <c r="QW132" s="144"/>
      <c r="QX132" s="144"/>
      <c r="QY132" s="144"/>
      <c r="QZ132" s="144"/>
      <c r="RA132" s="144"/>
      <c r="VB132" s="905"/>
      <c r="VC132" s="900"/>
      <c r="VD132" s="900"/>
      <c r="VE132" s="900"/>
      <c r="VF132" s="900"/>
      <c r="VG132" s="900"/>
      <c r="VH132" s="900"/>
      <c r="VI132" s="900"/>
      <c r="VJ132" s="900"/>
      <c r="VK132" s="900"/>
      <c r="VL132" s="900"/>
      <c r="VM132" s="900"/>
      <c r="VN132" s="900"/>
      <c r="VO132" s="900"/>
      <c r="VP132" s="900"/>
      <c r="VQ132" s="900"/>
      <c r="VR132" s="900"/>
      <c r="VS132" s="900"/>
      <c r="VT132" s="900"/>
      <c r="VU132" s="900"/>
      <c r="VV132" s="900"/>
      <c r="VW132" s="900"/>
      <c r="VX132" s="906"/>
      <c r="WS132" s="825"/>
      <c r="WT132" s="1066" t="s">
        <v>920</v>
      </c>
      <c r="WU132" s="1111"/>
      <c r="WV132" s="1067"/>
      <c r="WY132" s="795"/>
      <c r="WZ132" s="796"/>
      <c r="XA132" s="797"/>
      <c r="XC132" s="795"/>
      <c r="XD132" s="796"/>
      <c r="XE132" s="797"/>
      <c r="XG132" s="795"/>
      <c r="XH132" s="796"/>
      <c r="XI132" s="797"/>
      <c r="XO132" s="826"/>
      <c r="XP132" s="1312" t="s">
        <v>1468</v>
      </c>
      <c r="XQ132" s="1313"/>
      <c r="XR132" s="1314"/>
      <c r="XS132" s="756">
        <f>$MN$98</f>
        <v>0.55105560251025065</v>
      </c>
      <c r="XT132" s="756"/>
      <c r="XU132" s="940" t="s">
        <v>1537</v>
      </c>
      <c r="XV132" s="940"/>
      <c r="XW132" s="940"/>
      <c r="XX132" s="940"/>
      <c r="XY132" s="940"/>
      <c r="XZ132" s="940"/>
      <c r="YA132" s="940"/>
      <c r="YB132" s="1003"/>
      <c r="YC132" s="763">
        <f>1+XS132/XS133</f>
        <v>1.0140917218403787</v>
      </c>
      <c r="YD132" s="764"/>
      <c r="YE132" s="1087"/>
      <c r="YF132" s="1006"/>
      <c r="YG132" s="978"/>
      <c r="YH132" s="716" t="s">
        <v>1655</v>
      </c>
      <c r="YI132" s="1027"/>
      <c r="YJ132" s="1085"/>
      <c r="YK132" s="767"/>
      <c r="YL132" s="767"/>
      <c r="YM132" s="767"/>
      <c r="YN132" s="767"/>
      <c r="YO132" s="767"/>
      <c r="YP132" s="767"/>
      <c r="YU132" s="144"/>
      <c r="YV132" s="144"/>
      <c r="YW132" s="144"/>
      <c r="YX132" s="144"/>
      <c r="ZE132" s="144"/>
      <c r="ZH132" s="144"/>
      <c r="ZI132" s="144"/>
      <c r="ZJ132" s="144"/>
      <c r="ZK132" s="144"/>
      <c r="AAD132" s="947"/>
      <c r="AAE132" s="947"/>
      <c r="AAF132" s="947"/>
      <c r="AAG132" s="947"/>
      <c r="AAH132" s="535">
        <v>59</v>
      </c>
      <c r="AAI132" s="956"/>
      <c r="AAJ132" s="957"/>
      <c r="AAK132" s="958">
        <f t="shared" si="59"/>
        <v>0.78666666666666674</v>
      </c>
      <c r="AAL132" s="959"/>
      <c r="AAN132" s="947"/>
      <c r="AAO132" s="947"/>
      <c r="AAP132" s="947"/>
      <c r="AAQ132" s="947"/>
      <c r="AAR132" s="535">
        <v>119</v>
      </c>
      <c r="AAS132" s="956"/>
      <c r="AAT132" s="957"/>
      <c r="AAU132" s="958">
        <f t="shared" si="60"/>
        <v>1.5866666666666667</v>
      </c>
      <c r="AAV132" s="959"/>
      <c r="AAX132" s="947"/>
      <c r="AAY132" s="947"/>
      <c r="AAZ132" s="947"/>
      <c r="ABA132" s="947"/>
      <c r="ABB132" s="535">
        <v>179</v>
      </c>
      <c r="ABC132" s="956"/>
      <c r="ABD132" s="957"/>
      <c r="ABE132" s="958">
        <f t="shared" si="61"/>
        <v>2.3866666666666667</v>
      </c>
      <c r="ABF132" s="959"/>
      <c r="ABH132" s="947"/>
      <c r="ABI132" s="947"/>
      <c r="ABJ132" s="947"/>
      <c r="ABK132" s="947"/>
      <c r="ABL132" s="537">
        <v>239</v>
      </c>
      <c r="ABM132" s="956"/>
      <c r="ABN132" s="957"/>
      <c r="ABO132" s="958">
        <f t="shared" si="62"/>
        <v>3.186666666666667</v>
      </c>
      <c r="ABP132" s="959"/>
      <c r="ABR132" s="947"/>
      <c r="ABS132" s="947"/>
      <c r="ABT132" s="947"/>
      <c r="ABU132" s="947"/>
      <c r="ABV132" s="537">
        <v>299</v>
      </c>
      <c r="ABW132" s="956"/>
      <c r="ABX132" s="957"/>
      <c r="ABY132" s="958">
        <f t="shared" si="63"/>
        <v>3.9866666666666668</v>
      </c>
      <c r="ABZ132" s="959"/>
      <c r="ADB132" s="1033">
        <v>35</v>
      </c>
      <c r="ADC132" s="1033"/>
      <c r="ADD132" s="857"/>
      <c r="ADE132" s="1015"/>
      <c r="ADF132" s="1015"/>
      <c r="ADG132" s="1015"/>
      <c r="ADH132" s="1015"/>
      <c r="ADI132" s="858"/>
      <c r="ADJ132" s="1032" t="s">
        <v>762</v>
      </c>
      <c r="ADK132" s="1032"/>
      <c r="ADL132" s="1033"/>
      <c r="ADM132" s="1033"/>
      <c r="ADN132" s="1033"/>
      <c r="ADO132" s="1033"/>
      <c r="ADP132" s="1033"/>
      <c r="ADQ132" s="1033"/>
      <c r="ADR132" s="1033"/>
      <c r="ADS132" s="1033"/>
      <c r="ADT132" s="1033"/>
      <c r="ADU132" s="1033"/>
      <c r="ADV132" s="1033"/>
      <c r="ADW132" s="1033"/>
      <c r="ADX132" s="181"/>
      <c r="ADY132" s="182"/>
      <c r="ADZ132" s="182"/>
      <c r="AEA132" s="182"/>
      <c r="AEB132" s="182"/>
      <c r="AEC132" s="182"/>
      <c r="AED132" s="182"/>
      <c r="AEE132" s="182"/>
      <c r="AEF132" s="182"/>
      <c r="AEG132" s="182"/>
      <c r="AEH132" s="182"/>
      <c r="AEI132" s="185"/>
      <c r="AEJ132" s="172"/>
      <c r="AEK132" s="177"/>
      <c r="AIM132" s="827"/>
      <c r="AIN132" s="729"/>
      <c r="AIO132" s="729"/>
      <c r="AIP132" s="729"/>
      <c r="AIQ132" s="729"/>
      <c r="AIR132" s="729"/>
      <c r="AIS132" s="729"/>
      <c r="AIT132" s="729"/>
      <c r="AIU132" s="729"/>
      <c r="AIV132" s="729"/>
      <c r="AIW132" s="729"/>
      <c r="AIX132" s="729"/>
      <c r="AIY132" s="729"/>
      <c r="AIZ132" s="729"/>
      <c r="AJA132" s="765"/>
      <c r="AJB132" s="766"/>
      <c r="AJC132" s="706"/>
      <c r="AJD132" s="708"/>
      <c r="AJE132" s="715"/>
      <c r="AJF132" s="718"/>
      <c r="AJG132" s="719"/>
      <c r="AJH132" s="747"/>
      <c r="AJI132" s="768"/>
      <c r="AJJ132" s="768"/>
      <c r="AJK132" s="768"/>
      <c r="AJL132" s="768"/>
      <c r="AJM132" s="768"/>
      <c r="AJN132" s="768"/>
      <c r="AJO132" s="768"/>
      <c r="AJP132" s="768"/>
      <c r="AJQ132" s="768"/>
      <c r="AJR132" s="768"/>
      <c r="AJS132" s="768"/>
    </row>
    <row r="133" spans="72:956" ht="48" customHeight="1" thickBot="1">
      <c r="HI133" s="144"/>
      <c r="NF133" s="144"/>
      <c r="NG133" s="144"/>
      <c r="OV133" s="144"/>
      <c r="OW133" s="144"/>
      <c r="OX133" s="144"/>
      <c r="OY133" s="144"/>
      <c r="OZ133" s="144"/>
      <c r="PA133" s="144"/>
      <c r="PB133" s="144"/>
      <c r="PC133" s="144"/>
      <c r="PD133" s="144"/>
      <c r="PE133" s="403"/>
      <c r="PF133" s="399"/>
      <c r="PG133" s="399"/>
      <c r="PH133" s="399"/>
      <c r="PI133" s="399"/>
      <c r="PJ133" s="399"/>
      <c r="PK133" s="399"/>
      <c r="PL133" s="1000" t="s">
        <v>965</v>
      </c>
      <c r="PM133" s="1001"/>
      <c r="PN133" s="1001"/>
      <c r="PO133" s="1002"/>
      <c r="PP133" s="1515" t="str">
        <f>$Q$47</f>
        <v>IP44</v>
      </c>
      <c r="PQ133" s="1516"/>
      <c r="PR133" s="534"/>
      <c r="PS133" s="521" t="s">
        <v>994</v>
      </c>
      <c r="PT133" s="995" t="str">
        <f>IF(PP133="IP23","Расчет по формуле данной последовательности","Данная переменная не используется в расчете")</f>
        <v>Данная переменная не используется в расчете</v>
      </c>
      <c r="PU133" s="996"/>
      <c r="PV133" s="996"/>
      <c r="PW133" s="996"/>
      <c r="PX133" s="996"/>
      <c r="PY133" s="996"/>
      <c r="PZ133" s="996"/>
      <c r="QA133" s="996"/>
      <c r="QB133" s="997"/>
      <c r="QC133" s="399"/>
      <c r="QD133" s="399"/>
      <c r="QE133" s="399"/>
      <c r="QF133" s="399"/>
      <c r="QG133" s="399"/>
      <c r="QH133" s="399"/>
      <c r="QI133" s="399"/>
      <c r="QJ133" s="399"/>
      <c r="QK133" s="399"/>
      <c r="QL133" s="399"/>
      <c r="QM133" s="399"/>
      <c r="QN133" s="399"/>
      <c r="QO133" s="399"/>
      <c r="QP133" s="408" t="s">
        <v>1428</v>
      </c>
      <c r="QT133" s="144"/>
      <c r="QU133" s="144"/>
      <c r="VB133" s="905"/>
      <c r="VC133" s="900"/>
      <c r="VD133" s="900"/>
      <c r="VE133" s="900"/>
      <c r="VF133" s="900"/>
      <c r="VG133" s="900"/>
      <c r="VH133" s="900"/>
      <c r="VI133" s="900"/>
      <c r="VJ133" s="900"/>
      <c r="VK133" s="900"/>
      <c r="VL133" s="900"/>
      <c r="VM133" s="900"/>
      <c r="VN133" s="900"/>
      <c r="VO133" s="900"/>
      <c r="VP133" s="900"/>
      <c r="VQ133" s="900"/>
      <c r="VR133" s="900"/>
      <c r="VS133" s="900"/>
      <c r="VT133" s="900"/>
      <c r="VU133" s="900"/>
      <c r="VV133" s="900"/>
      <c r="VW133" s="900"/>
      <c r="VX133" s="906"/>
      <c r="WS133" s="827"/>
      <c r="WT133" s="1112"/>
      <c r="WU133" s="1113"/>
      <c r="WV133" s="1114"/>
      <c r="WY133" s="798"/>
      <c r="WZ133" s="799"/>
      <c r="XA133" s="800"/>
      <c r="XC133" s="798"/>
      <c r="XD133" s="799"/>
      <c r="XE133" s="800"/>
      <c r="XG133" s="798"/>
      <c r="XH133" s="799"/>
      <c r="XI133" s="800"/>
      <c r="XO133" s="826"/>
      <c r="XP133" s="696" t="s">
        <v>1607</v>
      </c>
      <c r="XQ133" s="720"/>
      <c r="XR133" s="697"/>
      <c r="XS133" s="948">
        <f>$YC$125</f>
        <v>39.104916258795605</v>
      </c>
      <c r="XT133" s="965"/>
      <c r="XU133" s="942"/>
      <c r="XV133" s="942"/>
      <c r="XW133" s="942"/>
      <c r="XX133" s="942"/>
      <c r="XY133" s="942"/>
      <c r="XZ133" s="942"/>
      <c r="YA133" s="942"/>
      <c r="YB133" s="1011"/>
      <c r="YC133" s="765"/>
      <c r="YD133" s="766"/>
      <c r="YE133" s="1089"/>
      <c r="YF133" s="708"/>
      <c r="YG133" s="979"/>
      <c r="YH133" s="718"/>
      <c r="YI133" s="1028"/>
      <c r="YJ133" s="1086"/>
      <c r="YK133" s="767"/>
      <c r="YL133" s="767"/>
      <c r="YM133" s="767"/>
      <c r="YN133" s="767"/>
      <c r="YO133" s="767"/>
      <c r="YP133" s="767"/>
      <c r="YU133" s="144"/>
      <c r="YV133" s="144"/>
      <c r="YW133" s="144"/>
      <c r="YX133" s="144"/>
      <c r="AAD133" s="947"/>
      <c r="AAE133" s="947"/>
      <c r="AAF133" s="947"/>
      <c r="AAG133" s="947"/>
      <c r="AAH133" s="535">
        <v>60</v>
      </c>
      <c r="AAI133" s="956"/>
      <c r="AAJ133" s="957"/>
      <c r="AAK133" s="958">
        <f t="shared" si="59"/>
        <v>0.8</v>
      </c>
      <c r="AAL133" s="959"/>
      <c r="AAN133" s="947"/>
      <c r="AAO133" s="947"/>
      <c r="AAP133" s="947"/>
      <c r="AAQ133" s="947"/>
      <c r="AAR133" s="535">
        <v>120</v>
      </c>
      <c r="AAS133" s="956"/>
      <c r="AAT133" s="957"/>
      <c r="AAU133" s="958">
        <f t="shared" si="60"/>
        <v>1.6</v>
      </c>
      <c r="AAV133" s="959"/>
      <c r="AAX133" s="947"/>
      <c r="AAY133" s="947"/>
      <c r="AAZ133" s="947"/>
      <c r="ABA133" s="947"/>
      <c r="ABB133" s="535">
        <v>180</v>
      </c>
      <c r="ABC133" s="956"/>
      <c r="ABD133" s="957"/>
      <c r="ABE133" s="958">
        <f t="shared" si="61"/>
        <v>2.4000000000000004</v>
      </c>
      <c r="ABF133" s="959"/>
      <c r="ABH133" s="947"/>
      <c r="ABI133" s="947"/>
      <c r="ABJ133" s="947"/>
      <c r="ABK133" s="947"/>
      <c r="ABL133" s="537">
        <v>240</v>
      </c>
      <c r="ABM133" s="956"/>
      <c r="ABN133" s="957"/>
      <c r="ABO133" s="958">
        <f t="shared" si="62"/>
        <v>3.2</v>
      </c>
      <c r="ABP133" s="959"/>
      <c r="ABR133" s="947"/>
      <c r="ABS133" s="947"/>
      <c r="ABT133" s="947"/>
      <c r="ABU133" s="947"/>
      <c r="ABV133" s="537">
        <v>300</v>
      </c>
      <c r="ABW133" s="956"/>
      <c r="ABX133" s="957"/>
      <c r="ABY133" s="958">
        <f t="shared" si="63"/>
        <v>4</v>
      </c>
      <c r="ABZ133" s="959"/>
      <c r="ADB133" s="1033"/>
      <c r="ADC133" s="1033"/>
      <c r="ADD133" s="859"/>
      <c r="ADE133" s="1016"/>
      <c r="ADF133" s="1016"/>
      <c r="ADG133" s="1016"/>
      <c r="ADH133" s="1016"/>
      <c r="ADI133" s="860"/>
      <c r="ADJ133" s="1032"/>
      <c r="ADK133" s="1032"/>
      <c r="ADL133" s="1033"/>
      <c r="ADM133" s="1033"/>
      <c r="ADN133" s="1033"/>
      <c r="ADO133" s="1033"/>
      <c r="ADP133" s="1033"/>
      <c r="ADQ133" s="1033"/>
      <c r="ADR133" s="1033"/>
      <c r="ADS133" s="1033"/>
      <c r="ADT133" s="1033"/>
      <c r="ADU133" s="1033"/>
      <c r="ADV133" s="1033"/>
      <c r="ADW133" s="1033"/>
      <c r="ADX133" s="192"/>
      <c r="ADY133" s="187"/>
      <c r="ADZ133" s="187"/>
      <c r="AEA133" s="187"/>
      <c r="AEB133" s="187"/>
      <c r="AEC133" s="187"/>
      <c r="AED133" s="187"/>
      <c r="AEE133" s="187"/>
      <c r="AEF133" s="187"/>
      <c r="AEG133" s="187"/>
      <c r="AEH133" s="187"/>
      <c r="AEI133" s="188"/>
      <c r="AEJ133" s="172"/>
      <c r="AEK133" s="177"/>
    </row>
    <row r="134" spans="72:956" ht="48" customHeight="1" thickBot="1">
      <c r="GF134" s="825"/>
      <c r="GG134" s="665" t="s">
        <v>442</v>
      </c>
      <c r="GH134" s="667"/>
      <c r="GI134" s="152"/>
      <c r="GJ134" s="87"/>
      <c r="GK134" s="87"/>
      <c r="GL134" s="87"/>
      <c r="GM134" s="87"/>
      <c r="GN134" s="87"/>
      <c r="GO134" s="87"/>
      <c r="GP134" s="152"/>
      <c r="GQ134" s="85" t="s">
        <v>467</v>
      </c>
      <c r="GR134" s="757" t="s">
        <v>461</v>
      </c>
      <c r="GS134" s="758"/>
      <c r="GT134" s="819" t="s">
        <v>126</v>
      </c>
      <c r="GU134" s="820"/>
      <c r="GV134" s="675" t="s">
        <v>731</v>
      </c>
      <c r="GW134" s="676"/>
      <c r="GX134" s="821" t="s">
        <v>473</v>
      </c>
      <c r="GY134" s="822"/>
      <c r="GZ134" s="822"/>
      <c r="HA134" s="823"/>
      <c r="HB134" s="769" t="s">
        <v>462</v>
      </c>
      <c r="HC134" s="769"/>
      <c r="HD134" s="769"/>
      <c r="HE134" s="769"/>
      <c r="HI134" s="144"/>
      <c r="HJ134" s="144"/>
      <c r="HX134" s="144"/>
      <c r="HY134" s="144"/>
      <c r="HZ134" s="144"/>
      <c r="IA134" s="144"/>
      <c r="IB134" s="144"/>
      <c r="IC134" s="144"/>
      <c r="ID134" s="144"/>
      <c r="IE134" s="144"/>
      <c r="IF134" s="144"/>
      <c r="IG134" s="144"/>
      <c r="IH134" s="144"/>
      <c r="II134" s="144"/>
      <c r="IJ134" s="144"/>
      <c r="IK134" s="144"/>
      <c r="IL134" s="144"/>
      <c r="IM134" s="144"/>
      <c r="IR134" s="554"/>
      <c r="IS134" s="513"/>
      <c r="IT134" s="548" t="s">
        <v>1756</v>
      </c>
      <c r="IU134" s="739">
        <f>$JF$77</f>
        <v>0.9805684428191489</v>
      </c>
      <c r="IV134" s="948"/>
      <c r="IW134" s="554"/>
      <c r="IX134" s="513"/>
      <c r="IY134" s="513"/>
      <c r="IZ134" s="513"/>
      <c r="JA134" s="513"/>
      <c r="JB134" s="513"/>
      <c r="JC134" s="513"/>
      <c r="JD134" s="513"/>
      <c r="JE134" s="513"/>
      <c r="JF134" s="513"/>
      <c r="JG134" s="513"/>
      <c r="JH134" s="513"/>
      <c r="JI134" s="513"/>
      <c r="JJ134" s="513"/>
      <c r="JK134" s="513"/>
      <c r="JL134" s="513"/>
      <c r="JM134" s="513"/>
      <c r="JN134" s="513"/>
      <c r="JO134" s="513"/>
      <c r="JP134" s="519"/>
      <c r="LN134" s="144"/>
      <c r="LO134" s="144"/>
      <c r="LP134" s="144"/>
      <c r="LQ134" s="144"/>
      <c r="LR134" s="144"/>
      <c r="MU134" s="144"/>
      <c r="MV134" s="144"/>
      <c r="MW134" s="144"/>
      <c r="MX134" s="144"/>
      <c r="MZ134" s="144"/>
      <c r="NA134" s="144"/>
      <c r="NB134" s="144"/>
      <c r="NC134" s="144"/>
      <c r="ND134" s="144"/>
      <c r="NE134" s="144"/>
      <c r="NF134" s="144"/>
      <c r="NG134" s="144"/>
      <c r="NH134" s="144"/>
      <c r="NI134" s="144"/>
      <c r="OV134" s="144"/>
      <c r="OW134" s="144"/>
      <c r="OX134" s="144"/>
      <c r="OY134" s="144"/>
      <c r="OZ134" s="144"/>
      <c r="PA134" s="144"/>
      <c r="PB134" s="144"/>
      <c r="PC134" s="144"/>
      <c r="PD134" s="144"/>
      <c r="PE134" s="403"/>
      <c r="PF134" s="55"/>
      <c r="PG134" s="55"/>
      <c r="PH134" s="55"/>
      <c r="PI134" s="408" t="s">
        <v>1428</v>
      </c>
      <c r="PJ134" s="214" t="s">
        <v>899</v>
      </c>
      <c r="PK134" s="695" t="s">
        <v>442</v>
      </c>
      <c r="PL134" s="695"/>
      <c r="PM134" s="528"/>
      <c r="PN134" s="87"/>
      <c r="PO134" s="87"/>
      <c r="PP134" s="87"/>
      <c r="PQ134" s="87"/>
      <c r="PR134" s="87"/>
      <c r="PS134" s="514"/>
      <c r="PT134" s="532"/>
      <c r="PU134" s="520" t="s">
        <v>467</v>
      </c>
      <c r="PV134" s="1459" t="s">
        <v>461</v>
      </c>
      <c r="PW134" s="1645"/>
      <c r="PX134" s="1348" t="s">
        <v>126</v>
      </c>
      <c r="PY134" s="1349"/>
      <c r="PZ134" s="971" t="s">
        <v>731</v>
      </c>
      <c r="QA134" s="972"/>
      <c r="QB134" s="1350" t="s">
        <v>473</v>
      </c>
      <c r="QC134" s="822"/>
      <c r="QD134" s="822"/>
      <c r="QE134" s="823"/>
      <c r="QF134" s="769" t="s">
        <v>462</v>
      </c>
      <c r="QG134" s="769"/>
      <c r="QH134" s="769"/>
      <c r="QI134" s="769"/>
      <c r="QJ134" s="769"/>
      <c r="QK134" s="769"/>
      <c r="QL134" s="769"/>
      <c r="QM134" s="769"/>
      <c r="QN134" s="769"/>
      <c r="QO134" s="399"/>
      <c r="QP134" s="409" t="s">
        <v>844</v>
      </c>
      <c r="QT134" s="144"/>
      <c r="QU134" s="144"/>
      <c r="QV134" s="144"/>
      <c r="VB134" s="905"/>
      <c r="VC134" s="900"/>
      <c r="VD134" s="900"/>
      <c r="VE134" s="900"/>
      <c r="VF134" s="900"/>
      <c r="VG134" s="900"/>
      <c r="VH134" s="900"/>
      <c r="VI134" s="900"/>
      <c r="VJ134" s="900"/>
      <c r="VK134" s="900"/>
      <c r="VL134" s="900"/>
      <c r="VM134" s="900"/>
      <c r="VN134" s="900"/>
      <c r="VO134" s="900"/>
      <c r="VP134" s="900"/>
      <c r="VQ134" s="900"/>
      <c r="VR134" s="900"/>
      <c r="VS134" s="900"/>
      <c r="VT134" s="900"/>
      <c r="VU134" s="900"/>
      <c r="VV134" s="900"/>
      <c r="VW134" s="900"/>
      <c r="VX134" s="906"/>
      <c r="XO134" s="827"/>
      <c r="XP134" s="1059"/>
      <c r="XQ134" s="1059"/>
      <c r="XR134" s="1059"/>
      <c r="XS134" s="1059"/>
      <c r="XT134" s="1059"/>
      <c r="XU134" s="944"/>
      <c r="XV134" s="944"/>
      <c r="XW134" s="944"/>
      <c r="XX134" s="944"/>
      <c r="XY134" s="944"/>
      <c r="XZ134" s="944"/>
      <c r="YA134" s="944"/>
      <c r="YB134" s="1004"/>
      <c r="YC134" s="1012"/>
      <c r="YD134" s="1013"/>
      <c r="YE134" s="1013"/>
      <c r="YF134" s="1013"/>
      <c r="YG134" s="1013"/>
      <c r="YH134" s="1013"/>
      <c r="YI134" s="1013"/>
      <c r="YJ134" s="1013"/>
      <c r="YK134" s="768"/>
      <c r="YL134" s="768"/>
      <c r="YM134" s="768"/>
      <c r="YN134" s="768"/>
      <c r="YO134" s="768"/>
      <c r="YP134" s="768"/>
      <c r="ADB134" s="1033"/>
      <c r="ADC134" s="1033"/>
      <c r="ADD134" s="861"/>
      <c r="ADE134" s="1017"/>
      <c r="ADF134" s="1017"/>
      <c r="ADG134" s="1017"/>
      <c r="ADH134" s="1017"/>
      <c r="ADI134" s="862"/>
      <c r="ADJ134" s="1032"/>
      <c r="ADK134" s="1032"/>
      <c r="ADL134" s="1033"/>
      <c r="ADM134" s="1033"/>
      <c r="ADN134" s="1033"/>
      <c r="ADO134" s="1033"/>
      <c r="ADP134" s="1033"/>
      <c r="ADQ134" s="1033"/>
      <c r="ADR134" s="1033"/>
      <c r="ADS134" s="1033"/>
      <c r="ADT134" s="1033"/>
      <c r="ADU134" s="1033"/>
      <c r="ADV134" s="1033"/>
      <c r="ADW134" s="1033"/>
      <c r="ADX134" s="183"/>
      <c r="ADY134" s="184"/>
      <c r="ADZ134" s="184"/>
      <c r="AEA134" s="184"/>
      <c r="AEB134" s="184"/>
      <c r="AEC134" s="184"/>
      <c r="AED134" s="184"/>
      <c r="AEE134" s="184"/>
      <c r="AEF134" s="184"/>
      <c r="AEG134" s="184"/>
      <c r="AEH134" s="184"/>
      <c r="AEI134" s="186"/>
      <c r="AEJ134" s="178"/>
      <c r="AEK134" s="180"/>
      <c r="AIM134" s="214" t="s">
        <v>899</v>
      </c>
      <c r="AIN134" s="665" t="s">
        <v>442</v>
      </c>
      <c r="AIO134" s="666"/>
      <c r="AIP134" s="156"/>
      <c r="AIQ134" s="87"/>
      <c r="AIR134" s="87"/>
      <c r="AIS134" s="87"/>
      <c r="AIT134" s="87"/>
      <c r="AIU134" s="87"/>
      <c r="AIV134" s="87"/>
      <c r="AIW134" s="156"/>
      <c r="AIX134" s="85" t="s">
        <v>467</v>
      </c>
      <c r="AIY134" s="757" t="s">
        <v>461</v>
      </c>
      <c r="AIZ134" s="899"/>
      <c r="AJA134" s="1130" t="s">
        <v>126</v>
      </c>
      <c r="AJB134" s="1131"/>
      <c r="AJC134" s="675" t="s">
        <v>731</v>
      </c>
      <c r="AJD134" s="676"/>
      <c r="AJE134" s="821" t="s">
        <v>473</v>
      </c>
      <c r="AJF134" s="822"/>
      <c r="AJG134" s="822"/>
      <c r="AJH134" s="823"/>
      <c r="AJI134" s="769" t="s">
        <v>462</v>
      </c>
      <c r="AJJ134" s="769"/>
      <c r="AJK134" s="769"/>
      <c r="AJL134" s="769"/>
      <c r="AJM134" s="769"/>
      <c r="AJN134" s="769"/>
      <c r="AJO134" s="769"/>
      <c r="AJP134" s="769"/>
      <c r="AJQ134" s="769"/>
      <c r="AJR134" s="769"/>
      <c r="AJS134" s="769"/>
      <c r="AJT134" s="769"/>
    </row>
    <row r="135" spans="72:956" ht="48" customHeight="1" thickBot="1">
      <c r="GF135" s="826"/>
      <c r="GG135" s="1572" t="s">
        <v>1098</v>
      </c>
      <c r="GH135" s="1121"/>
      <c r="GI135" s="1121"/>
      <c r="GJ135" s="1121"/>
      <c r="GK135" s="1121"/>
      <c r="GL135" s="1121"/>
      <c r="GM135" s="1121"/>
      <c r="GN135" s="1121"/>
      <c r="GO135" s="1121"/>
      <c r="GP135" s="1121"/>
      <c r="GQ135" s="1121"/>
      <c r="GR135" s="1121"/>
      <c r="GS135" s="1121"/>
      <c r="GT135" s="1087">
        <f>GT115/GT131</f>
        <v>30.468191452731762</v>
      </c>
      <c r="GU135" s="1006"/>
      <c r="GV135" s="1203" t="s">
        <v>50</v>
      </c>
      <c r="GW135" s="1063"/>
      <c r="GX135" s="712"/>
      <c r="GY135" s="952" t="s">
        <v>1211</v>
      </c>
      <c r="GZ135" s="953"/>
      <c r="HA135" s="746"/>
      <c r="HB135" s="890"/>
      <c r="HC135" s="841"/>
      <c r="HD135" s="841"/>
      <c r="HE135" s="891"/>
      <c r="HX135" s="144"/>
      <c r="HY135" s="144"/>
      <c r="HZ135" s="144"/>
      <c r="IA135" s="144"/>
      <c r="IB135" s="144"/>
      <c r="IC135" s="144"/>
      <c r="ID135" s="144"/>
      <c r="IE135" s="144"/>
      <c r="IF135" s="144"/>
      <c r="IG135" s="144"/>
      <c r="IH135" s="144"/>
      <c r="II135" s="144"/>
      <c r="IJ135" s="144"/>
      <c r="IK135" s="144"/>
      <c r="IL135" s="144"/>
      <c r="IM135" s="144"/>
      <c r="IR135" s="792" t="s">
        <v>1078</v>
      </c>
      <c r="IS135" s="793"/>
      <c r="IT135" s="794"/>
      <c r="IU135" s="825"/>
      <c r="IV135" s="665" t="s">
        <v>442</v>
      </c>
      <c r="IW135" s="667"/>
      <c r="IX135" s="156"/>
      <c r="IY135" s="87"/>
      <c r="IZ135" s="87"/>
      <c r="JA135" s="87"/>
      <c r="JB135" s="87"/>
      <c r="JC135" s="202"/>
      <c r="JD135" s="84" t="s">
        <v>477</v>
      </c>
      <c r="JE135" s="156"/>
      <c r="JF135" s="85" t="s">
        <v>467</v>
      </c>
      <c r="JG135" s="757" t="s">
        <v>461</v>
      </c>
      <c r="JH135" s="899"/>
      <c r="JI135" s="819" t="s">
        <v>126</v>
      </c>
      <c r="JJ135" s="820"/>
      <c r="JK135" s="675" t="s">
        <v>731</v>
      </c>
      <c r="JL135" s="676"/>
      <c r="JM135" s="821" t="s">
        <v>473</v>
      </c>
      <c r="JN135" s="822"/>
      <c r="JO135" s="822"/>
      <c r="JP135" s="823"/>
      <c r="LN135" s="144"/>
      <c r="LO135" s="144"/>
      <c r="LP135" s="144"/>
      <c r="LQ135" s="144"/>
      <c r="LR135" s="144"/>
      <c r="MU135" s="144"/>
      <c r="MV135" s="144"/>
      <c r="MW135" s="144"/>
      <c r="MX135" s="144"/>
      <c r="MZ135" s="144"/>
      <c r="NA135" s="144"/>
      <c r="NB135" s="144"/>
      <c r="NC135" s="144"/>
      <c r="ND135" s="144"/>
      <c r="NE135" s="144"/>
      <c r="NF135" s="144"/>
      <c r="NI135" s="144"/>
      <c r="NJ135" s="144"/>
      <c r="NK135" s="144"/>
      <c r="NL135" s="144"/>
      <c r="NM135" s="144"/>
      <c r="NN135" s="144"/>
      <c r="NO135" s="144"/>
      <c r="NP135" s="144"/>
      <c r="OV135" s="144"/>
      <c r="OW135" s="144"/>
      <c r="OX135" s="144"/>
      <c r="OY135" s="144"/>
      <c r="OZ135" s="144"/>
      <c r="PA135" s="144"/>
      <c r="PC135" s="144"/>
      <c r="PD135" s="144"/>
      <c r="PE135" s="403"/>
      <c r="PF135" s="55"/>
      <c r="PG135" s="399"/>
      <c r="PH135" s="399"/>
      <c r="PI135" s="399"/>
      <c r="PJ135" s="825"/>
      <c r="PK135" s="530"/>
      <c r="PL135" s="677"/>
      <c r="PM135" s="677"/>
      <c r="PN135" s="939" t="s">
        <v>1691</v>
      </c>
      <c r="PO135" s="701"/>
      <c r="PP135" s="701"/>
      <c r="PQ135" s="701"/>
      <c r="PR135" s="701"/>
      <c r="PS135" s="701"/>
      <c r="PT135" s="701"/>
      <c r="PU135" s="701"/>
      <c r="PV135" s="701"/>
      <c r="PW135" s="702"/>
      <c r="PX135" s="748">
        <f>PX141*((AQ5/1000)^2)*((10*AW34)^3)</f>
        <v>268.05028868738782</v>
      </c>
      <c r="PY135" s="749"/>
      <c r="PZ135" s="759" t="s">
        <v>3</v>
      </c>
      <c r="QA135" s="760"/>
      <c r="QB135" s="712"/>
      <c r="QC135" s="952" t="s">
        <v>1678</v>
      </c>
      <c r="QD135" s="953"/>
      <c r="QE135" s="746"/>
      <c r="QF135" s="767"/>
      <c r="QG135" s="767"/>
      <c r="QH135" s="767"/>
      <c r="QI135" s="767"/>
      <c r="QJ135" s="767"/>
      <c r="QK135" s="767"/>
      <c r="QL135" s="767"/>
      <c r="QM135" s="767"/>
      <c r="QN135" s="767"/>
      <c r="QO135" s="399"/>
      <c r="QP135" s="409" t="s">
        <v>1733</v>
      </c>
      <c r="QT135" s="144"/>
      <c r="QU135" s="144"/>
      <c r="QV135" s="144"/>
      <c r="VB135" s="905"/>
      <c r="VC135" s="900"/>
      <c r="VD135" s="900"/>
      <c r="VE135" s="900"/>
      <c r="VF135" s="900"/>
      <c r="VG135" s="900"/>
      <c r="VH135" s="900"/>
      <c r="VI135" s="900"/>
      <c r="VJ135" s="900"/>
      <c r="VK135" s="900"/>
      <c r="VL135" s="900"/>
      <c r="VM135" s="900"/>
      <c r="VN135" s="900"/>
      <c r="VO135" s="900"/>
      <c r="VP135" s="900"/>
      <c r="VQ135" s="900"/>
      <c r="VR135" s="900"/>
      <c r="VS135" s="900"/>
      <c r="VT135" s="900"/>
      <c r="VU135" s="900"/>
      <c r="VV135" s="900"/>
      <c r="VW135" s="900"/>
      <c r="VX135" s="906"/>
      <c r="YQ135" s="144"/>
      <c r="YR135" s="144"/>
      <c r="YS135" s="144"/>
      <c r="YW135" s="144"/>
      <c r="YX135" s="144"/>
      <c r="AIM135" s="825"/>
      <c r="AIN135" s="727" t="s">
        <v>412</v>
      </c>
      <c r="AIO135" s="727"/>
      <c r="AIP135" s="727"/>
      <c r="AIQ135" s="727"/>
      <c r="AIR135" s="727"/>
      <c r="AIS135" s="727"/>
      <c r="AIT135" s="727"/>
      <c r="AIU135" s="727"/>
      <c r="AIV135" s="727"/>
      <c r="AIW135" s="727"/>
      <c r="AIX135" s="727"/>
      <c r="AIY135" s="727"/>
      <c r="AIZ135" s="727"/>
      <c r="AJA135" s="1170">
        <f>AJA143-(1-AJA38)*(AJA45+PX17)</f>
        <v>24652.070188333983</v>
      </c>
      <c r="AJB135" s="1171"/>
      <c r="AJC135" s="1005"/>
      <c r="AJD135" s="1006"/>
      <c r="AJE135" s="714"/>
      <c r="AJF135" s="716" t="s">
        <v>442</v>
      </c>
      <c r="AJG135" s="717"/>
      <c r="AJH135" s="746"/>
      <c r="AJI135" s="767"/>
      <c r="AJJ135" s="767"/>
      <c r="AJK135" s="767"/>
      <c r="AJL135" s="767"/>
      <c r="AJM135" s="767"/>
      <c r="AJN135" s="767"/>
      <c r="AJO135" s="767"/>
      <c r="AJP135" s="767"/>
      <c r="AJQ135" s="767"/>
      <c r="AJR135" s="767"/>
      <c r="AJS135" s="767"/>
      <c r="AJT135" s="767"/>
    </row>
    <row r="136" spans="72:956" ht="48" customHeight="1" thickBot="1">
      <c r="GF136" s="827"/>
      <c r="GG136" s="1352"/>
      <c r="GH136" s="1255"/>
      <c r="GI136" s="1255"/>
      <c r="GJ136" s="1255"/>
      <c r="GK136" s="1255"/>
      <c r="GL136" s="1255"/>
      <c r="GM136" s="1255"/>
      <c r="GN136" s="1255"/>
      <c r="GO136" s="1255"/>
      <c r="GP136" s="1255"/>
      <c r="GQ136" s="1255"/>
      <c r="GR136" s="1255"/>
      <c r="GS136" s="1255"/>
      <c r="GT136" s="1089"/>
      <c r="GU136" s="708"/>
      <c r="GV136" s="1204"/>
      <c r="GW136" s="1065"/>
      <c r="GX136" s="713"/>
      <c r="GY136" s="954"/>
      <c r="GZ136" s="955"/>
      <c r="HA136" s="747"/>
      <c r="HB136" s="892"/>
      <c r="HC136" s="893"/>
      <c r="HD136" s="893"/>
      <c r="HE136" s="894"/>
      <c r="HX136" s="144"/>
      <c r="HY136" s="144"/>
      <c r="HZ136" s="144"/>
      <c r="IA136" s="144"/>
      <c r="IB136" s="144"/>
      <c r="IC136" s="144"/>
      <c r="ID136" s="144"/>
      <c r="IE136" s="144"/>
      <c r="IF136" s="144"/>
      <c r="IG136" s="144"/>
      <c r="IH136" s="144"/>
      <c r="II136" s="144"/>
      <c r="IJ136" s="144"/>
      <c r="IK136" s="144"/>
      <c r="IL136" s="144"/>
      <c r="IM136" s="144"/>
      <c r="IR136" s="795"/>
      <c r="IS136" s="796"/>
      <c r="IT136" s="797"/>
      <c r="IU136" s="826"/>
      <c r="IV136" s="700" t="s">
        <v>95</v>
      </c>
      <c r="IW136" s="701"/>
      <c r="IX136" s="701"/>
      <c r="IY136" s="701"/>
      <c r="IZ136" s="701"/>
      <c r="JA136" s="701"/>
      <c r="JB136" s="701"/>
      <c r="JC136" s="701"/>
      <c r="JD136" s="701"/>
      <c r="JE136" s="701"/>
      <c r="JF136" s="701"/>
      <c r="JG136" s="701"/>
      <c r="JH136" s="702"/>
      <c r="JI136" s="983">
        <v>152</v>
      </c>
      <c r="JJ136" s="984"/>
      <c r="JK136" s="759" t="s">
        <v>17</v>
      </c>
      <c r="JL136" s="760"/>
      <c r="JM136" s="714"/>
      <c r="JN136" s="716" t="s">
        <v>1227</v>
      </c>
      <c r="JO136" s="717"/>
      <c r="JP136" s="746"/>
      <c r="LN136" s="144"/>
      <c r="LO136" s="144"/>
      <c r="LP136" s="144"/>
      <c r="LQ136" s="144"/>
      <c r="LR136" s="144"/>
      <c r="LZ136" s="825"/>
      <c r="MA136" s="147" t="s">
        <v>442</v>
      </c>
      <c r="MB136" s="148"/>
      <c r="MC136" s="413"/>
      <c r="MD136" s="696" t="s">
        <v>1372</v>
      </c>
      <c r="ME136" s="697"/>
      <c r="MF136" s="724">
        <f>$CL$36</f>
        <v>5.5</v>
      </c>
      <c r="MG136" s="724"/>
      <c r="MH136" s="414" t="s">
        <v>456</v>
      </c>
      <c r="MI136" s="739">
        <f>AW38</f>
        <v>0.26781845000000004</v>
      </c>
      <c r="MJ136" s="739"/>
      <c r="MK136" s="370"/>
      <c r="ML136" s="85" t="s">
        <v>467</v>
      </c>
      <c r="MM136" s="757" t="s">
        <v>461</v>
      </c>
      <c r="MN136" s="758"/>
      <c r="MO136" s="819" t="s">
        <v>126</v>
      </c>
      <c r="MP136" s="820"/>
      <c r="MQ136" s="675" t="s">
        <v>731</v>
      </c>
      <c r="MR136" s="676"/>
      <c r="MS136" s="821" t="s">
        <v>473</v>
      </c>
      <c r="MT136" s="822"/>
      <c r="MU136" s="822"/>
      <c r="MV136" s="823"/>
      <c r="MW136" s="769" t="s">
        <v>462</v>
      </c>
      <c r="MX136" s="769"/>
      <c r="MY136" s="769"/>
      <c r="MZ136" s="769"/>
      <c r="NA136" s="769"/>
      <c r="NB136" s="769"/>
      <c r="NC136" s="769"/>
      <c r="ND136" s="769"/>
      <c r="NE136" s="769"/>
      <c r="NF136" s="769"/>
      <c r="NG136" s="769"/>
      <c r="NH136" s="144"/>
      <c r="NI136" s="144"/>
      <c r="NJ136" s="144"/>
      <c r="OD136" s="144"/>
      <c r="OE136" s="144"/>
      <c r="OF136" s="144"/>
      <c r="OW136" s="144"/>
      <c r="OX136" s="144"/>
      <c r="OY136" s="144"/>
      <c r="OZ136" s="144"/>
      <c r="PA136" s="144"/>
      <c r="PC136" s="144"/>
      <c r="PD136" s="144"/>
      <c r="PE136" s="403"/>
      <c r="PF136" s="55"/>
      <c r="PG136" s="399"/>
      <c r="PH136" s="399"/>
      <c r="PI136" s="399"/>
      <c r="PJ136" s="826"/>
      <c r="PK136" s="529"/>
      <c r="PL136" s="739"/>
      <c r="PM136" s="739"/>
      <c r="PN136" s="703"/>
      <c r="PO136" s="704"/>
      <c r="PP136" s="704"/>
      <c r="PQ136" s="704"/>
      <c r="PR136" s="704"/>
      <c r="PS136" s="704"/>
      <c r="PT136" s="704"/>
      <c r="PU136" s="704"/>
      <c r="PV136" s="704"/>
      <c r="PW136" s="705"/>
      <c r="PX136" s="750"/>
      <c r="PY136" s="751"/>
      <c r="PZ136" s="761"/>
      <c r="QA136" s="762"/>
      <c r="QB136" s="713"/>
      <c r="QC136" s="954"/>
      <c r="QD136" s="955"/>
      <c r="QE136" s="747"/>
      <c r="QF136" s="767"/>
      <c r="QG136" s="767"/>
      <c r="QH136" s="767"/>
      <c r="QI136" s="767"/>
      <c r="QJ136" s="767"/>
      <c r="QK136" s="767"/>
      <c r="QL136" s="767"/>
      <c r="QM136" s="767"/>
      <c r="QN136" s="767"/>
      <c r="QO136" s="399"/>
      <c r="QP136" s="400"/>
      <c r="QT136" s="144"/>
      <c r="QU136" s="144"/>
      <c r="QV136" s="144"/>
      <c r="VB136" s="905"/>
      <c r="VC136" s="900"/>
      <c r="VD136" s="900"/>
      <c r="VE136" s="900"/>
      <c r="VF136" s="900"/>
      <c r="VG136" s="900"/>
      <c r="VH136" s="900"/>
      <c r="VI136" s="900"/>
      <c r="VJ136" s="900"/>
      <c r="VK136" s="900"/>
      <c r="VL136" s="900"/>
      <c r="VM136" s="900"/>
      <c r="VN136" s="900"/>
      <c r="VO136" s="900"/>
      <c r="VP136" s="900"/>
      <c r="VQ136" s="900"/>
      <c r="VR136" s="900"/>
      <c r="VS136" s="900"/>
      <c r="VT136" s="900"/>
      <c r="VU136" s="900"/>
      <c r="VV136" s="900"/>
      <c r="VW136" s="900"/>
      <c r="VX136" s="906"/>
      <c r="WP136" s="825"/>
      <c r="WQ136" s="147" t="s">
        <v>442</v>
      </c>
      <c r="WR136" s="148"/>
      <c r="WS136" s="156"/>
      <c r="WT136" s="87"/>
      <c r="WU136" s="87"/>
      <c r="WV136" s="87"/>
      <c r="WW136" s="87"/>
      <c r="WX136" s="87"/>
      <c r="WY136" s="87"/>
      <c r="WZ136" s="156"/>
      <c r="XA136" s="85" t="s">
        <v>467</v>
      </c>
      <c r="XB136" s="757" t="s">
        <v>461</v>
      </c>
      <c r="XC136" s="758"/>
      <c r="XD136" s="819" t="s">
        <v>126</v>
      </c>
      <c r="XE136" s="820"/>
      <c r="XF136" s="675" t="s">
        <v>731</v>
      </c>
      <c r="XG136" s="676"/>
      <c r="XH136" s="821" t="s">
        <v>473</v>
      </c>
      <c r="XI136" s="822"/>
      <c r="XJ136" s="822"/>
      <c r="XK136" s="823"/>
      <c r="XO136" s="825"/>
      <c r="XP136" s="665" t="s">
        <v>442</v>
      </c>
      <c r="XQ136" s="666"/>
      <c r="XR136" s="459"/>
      <c r="XS136" s="863" t="s">
        <v>1595</v>
      </c>
      <c r="XT136" s="863"/>
      <c r="XU136" s="863"/>
      <c r="XV136" s="739">
        <f>$YC$121</f>
        <v>0.94379173500186275</v>
      </c>
      <c r="XW136" s="739"/>
      <c r="XX136" s="87"/>
      <c r="XY136" s="459"/>
      <c r="XZ136" s="85" t="s">
        <v>467</v>
      </c>
      <c r="YA136" s="757" t="s">
        <v>461</v>
      </c>
      <c r="YB136" s="899"/>
      <c r="YC136" s="1130" t="s">
        <v>126</v>
      </c>
      <c r="YD136" s="1131"/>
      <c r="YE136" s="675" t="s">
        <v>731</v>
      </c>
      <c r="YF136" s="676"/>
      <c r="YG136" s="821" t="s">
        <v>473</v>
      </c>
      <c r="YH136" s="822"/>
      <c r="YI136" s="822"/>
      <c r="YJ136" s="823"/>
      <c r="YK136" s="769" t="s">
        <v>462</v>
      </c>
      <c r="YL136" s="769"/>
      <c r="YM136" s="769"/>
      <c r="YN136" s="769"/>
      <c r="YO136" s="769"/>
      <c r="YP136" s="769"/>
      <c r="YQ136" s="769"/>
      <c r="YR136" s="769"/>
      <c r="YS136" s="769"/>
      <c r="YW136" s="144"/>
      <c r="YX136" s="144"/>
      <c r="YY136" s="144"/>
      <c r="YZ136" s="144"/>
      <c r="ZA136" s="144"/>
      <c r="ZB136" s="144"/>
      <c r="ZC136" s="144"/>
      <c r="AIM136" s="827"/>
      <c r="AIN136" s="729"/>
      <c r="AIO136" s="729"/>
      <c r="AIP136" s="729"/>
      <c r="AIQ136" s="729"/>
      <c r="AIR136" s="729"/>
      <c r="AIS136" s="729"/>
      <c r="AIT136" s="729"/>
      <c r="AIU136" s="729"/>
      <c r="AIV136" s="729"/>
      <c r="AIW136" s="729"/>
      <c r="AIX136" s="729"/>
      <c r="AIY136" s="729"/>
      <c r="AIZ136" s="729"/>
      <c r="AJA136" s="1172"/>
      <c r="AJB136" s="1173"/>
      <c r="AJC136" s="706"/>
      <c r="AJD136" s="708"/>
      <c r="AJE136" s="715"/>
      <c r="AJF136" s="718"/>
      <c r="AJG136" s="719"/>
      <c r="AJH136" s="747"/>
      <c r="AJI136" s="768"/>
      <c r="AJJ136" s="768"/>
      <c r="AJK136" s="768"/>
      <c r="AJL136" s="768"/>
      <c r="AJM136" s="768"/>
      <c r="AJN136" s="768"/>
      <c r="AJO136" s="768"/>
      <c r="AJP136" s="768"/>
      <c r="AJQ136" s="768"/>
      <c r="AJR136" s="768"/>
      <c r="AJS136" s="768"/>
      <c r="AJT136" s="768"/>
    </row>
    <row r="137" spans="72:956" ht="48" customHeight="1" thickBot="1">
      <c r="HX137" s="144"/>
      <c r="HY137" s="144"/>
      <c r="HZ137" s="144"/>
      <c r="IA137" s="144"/>
      <c r="IB137" s="144"/>
      <c r="IC137" s="144"/>
      <c r="ID137" s="144"/>
      <c r="IE137" s="144"/>
      <c r="IF137" s="144"/>
      <c r="IG137" s="144"/>
      <c r="IH137" s="144"/>
      <c r="II137" s="144"/>
      <c r="IJ137" s="144"/>
      <c r="IK137" s="144"/>
      <c r="IL137" s="144"/>
      <c r="IM137" s="144"/>
      <c r="IR137" s="798"/>
      <c r="IS137" s="799"/>
      <c r="IT137" s="800"/>
      <c r="IU137" s="827"/>
      <c r="IV137" s="706"/>
      <c r="IW137" s="707"/>
      <c r="IX137" s="707"/>
      <c r="IY137" s="707"/>
      <c r="IZ137" s="707"/>
      <c r="JA137" s="707"/>
      <c r="JB137" s="707"/>
      <c r="JC137" s="707"/>
      <c r="JD137" s="707"/>
      <c r="JE137" s="707"/>
      <c r="JF137" s="707"/>
      <c r="JG137" s="707"/>
      <c r="JH137" s="708"/>
      <c r="JI137" s="985"/>
      <c r="JJ137" s="986"/>
      <c r="JK137" s="761"/>
      <c r="JL137" s="762"/>
      <c r="JM137" s="715"/>
      <c r="JN137" s="718"/>
      <c r="JO137" s="719"/>
      <c r="JP137" s="747"/>
      <c r="LN137" s="144"/>
      <c r="LO137" s="144"/>
      <c r="LP137" s="144"/>
      <c r="LQ137" s="144"/>
      <c r="LR137" s="144"/>
      <c r="LZ137" s="826"/>
      <c r="MA137" s="411" t="s">
        <v>1128</v>
      </c>
      <c r="MB137" s="739">
        <f>$AZ$86</f>
        <v>0.13</v>
      </c>
      <c r="MC137" s="739"/>
      <c r="MD137" s="941" t="s">
        <v>1406</v>
      </c>
      <c r="ME137" s="942"/>
      <c r="MF137" s="942"/>
      <c r="MG137" s="942"/>
      <c r="MH137" s="940"/>
      <c r="MI137" s="940"/>
      <c r="MJ137" s="940"/>
      <c r="MK137" s="940"/>
      <c r="ML137" s="940"/>
      <c r="MM137" s="940"/>
      <c r="MN137" s="1003"/>
      <c r="MO137" s="763">
        <f>(34*MF136/(MB137*100)*(MB138-0.64*MB139*MI136))</f>
        <v>1.2479077065077948</v>
      </c>
      <c r="MP137" s="764"/>
      <c r="MQ137" s="849" t="s">
        <v>762</v>
      </c>
      <c r="MR137" s="850"/>
      <c r="MS137" s="714"/>
      <c r="MT137" s="740" t="s">
        <v>1396</v>
      </c>
      <c r="MU137" s="742"/>
      <c r="MV137" s="746"/>
      <c r="MW137" s="767"/>
      <c r="MX137" s="767"/>
      <c r="MY137" s="767"/>
      <c r="MZ137" s="767"/>
      <c r="NA137" s="767"/>
      <c r="NB137" s="767"/>
      <c r="NC137" s="767"/>
      <c r="ND137" s="767"/>
      <c r="NE137" s="767"/>
      <c r="NF137" s="767"/>
      <c r="NG137" s="767"/>
      <c r="NH137" s="144"/>
      <c r="NI137" s="144"/>
      <c r="NJ137" s="144"/>
      <c r="OW137" s="144"/>
      <c r="OX137" s="144"/>
      <c r="OY137" s="144"/>
      <c r="OZ137" s="144"/>
      <c r="PA137" s="144"/>
      <c r="PB137" s="144"/>
      <c r="PC137" s="144"/>
      <c r="PD137" s="144"/>
      <c r="PE137" s="403"/>
      <c r="PF137" s="55"/>
      <c r="PG137" s="399"/>
      <c r="PH137" s="399"/>
      <c r="PI137" s="399"/>
      <c r="PJ137" s="827"/>
      <c r="PK137" s="531"/>
      <c r="PL137" s="883"/>
      <c r="PM137" s="883"/>
      <c r="PN137" s="706"/>
      <c r="PO137" s="707"/>
      <c r="PP137" s="707"/>
      <c r="PQ137" s="707"/>
      <c r="PR137" s="707"/>
      <c r="PS137" s="707"/>
      <c r="PT137" s="707"/>
      <c r="PU137" s="707"/>
      <c r="PV137" s="707"/>
      <c r="PW137" s="708"/>
      <c r="PX137" s="1452"/>
      <c r="PY137" s="1453"/>
      <c r="PZ137" s="1453"/>
      <c r="QA137" s="1453"/>
      <c r="QB137" s="1453"/>
      <c r="QC137" s="1453"/>
      <c r="QD137" s="1453"/>
      <c r="QE137" s="1453"/>
      <c r="QF137" s="768"/>
      <c r="QG137" s="768"/>
      <c r="QH137" s="768"/>
      <c r="QI137" s="768"/>
      <c r="QJ137" s="768"/>
      <c r="QK137" s="768"/>
      <c r="QL137" s="768"/>
      <c r="QM137" s="768"/>
      <c r="QN137" s="768"/>
      <c r="QO137" s="399"/>
      <c r="QP137" s="400"/>
      <c r="QT137" s="144"/>
      <c r="QU137" s="144"/>
      <c r="QV137" s="144"/>
      <c r="VB137" s="905"/>
      <c r="VC137" s="900"/>
      <c r="VD137" s="900"/>
      <c r="VE137" s="900"/>
      <c r="VF137" s="900"/>
      <c r="VG137" s="900"/>
      <c r="VH137" s="900"/>
      <c r="VI137" s="900"/>
      <c r="VJ137" s="900"/>
      <c r="VK137" s="900"/>
      <c r="VL137" s="900"/>
      <c r="VM137" s="900"/>
      <c r="VN137" s="900"/>
      <c r="VO137" s="900"/>
      <c r="VP137" s="900"/>
      <c r="VQ137" s="900"/>
      <c r="VR137" s="900"/>
      <c r="VS137" s="900"/>
      <c r="VT137" s="900"/>
      <c r="VU137" s="900"/>
      <c r="VV137" s="900"/>
      <c r="VW137" s="900"/>
      <c r="VX137" s="906"/>
      <c r="WP137" s="826"/>
      <c r="WQ137" s="816"/>
      <c r="WR137" s="816"/>
      <c r="WS137" s="816"/>
      <c r="WT137" s="816"/>
      <c r="WU137" s="816"/>
      <c r="WV137" s="816"/>
      <c r="WW137" s="816"/>
      <c r="WX137" s="816"/>
      <c r="WY137" s="816"/>
      <c r="WZ137" s="816"/>
      <c r="XA137" s="816"/>
      <c r="XB137" s="816"/>
      <c r="XC137" s="816"/>
      <c r="XD137" s="923"/>
      <c r="XE137" s="924"/>
      <c r="XF137" s="1005"/>
      <c r="XG137" s="1006"/>
      <c r="XH137" s="712"/>
      <c r="XI137" s="716" t="s">
        <v>1517</v>
      </c>
      <c r="XJ137" s="717"/>
      <c r="XK137" s="746"/>
      <c r="XO137" s="826"/>
      <c r="XP137" s="696" t="s">
        <v>1606</v>
      </c>
      <c r="XQ137" s="697"/>
      <c r="XR137" s="1055">
        <f>$YC$132</f>
        <v>1.0140917218403787</v>
      </c>
      <c r="XS137" s="1056"/>
      <c r="XT137" s="1044" t="s">
        <v>1598</v>
      </c>
      <c r="XU137" s="1044"/>
      <c r="XV137" s="1044"/>
      <c r="XW137" s="1044"/>
      <c r="XX137" s="1044"/>
      <c r="XY137" s="1044"/>
      <c r="XZ137" s="1044"/>
      <c r="YA137" s="1044"/>
      <c r="YB137" s="1045"/>
      <c r="YC137" s="1305">
        <f>ZN190+YC132*XV136</f>
        <v>0.95709138560675733</v>
      </c>
      <c r="YD137" s="764"/>
      <c r="YE137" s="1005"/>
      <c r="YF137" s="1006"/>
      <c r="YG137" s="714"/>
      <c r="YH137" s="952" t="s">
        <v>1578</v>
      </c>
      <c r="YI137" s="953"/>
      <c r="YJ137" s="746"/>
      <c r="YK137" s="767"/>
      <c r="YL137" s="767"/>
      <c r="YM137" s="767"/>
      <c r="YN137" s="767"/>
      <c r="YO137" s="767"/>
      <c r="YP137" s="767"/>
      <c r="YQ137" s="767"/>
      <c r="YR137" s="767"/>
      <c r="YS137" s="767"/>
      <c r="YW137" s="144"/>
      <c r="YX137" s="144"/>
      <c r="YY137" s="144"/>
      <c r="YZ137" s="144"/>
      <c r="ZA137" s="144"/>
      <c r="ZB137" s="144"/>
      <c r="ZC137" s="144"/>
    </row>
    <row r="138" spans="72:956" ht="48" customHeight="1" thickBot="1">
      <c r="GF138" s="85" t="s">
        <v>839</v>
      </c>
      <c r="GG138" s="665" t="s">
        <v>442</v>
      </c>
      <c r="GH138" s="667"/>
      <c r="GI138" s="152"/>
      <c r="GJ138" s="87"/>
      <c r="GK138" s="87"/>
      <c r="GL138" s="87"/>
      <c r="GM138" s="87"/>
      <c r="GN138" s="87"/>
      <c r="GO138" s="87"/>
      <c r="GP138" s="152"/>
      <c r="GQ138" s="85" t="s">
        <v>467</v>
      </c>
      <c r="GR138" s="757" t="s">
        <v>461</v>
      </c>
      <c r="GS138" s="758"/>
      <c r="GT138" s="819" t="s">
        <v>126</v>
      </c>
      <c r="GU138" s="820"/>
      <c r="GV138" s="675" t="s">
        <v>731</v>
      </c>
      <c r="GW138" s="676"/>
      <c r="GX138" s="821" t="s">
        <v>473</v>
      </c>
      <c r="GY138" s="822"/>
      <c r="GZ138" s="822"/>
      <c r="HA138" s="823"/>
      <c r="HB138" s="769" t="s">
        <v>462</v>
      </c>
      <c r="HC138" s="769"/>
      <c r="HD138" s="769"/>
      <c r="HE138" s="769"/>
      <c r="HF138" s="769"/>
      <c r="HG138" s="60"/>
      <c r="HX138" s="144"/>
      <c r="HY138" s="144"/>
      <c r="HZ138" s="144"/>
      <c r="IA138" s="144"/>
      <c r="IB138" s="144"/>
      <c r="IC138" s="144"/>
      <c r="ID138" s="144"/>
      <c r="IE138" s="144"/>
      <c r="IF138" s="144"/>
      <c r="IG138" s="144"/>
      <c r="IH138" s="144"/>
      <c r="II138" s="144"/>
      <c r="IJ138" s="144"/>
      <c r="IK138" s="144"/>
      <c r="IL138" s="144"/>
      <c r="IM138" s="144"/>
      <c r="LN138" s="144"/>
      <c r="LO138" s="144"/>
      <c r="LP138" s="144"/>
      <c r="LQ138" s="144"/>
      <c r="LR138" s="144"/>
      <c r="LZ138" s="826"/>
      <c r="MA138" s="411" t="s">
        <v>1402</v>
      </c>
      <c r="MB138" s="739">
        <f>$MN$35</f>
        <v>0.14388754483031016</v>
      </c>
      <c r="MC138" s="739"/>
      <c r="MD138" s="941"/>
      <c r="ME138" s="942"/>
      <c r="MF138" s="942"/>
      <c r="MG138" s="942"/>
      <c r="MH138" s="942"/>
      <c r="MI138" s="942"/>
      <c r="MJ138" s="942"/>
      <c r="MK138" s="942"/>
      <c r="ML138" s="942"/>
      <c r="MM138" s="942"/>
      <c r="MN138" s="1011"/>
      <c r="MO138" s="765"/>
      <c r="MP138" s="766"/>
      <c r="MQ138" s="851"/>
      <c r="MR138" s="852"/>
      <c r="MS138" s="715"/>
      <c r="MT138" s="743"/>
      <c r="MU138" s="745"/>
      <c r="MV138" s="747"/>
      <c r="MW138" s="767"/>
      <c r="MX138" s="767"/>
      <c r="MY138" s="767"/>
      <c r="MZ138" s="767"/>
      <c r="NA138" s="767"/>
      <c r="NB138" s="767"/>
      <c r="NC138" s="767"/>
      <c r="ND138" s="767"/>
      <c r="NE138" s="767"/>
      <c r="NF138" s="767"/>
      <c r="NG138" s="767"/>
      <c r="NH138" s="144"/>
      <c r="NI138" s="144"/>
      <c r="NJ138" s="144"/>
      <c r="OW138" s="144"/>
      <c r="OX138" s="144"/>
      <c r="OY138" s="144"/>
      <c r="OZ138" s="144"/>
      <c r="PA138" s="144"/>
      <c r="PB138" s="144"/>
      <c r="PC138" s="144"/>
      <c r="PD138" s="144"/>
      <c r="PE138" s="403"/>
      <c r="PF138" s="55"/>
      <c r="PG138" s="399"/>
      <c r="PH138" s="399"/>
      <c r="PI138" s="399"/>
      <c r="PJ138" s="399"/>
      <c r="PK138" s="399"/>
      <c r="PL138" s="399"/>
      <c r="PM138" s="399"/>
      <c r="PN138" s="399"/>
      <c r="PO138" s="399"/>
      <c r="PP138" s="399"/>
      <c r="PQ138" s="399"/>
      <c r="PR138" s="399"/>
      <c r="PS138" s="399"/>
      <c r="PT138" s="399"/>
      <c r="PU138" s="399"/>
      <c r="PV138" s="399"/>
      <c r="PW138" s="399"/>
      <c r="PX138" s="399"/>
      <c r="PY138" s="399"/>
      <c r="PZ138" s="399"/>
      <c r="QA138" s="399"/>
      <c r="QB138" s="399"/>
      <c r="QC138" s="399"/>
      <c r="QD138" s="399"/>
      <c r="QE138" s="399"/>
      <c r="QF138" s="399"/>
      <c r="QG138" s="399"/>
      <c r="QH138" s="399"/>
      <c r="QI138" s="399"/>
      <c r="QJ138" s="399"/>
      <c r="QK138" s="399"/>
      <c r="QL138" s="399"/>
      <c r="QM138" s="409" t="s">
        <v>1733</v>
      </c>
      <c r="QN138" s="399"/>
      <c r="QO138" s="399"/>
      <c r="QP138" s="400"/>
      <c r="QT138" s="144"/>
      <c r="QU138" s="144"/>
      <c r="QV138" s="144"/>
      <c r="VB138" s="905"/>
      <c r="VC138" s="900"/>
      <c r="VD138" s="900"/>
      <c r="VE138" s="900"/>
      <c r="VF138" s="900"/>
      <c r="VG138" s="900"/>
      <c r="VH138" s="900"/>
      <c r="VI138" s="900"/>
      <c r="VJ138" s="900"/>
      <c r="VK138" s="900"/>
      <c r="VL138" s="900"/>
      <c r="VM138" s="900"/>
      <c r="VN138" s="900"/>
      <c r="VO138" s="900"/>
      <c r="VP138" s="900"/>
      <c r="VQ138" s="900"/>
      <c r="VR138" s="900"/>
      <c r="VS138" s="900"/>
      <c r="VT138" s="900"/>
      <c r="VU138" s="900"/>
      <c r="VV138" s="900"/>
      <c r="VW138" s="900"/>
      <c r="VX138" s="906"/>
      <c r="WP138" s="827"/>
      <c r="WQ138" s="818"/>
      <c r="WR138" s="818"/>
      <c r="WS138" s="818"/>
      <c r="WT138" s="818"/>
      <c r="WU138" s="818"/>
      <c r="WV138" s="818"/>
      <c r="WW138" s="818"/>
      <c r="WX138" s="818"/>
      <c r="WY138" s="818"/>
      <c r="WZ138" s="818"/>
      <c r="XA138" s="818"/>
      <c r="XB138" s="818"/>
      <c r="XC138" s="818"/>
      <c r="XD138" s="925"/>
      <c r="XE138" s="926"/>
      <c r="XF138" s="706"/>
      <c r="XG138" s="708"/>
      <c r="XH138" s="713"/>
      <c r="XI138" s="718"/>
      <c r="XJ138" s="719"/>
      <c r="XK138" s="747"/>
      <c r="XO138" s="827"/>
      <c r="XP138" s="1057" t="s">
        <v>1468</v>
      </c>
      <c r="XQ138" s="1058"/>
      <c r="XR138" s="883">
        <f>$MN$98</f>
        <v>0.55105560251025065</v>
      </c>
      <c r="XS138" s="883"/>
      <c r="XT138" s="1009"/>
      <c r="XU138" s="1009"/>
      <c r="XV138" s="1009"/>
      <c r="XW138" s="1009"/>
      <c r="XX138" s="1009"/>
      <c r="XY138" s="1009"/>
      <c r="XZ138" s="1009"/>
      <c r="YA138" s="1009"/>
      <c r="YB138" s="1010"/>
      <c r="YC138" s="1306"/>
      <c r="YD138" s="766"/>
      <c r="YE138" s="706"/>
      <c r="YF138" s="708"/>
      <c r="YG138" s="715"/>
      <c r="YH138" s="954"/>
      <c r="YI138" s="955"/>
      <c r="YJ138" s="747"/>
      <c r="YK138" s="768"/>
      <c r="YL138" s="768"/>
      <c r="YM138" s="768"/>
      <c r="YN138" s="768"/>
      <c r="YO138" s="768"/>
      <c r="YP138" s="768"/>
      <c r="YQ138" s="768"/>
      <c r="YR138" s="768"/>
      <c r="YS138" s="768"/>
      <c r="ZA138" s="144"/>
      <c r="AIM138" s="825"/>
      <c r="AIN138" s="665" t="s">
        <v>442</v>
      </c>
      <c r="AIO138" s="666"/>
      <c r="AIP138" s="216"/>
      <c r="AIQ138" s="87"/>
      <c r="AIR138" s="87"/>
      <c r="AIS138" s="87"/>
      <c r="AIT138" s="87"/>
      <c r="AIU138" s="87"/>
      <c r="AIV138" s="87"/>
      <c r="AIW138" s="216"/>
      <c r="AIX138" s="85" t="s">
        <v>467</v>
      </c>
      <c r="AIY138" s="757" t="s">
        <v>461</v>
      </c>
      <c r="AIZ138" s="899"/>
      <c r="AJA138" s="819" t="s">
        <v>126</v>
      </c>
      <c r="AJB138" s="820"/>
      <c r="AJC138" s="675" t="s">
        <v>731</v>
      </c>
      <c r="AJD138" s="676"/>
      <c r="AJE138" s="821" t="s">
        <v>473</v>
      </c>
      <c r="AJF138" s="822"/>
      <c r="AJG138" s="822"/>
      <c r="AJH138" s="823"/>
      <c r="AJI138" s="821" t="s">
        <v>921</v>
      </c>
      <c r="AJJ138" s="822"/>
      <c r="AJK138" s="823"/>
    </row>
    <row r="139" spans="72:956" ht="48" customHeight="1" thickBot="1">
      <c r="GF139" s="825"/>
      <c r="GG139" s="700" t="s">
        <v>66</v>
      </c>
      <c r="GH139" s="701"/>
      <c r="GI139" s="701"/>
      <c r="GJ139" s="701"/>
      <c r="GK139" s="701"/>
      <c r="GL139" s="701"/>
      <c r="GM139" s="701"/>
      <c r="GN139" s="701"/>
      <c r="GO139" s="701"/>
      <c r="GP139" s="701"/>
      <c r="GQ139" s="701"/>
      <c r="GR139" s="701"/>
      <c r="GS139" s="701"/>
      <c r="GT139" s="1087">
        <f>GT28*1000-GT131</f>
        <v>153.27250000000001</v>
      </c>
      <c r="GU139" s="1006"/>
      <c r="GV139" s="1203" t="s">
        <v>50</v>
      </c>
      <c r="GW139" s="1063"/>
      <c r="GX139" s="712"/>
      <c r="GY139" s="716" t="s">
        <v>1212</v>
      </c>
      <c r="GZ139" s="717"/>
      <c r="HA139" s="746"/>
      <c r="HB139" s="767"/>
      <c r="HC139" s="767"/>
      <c r="HD139" s="767"/>
      <c r="HE139" s="767"/>
      <c r="HF139" s="767"/>
      <c r="HI139" s="144"/>
      <c r="HJ139" s="144"/>
      <c r="HX139" s="144"/>
      <c r="HY139" s="144"/>
      <c r="HZ139" s="144"/>
      <c r="IA139" s="144"/>
      <c r="IB139" s="144"/>
      <c r="IC139" s="144"/>
      <c r="ID139" s="144"/>
      <c r="IE139" s="144"/>
      <c r="IF139" s="144"/>
      <c r="IG139" s="144"/>
      <c r="IH139" s="144"/>
      <c r="II139" s="144"/>
      <c r="IJ139" s="144"/>
      <c r="IK139" s="144"/>
      <c r="IL139" s="144"/>
      <c r="IM139" s="144"/>
      <c r="IR139" s="825"/>
      <c r="IS139" s="147" t="s">
        <v>442</v>
      </c>
      <c r="IT139" s="148"/>
      <c r="IU139" s="343"/>
      <c r="IV139" s="87"/>
      <c r="IW139" s="87"/>
      <c r="IX139" s="87"/>
      <c r="IY139" s="87"/>
      <c r="IZ139" s="87"/>
      <c r="JA139" s="87"/>
      <c r="JB139" s="343"/>
      <c r="JC139" s="85" t="s">
        <v>467</v>
      </c>
      <c r="JD139" s="757" t="s">
        <v>461</v>
      </c>
      <c r="JE139" s="899"/>
      <c r="JF139" s="1130" t="s">
        <v>126</v>
      </c>
      <c r="JG139" s="1131"/>
      <c r="JH139" s="675" t="s">
        <v>731</v>
      </c>
      <c r="JI139" s="676"/>
      <c r="JJ139" s="821" t="s">
        <v>473</v>
      </c>
      <c r="JK139" s="822"/>
      <c r="JL139" s="822"/>
      <c r="JM139" s="823"/>
      <c r="JN139" s="769" t="s">
        <v>462</v>
      </c>
      <c r="JO139" s="769"/>
      <c r="JP139" s="769"/>
      <c r="JQ139" s="769"/>
      <c r="JR139" s="769"/>
      <c r="JS139" s="769"/>
      <c r="JT139" s="769"/>
      <c r="LN139" s="144"/>
      <c r="LO139" s="144"/>
      <c r="LP139" s="144"/>
      <c r="LQ139" s="144"/>
      <c r="LR139" s="144"/>
      <c r="LZ139" s="827"/>
      <c r="MA139" s="412" t="s">
        <v>451</v>
      </c>
      <c r="MB139" s="828">
        <f>$MQ$111</f>
        <v>0.33333333333333331</v>
      </c>
      <c r="MC139" s="828"/>
      <c r="MD139" s="943"/>
      <c r="ME139" s="944"/>
      <c r="MF139" s="944"/>
      <c r="MG139" s="944"/>
      <c r="MH139" s="944"/>
      <c r="MI139" s="944"/>
      <c r="MJ139" s="944"/>
      <c r="MK139" s="944"/>
      <c r="ML139" s="944"/>
      <c r="MM139" s="944"/>
      <c r="MN139" s="1004"/>
      <c r="MO139" s="1022"/>
      <c r="MP139" s="1023"/>
      <c r="MQ139" s="1023"/>
      <c r="MR139" s="1023"/>
      <c r="MS139" s="1023"/>
      <c r="MT139" s="1023"/>
      <c r="MU139" s="1023"/>
      <c r="MV139" s="1024"/>
      <c r="MW139" s="768"/>
      <c r="MX139" s="768"/>
      <c r="MY139" s="768"/>
      <c r="MZ139" s="768"/>
      <c r="NA139" s="768"/>
      <c r="NB139" s="768"/>
      <c r="NC139" s="768"/>
      <c r="ND139" s="768"/>
      <c r="NE139" s="768"/>
      <c r="NF139" s="768"/>
      <c r="NG139" s="768"/>
      <c r="NI139" s="144"/>
      <c r="NJ139" s="144"/>
      <c r="OW139" s="144"/>
      <c r="OX139" s="144"/>
      <c r="OY139" s="144"/>
      <c r="OZ139" s="144"/>
      <c r="PA139" s="144"/>
      <c r="PB139" s="144"/>
      <c r="PE139" s="403"/>
      <c r="PF139" s="55"/>
      <c r="PG139" s="399"/>
      <c r="PH139" s="399"/>
      <c r="PI139" s="399"/>
      <c r="PJ139" s="399"/>
      <c r="PK139" s="399"/>
      <c r="PL139" s="1000" t="s">
        <v>7</v>
      </c>
      <c r="PM139" s="1001"/>
      <c r="PN139" s="1001"/>
      <c r="PO139" s="1001"/>
      <c r="PP139" s="1001"/>
      <c r="PQ139" s="1002"/>
      <c r="PR139" s="529" t="s">
        <v>1144</v>
      </c>
      <c r="PS139" s="756">
        <f>$AZ$21</f>
        <v>0.313</v>
      </c>
      <c r="PT139" s="756"/>
      <c r="PU139" s="529" t="s">
        <v>428</v>
      </c>
      <c r="PV139" s="724">
        <f>$AW$16</f>
        <v>2</v>
      </c>
      <c r="PW139" s="724"/>
      <c r="PX139" s="399"/>
      <c r="PY139" s="399"/>
      <c r="PZ139" s="399"/>
      <c r="QA139" s="399"/>
      <c r="QB139" s="399"/>
      <c r="QC139" s="399"/>
      <c r="QD139" s="399"/>
      <c r="QE139" s="399"/>
      <c r="QF139" s="399"/>
      <c r="QG139" s="399"/>
      <c r="QH139" s="399"/>
      <c r="QI139" s="399"/>
      <c r="QJ139" s="399"/>
      <c r="QK139" s="399"/>
      <c r="QL139" s="399"/>
      <c r="QM139" s="55"/>
      <c r="QN139" s="399"/>
      <c r="QO139" s="399"/>
      <c r="QP139" s="400"/>
      <c r="QT139" s="144"/>
      <c r="QU139" s="144"/>
      <c r="QV139" s="144"/>
      <c r="VB139" s="905"/>
      <c r="VC139" s="900"/>
      <c r="VD139" s="900"/>
      <c r="VE139" s="900"/>
      <c r="VF139" s="900"/>
      <c r="VG139" s="900"/>
      <c r="VH139" s="900"/>
      <c r="VI139" s="900"/>
      <c r="VJ139" s="900"/>
      <c r="VK139" s="900"/>
      <c r="VL139" s="900"/>
      <c r="VM139" s="900"/>
      <c r="VN139" s="900"/>
      <c r="VO139" s="900"/>
      <c r="VP139" s="900"/>
      <c r="VQ139" s="900"/>
      <c r="VR139" s="900"/>
      <c r="VS139" s="900"/>
      <c r="VT139" s="900"/>
      <c r="VU139" s="900"/>
      <c r="VV139" s="900"/>
      <c r="VW139" s="900"/>
      <c r="VX139" s="906"/>
      <c r="AIM139" s="826"/>
      <c r="AIN139" s="700"/>
      <c r="AIO139" s="701"/>
      <c r="AIP139" s="701"/>
      <c r="AIQ139" s="701"/>
      <c r="AIR139" s="701"/>
      <c r="AIS139" s="701"/>
      <c r="AIT139" s="701"/>
      <c r="AIU139" s="701"/>
      <c r="AIV139" s="701"/>
      <c r="AIW139" s="701"/>
      <c r="AIX139" s="701"/>
      <c r="AIY139" s="701"/>
      <c r="AIZ139" s="701"/>
      <c r="AJA139" s="763"/>
      <c r="AJB139" s="764"/>
      <c r="AJC139" s="700"/>
      <c r="AJD139" s="701"/>
      <c r="AJE139" s="714"/>
      <c r="AJF139" s="716" t="s">
        <v>442</v>
      </c>
      <c r="AJG139" s="717"/>
      <c r="AJH139" s="746"/>
      <c r="AJI139" s="1066" t="s">
        <v>920</v>
      </c>
      <c r="AJJ139" s="1111"/>
      <c r="AJK139" s="1067"/>
    </row>
    <row r="140" spans="72:956" ht="48" customHeight="1" thickBot="1">
      <c r="GF140" s="827"/>
      <c r="GG140" s="706"/>
      <c r="GH140" s="707"/>
      <c r="GI140" s="707"/>
      <c r="GJ140" s="707"/>
      <c r="GK140" s="707"/>
      <c r="GL140" s="707"/>
      <c r="GM140" s="707"/>
      <c r="GN140" s="707"/>
      <c r="GO140" s="707"/>
      <c r="GP140" s="707"/>
      <c r="GQ140" s="707"/>
      <c r="GR140" s="707"/>
      <c r="GS140" s="707"/>
      <c r="GT140" s="1089"/>
      <c r="GU140" s="708"/>
      <c r="GV140" s="1204"/>
      <c r="GW140" s="1065"/>
      <c r="GX140" s="713"/>
      <c r="GY140" s="718"/>
      <c r="GZ140" s="719"/>
      <c r="HA140" s="747"/>
      <c r="HB140" s="768"/>
      <c r="HC140" s="768"/>
      <c r="HD140" s="768"/>
      <c r="HE140" s="768"/>
      <c r="HF140" s="768"/>
      <c r="HI140" s="144"/>
      <c r="HJ140" s="144"/>
      <c r="HX140" s="144"/>
      <c r="HY140" s="144"/>
      <c r="HZ140" s="144"/>
      <c r="IA140" s="144"/>
      <c r="IB140" s="144"/>
      <c r="IC140" s="144"/>
      <c r="ID140" s="144"/>
      <c r="IE140" s="144"/>
      <c r="IF140" s="144"/>
      <c r="IG140" s="144"/>
      <c r="IH140" s="144"/>
      <c r="II140" s="144"/>
      <c r="IJ140" s="144"/>
      <c r="IK140" s="144"/>
      <c r="IL140" s="144"/>
      <c r="IM140" s="144"/>
      <c r="IR140" s="826"/>
      <c r="IS140" s="863" t="s">
        <v>1187</v>
      </c>
      <c r="IT140" s="863"/>
      <c r="IU140" s="739">
        <f>$GT$28</f>
        <v>0.16658500000000001</v>
      </c>
      <c r="IV140" s="739"/>
      <c r="IW140" s="701" t="s">
        <v>892</v>
      </c>
      <c r="IX140" s="701"/>
      <c r="IY140" s="701"/>
      <c r="IZ140" s="701"/>
      <c r="JA140" s="701"/>
      <c r="JB140" s="701"/>
      <c r="JC140" s="701"/>
      <c r="JD140" s="701"/>
      <c r="JE140" s="702"/>
      <c r="JF140" s="752">
        <f>(((GT28-GT36)/2)*1000)-GT101</f>
        <v>38.212500000000006</v>
      </c>
      <c r="JG140" s="753"/>
      <c r="JH140" s="759" t="s">
        <v>50</v>
      </c>
      <c r="JI140" s="760"/>
      <c r="JJ140" s="714"/>
      <c r="JK140" s="740" t="s">
        <v>893</v>
      </c>
      <c r="JL140" s="742"/>
      <c r="JM140" s="746"/>
      <c r="JN140" s="767"/>
      <c r="JO140" s="767"/>
      <c r="JP140" s="767"/>
      <c r="JQ140" s="767"/>
      <c r="JR140" s="767"/>
      <c r="JS140" s="767"/>
      <c r="JT140" s="767"/>
      <c r="LN140" s="144"/>
      <c r="LO140" s="144"/>
      <c r="LP140" s="144"/>
      <c r="LQ140" s="144"/>
      <c r="LR140" s="144"/>
      <c r="NE140" s="144"/>
      <c r="NF140" s="144"/>
      <c r="NI140" s="144"/>
      <c r="NP140" s="144"/>
      <c r="NQ140" s="144"/>
      <c r="NR140" s="144"/>
      <c r="NS140" s="144"/>
      <c r="NT140" s="144"/>
      <c r="NU140" s="144"/>
      <c r="NV140" s="144"/>
      <c r="NW140" s="144"/>
      <c r="NX140" s="144"/>
      <c r="NY140" s="144"/>
      <c r="NZ140" s="144"/>
      <c r="OA140" s="144"/>
      <c r="OB140" s="144"/>
      <c r="OC140" s="144"/>
      <c r="OD140" s="144"/>
      <c r="OE140" s="144"/>
      <c r="OF140" s="144"/>
      <c r="OG140" s="144"/>
      <c r="OH140" s="144"/>
      <c r="OI140" s="144"/>
      <c r="OJ140" s="144"/>
      <c r="OK140" s="144"/>
      <c r="OL140" s="144"/>
      <c r="OM140" s="144"/>
      <c r="ON140" s="144"/>
      <c r="OW140" s="144"/>
      <c r="OX140" s="144"/>
      <c r="OY140" s="144"/>
      <c r="OZ140" s="144"/>
      <c r="PA140" s="144"/>
      <c r="PB140" s="144"/>
      <c r="PC140" s="144"/>
      <c r="PD140" s="144"/>
      <c r="PE140" s="403"/>
      <c r="PF140" s="55"/>
      <c r="PG140" s="399"/>
      <c r="PH140" s="399"/>
      <c r="PI140" s="399"/>
      <c r="PJ140" s="825"/>
      <c r="PK140" s="695" t="s">
        <v>442</v>
      </c>
      <c r="PL140" s="695"/>
      <c r="PM140" s="532"/>
      <c r="PN140" s="514"/>
      <c r="PO140" s="514"/>
      <c r="PP140" s="87"/>
      <c r="PQ140" s="87"/>
      <c r="PR140" s="87"/>
      <c r="PS140" s="87"/>
      <c r="PT140" s="528"/>
      <c r="PU140" s="85" t="s">
        <v>467</v>
      </c>
      <c r="PV140" s="757" t="s">
        <v>461</v>
      </c>
      <c r="PW140" s="899"/>
      <c r="PX140" s="819" t="s">
        <v>126</v>
      </c>
      <c r="PY140" s="820"/>
      <c r="PZ140" s="675" t="s">
        <v>731</v>
      </c>
      <c r="QA140" s="1094"/>
      <c r="QB140" s="769" t="s">
        <v>473</v>
      </c>
      <c r="QC140" s="769"/>
      <c r="QD140" s="769"/>
      <c r="QE140" s="769"/>
      <c r="QF140" s="769"/>
      <c r="QG140" s="821" t="s">
        <v>921</v>
      </c>
      <c r="QH140" s="822"/>
      <c r="QI140" s="823"/>
      <c r="QJ140" s="399"/>
      <c r="QK140" s="399"/>
      <c r="QL140" s="399"/>
      <c r="QM140" s="55"/>
      <c r="QN140" s="399"/>
      <c r="QO140" s="399"/>
      <c r="QP140" s="400"/>
      <c r="QT140" s="144"/>
      <c r="QU140" s="144"/>
      <c r="QV140" s="144"/>
      <c r="VB140" s="905"/>
      <c r="VC140" s="900"/>
      <c r="VD140" s="900"/>
      <c r="VE140" s="900"/>
      <c r="VF140" s="900"/>
      <c r="VG140" s="900"/>
      <c r="VH140" s="900"/>
      <c r="VI140" s="900"/>
      <c r="VJ140" s="900"/>
      <c r="VK140" s="900"/>
      <c r="VL140" s="900"/>
      <c r="VM140" s="900"/>
      <c r="VN140" s="900"/>
      <c r="VO140" s="900"/>
      <c r="VP140" s="900"/>
      <c r="VQ140" s="900"/>
      <c r="VR140" s="900"/>
      <c r="VS140" s="900"/>
      <c r="VT140" s="900"/>
      <c r="VU140" s="900"/>
      <c r="VV140" s="900"/>
      <c r="VW140" s="900"/>
      <c r="VX140" s="906"/>
      <c r="WP140" s="825"/>
      <c r="WQ140" s="147" t="s">
        <v>442</v>
      </c>
      <c r="WR140" s="148"/>
      <c r="WS140" s="456"/>
      <c r="WT140" s="87"/>
      <c r="WU140" s="87"/>
      <c r="WV140" s="87"/>
      <c r="WW140" s="87"/>
      <c r="WX140" s="87"/>
      <c r="WY140" s="87"/>
      <c r="WZ140" s="456"/>
      <c r="XA140" s="85" t="s">
        <v>467</v>
      </c>
      <c r="XB140" s="757" t="s">
        <v>461</v>
      </c>
      <c r="XC140" s="758"/>
      <c r="XD140" s="819" t="s">
        <v>126</v>
      </c>
      <c r="XE140" s="820"/>
      <c r="XF140" s="675" t="s">
        <v>731</v>
      </c>
      <c r="XG140" s="676"/>
      <c r="XH140" s="821" t="s">
        <v>473</v>
      </c>
      <c r="XI140" s="822"/>
      <c r="XJ140" s="822"/>
      <c r="XK140" s="823"/>
      <c r="XO140" s="825"/>
      <c r="XP140" s="665" t="s">
        <v>442</v>
      </c>
      <c r="XQ140" s="666"/>
      <c r="XR140" s="459"/>
      <c r="XS140" s="863" t="s">
        <v>1591</v>
      </c>
      <c r="XT140" s="863"/>
      <c r="XU140" s="863"/>
      <c r="XV140" s="739">
        <f>$YC$93</f>
        <v>0.65992755858999019</v>
      </c>
      <c r="XW140" s="739"/>
      <c r="XX140" s="87"/>
      <c r="XY140" s="459"/>
      <c r="XZ140" s="85" t="s">
        <v>467</v>
      </c>
      <c r="YA140" s="757" t="s">
        <v>461</v>
      </c>
      <c r="YB140" s="899"/>
      <c r="YC140" s="819" t="s">
        <v>126</v>
      </c>
      <c r="YD140" s="820"/>
      <c r="YE140" s="675" t="s">
        <v>731</v>
      </c>
      <c r="YF140" s="676"/>
      <c r="YG140" s="821" t="s">
        <v>473</v>
      </c>
      <c r="YH140" s="822"/>
      <c r="YI140" s="822"/>
      <c r="YJ140" s="823"/>
      <c r="YK140" s="769" t="s">
        <v>462</v>
      </c>
      <c r="YL140" s="769"/>
      <c r="YM140" s="769"/>
      <c r="YN140" s="769"/>
      <c r="YO140" s="769"/>
      <c r="YP140" s="769"/>
      <c r="YQ140" s="769"/>
      <c r="YR140" s="769"/>
      <c r="YS140" s="769"/>
      <c r="ZA140" s="144"/>
      <c r="AIM140" s="827"/>
      <c r="AIN140" s="706"/>
      <c r="AIO140" s="707"/>
      <c r="AIP140" s="707"/>
      <c r="AIQ140" s="707"/>
      <c r="AIR140" s="707"/>
      <c r="AIS140" s="707"/>
      <c r="AIT140" s="707"/>
      <c r="AIU140" s="707"/>
      <c r="AIV140" s="707"/>
      <c r="AIW140" s="707"/>
      <c r="AIX140" s="707"/>
      <c r="AIY140" s="707"/>
      <c r="AIZ140" s="707"/>
      <c r="AJA140" s="765"/>
      <c r="AJB140" s="766"/>
      <c r="AJC140" s="706"/>
      <c r="AJD140" s="707"/>
      <c r="AJE140" s="715"/>
      <c r="AJF140" s="718"/>
      <c r="AJG140" s="719"/>
      <c r="AJH140" s="747"/>
      <c r="AJI140" s="1112"/>
      <c r="AJJ140" s="1113"/>
      <c r="AJK140" s="1114"/>
    </row>
    <row r="141" spans="72:956" ht="48" customHeight="1" thickBot="1">
      <c r="HI141" s="144"/>
      <c r="HJ141" s="144"/>
      <c r="HX141" s="144"/>
      <c r="HY141" s="144"/>
      <c r="HZ141" s="144"/>
      <c r="IA141" s="144"/>
      <c r="IB141" s="144"/>
      <c r="IC141" s="144"/>
      <c r="ID141" s="144"/>
      <c r="IE141" s="144"/>
      <c r="IF141" s="144"/>
      <c r="IG141" s="144"/>
      <c r="IH141" s="144"/>
      <c r="II141" s="144"/>
      <c r="IJ141" s="144"/>
      <c r="IK141" s="144"/>
      <c r="IL141" s="144"/>
      <c r="IM141" s="144"/>
      <c r="IR141" s="826"/>
      <c r="IS141" s="863" t="s">
        <v>1294</v>
      </c>
      <c r="IT141" s="863"/>
      <c r="IU141" s="677">
        <f>GW61</f>
        <v>0</v>
      </c>
      <c r="IV141" s="677"/>
      <c r="IW141" s="704"/>
      <c r="IX141" s="704"/>
      <c r="IY141" s="704"/>
      <c r="IZ141" s="704"/>
      <c r="JA141" s="704"/>
      <c r="JB141" s="704"/>
      <c r="JC141" s="704"/>
      <c r="JD141" s="704"/>
      <c r="JE141" s="705"/>
      <c r="JF141" s="754"/>
      <c r="JG141" s="755"/>
      <c r="JH141" s="761"/>
      <c r="JI141" s="762"/>
      <c r="JJ141" s="715"/>
      <c r="JK141" s="743"/>
      <c r="JL141" s="745"/>
      <c r="JM141" s="747"/>
      <c r="JN141" s="767"/>
      <c r="JO141" s="767"/>
      <c r="JP141" s="767"/>
      <c r="JQ141" s="767"/>
      <c r="JR141" s="767"/>
      <c r="JS141" s="767"/>
      <c r="JT141" s="767"/>
      <c r="LN141" s="144"/>
      <c r="LO141" s="144"/>
      <c r="LP141" s="144"/>
      <c r="LQ141" s="144"/>
      <c r="LR141" s="144"/>
      <c r="LZ141" s="825"/>
      <c r="MA141" s="147" t="s">
        <v>442</v>
      </c>
      <c r="MB141" s="148"/>
      <c r="MC141" s="370"/>
      <c r="MD141" s="696" t="s">
        <v>1441</v>
      </c>
      <c r="ME141" s="720"/>
      <c r="MF141" s="697"/>
      <c r="MG141" s="739">
        <f>$MN$158</f>
        <v>0.20284070593606757</v>
      </c>
      <c r="MH141" s="739"/>
      <c r="MI141" s="413"/>
      <c r="MJ141" s="370"/>
      <c r="MK141" s="85" t="s">
        <v>467</v>
      </c>
      <c r="ML141" s="757" t="s">
        <v>461</v>
      </c>
      <c r="MM141" s="758"/>
      <c r="MN141" s="1130" t="s">
        <v>126</v>
      </c>
      <c r="MO141" s="1131"/>
      <c r="MP141" s="675" t="s">
        <v>731</v>
      </c>
      <c r="MQ141" s="676"/>
      <c r="MR141" s="821" t="s">
        <v>473</v>
      </c>
      <c r="MS141" s="822"/>
      <c r="MT141" s="822"/>
      <c r="MU141" s="822"/>
      <c r="MV141" s="821" t="s">
        <v>462</v>
      </c>
      <c r="MW141" s="822"/>
      <c r="MX141" s="822"/>
      <c r="MY141" s="822"/>
      <c r="MZ141" s="822"/>
      <c r="NA141" s="822"/>
      <c r="NB141" s="823"/>
      <c r="NE141" s="144"/>
      <c r="NF141" s="144"/>
      <c r="NI141" s="144"/>
      <c r="NP141" s="144"/>
      <c r="NQ141" s="144"/>
      <c r="NR141" s="144"/>
      <c r="NS141" s="144"/>
      <c r="NT141" s="144"/>
      <c r="NU141" s="144"/>
      <c r="NV141" s="144"/>
      <c r="NW141" s="144"/>
      <c r="NX141" s="144"/>
      <c r="NY141" s="144"/>
      <c r="NZ141" s="144"/>
      <c r="OA141" s="144"/>
      <c r="OB141" s="144"/>
      <c r="OC141" s="144"/>
      <c r="OD141" s="144"/>
      <c r="OE141" s="144"/>
      <c r="OF141" s="144"/>
      <c r="OG141" s="144"/>
      <c r="OH141" s="144"/>
      <c r="OI141" s="144"/>
      <c r="OJ141" s="144"/>
      <c r="OK141" s="144"/>
      <c r="OL141" s="144"/>
      <c r="OM141" s="144"/>
      <c r="ON141" s="144"/>
      <c r="OW141" s="144"/>
      <c r="OX141" s="144"/>
      <c r="PB141" s="144"/>
      <c r="PC141" s="144"/>
      <c r="PD141" s="144"/>
      <c r="PE141" s="403"/>
      <c r="PF141" s="55"/>
      <c r="PG141" s="399"/>
      <c r="PH141" s="399"/>
      <c r="PI141" s="399"/>
      <c r="PJ141" s="826"/>
      <c r="PK141" s="939" t="s">
        <v>1684</v>
      </c>
      <c r="PL141" s="940"/>
      <c r="PM141" s="940"/>
      <c r="PN141" s="940"/>
      <c r="PO141" s="940"/>
      <c r="PP141" s="940"/>
      <c r="PQ141" s="940"/>
      <c r="PR141" s="940"/>
      <c r="PS141" s="940"/>
      <c r="PT141" s="940"/>
      <c r="PU141" s="940"/>
      <c r="PV141" s="940"/>
      <c r="PW141" s="1003"/>
      <c r="PX141" s="763">
        <v>6</v>
      </c>
      <c r="PY141" s="764"/>
      <c r="PZ141" s="849" t="s">
        <v>762</v>
      </c>
      <c r="QA141" s="850"/>
      <c r="QB141" s="978"/>
      <c r="QC141" s="1083" t="s">
        <v>1683</v>
      </c>
      <c r="QD141" s="1083"/>
      <c r="QE141" s="1083"/>
      <c r="QF141" s="1085"/>
      <c r="QG141" s="1066" t="s">
        <v>920</v>
      </c>
      <c r="QH141" s="1111"/>
      <c r="QI141" s="1067"/>
      <c r="QJ141" s="409" t="s">
        <v>1429</v>
      </c>
      <c r="QK141" s="55"/>
      <c r="QL141" s="55"/>
      <c r="QM141" s="55"/>
      <c r="QN141" s="399"/>
      <c r="QO141" s="399"/>
      <c r="QP141" s="400"/>
      <c r="QT141" s="144"/>
      <c r="QU141" s="144"/>
      <c r="QV141" s="144"/>
      <c r="VB141" s="905"/>
      <c r="VC141" s="900"/>
      <c r="VD141" s="900"/>
      <c r="VE141" s="900"/>
      <c r="VF141" s="900"/>
      <c r="VG141" s="900"/>
      <c r="VH141" s="900"/>
      <c r="VI141" s="900"/>
      <c r="VJ141" s="900"/>
      <c r="VK141" s="900"/>
      <c r="VL141" s="900"/>
      <c r="VM141" s="900"/>
      <c r="VN141" s="900"/>
      <c r="VO141" s="900"/>
      <c r="VP141" s="900"/>
      <c r="VQ141" s="900"/>
      <c r="VR141" s="900"/>
      <c r="VS141" s="900"/>
      <c r="VT141" s="900"/>
      <c r="VU141" s="900"/>
      <c r="VV141" s="900"/>
      <c r="VW141" s="900"/>
      <c r="VX141" s="906"/>
      <c r="WP141" s="826"/>
      <c r="WQ141" s="457"/>
      <c r="WR141" s="739"/>
      <c r="WS141" s="739"/>
      <c r="WT141" s="701"/>
      <c r="WU141" s="701"/>
      <c r="WV141" s="701"/>
      <c r="WW141" s="701"/>
      <c r="WX141" s="701"/>
      <c r="WY141" s="701"/>
      <c r="WZ141" s="701"/>
      <c r="XA141" s="701"/>
      <c r="XB141" s="701"/>
      <c r="XC141" s="702"/>
      <c r="XD141" s="763"/>
      <c r="XE141" s="764"/>
      <c r="XF141" s="1088"/>
      <c r="XG141" s="1006"/>
      <c r="XH141" s="714"/>
      <c r="XI141" s="716" t="s">
        <v>442</v>
      </c>
      <c r="XJ141" s="717"/>
      <c r="XK141" s="746"/>
      <c r="XO141" s="826"/>
      <c r="XP141" s="696" t="s">
        <v>1606</v>
      </c>
      <c r="XQ141" s="697"/>
      <c r="XR141" s="1055">
        <f>$YC$132</f>
        <v>1.0140917218403787</v>
      </c>
      <c r="XS141" s="1140"/>
      <c r="XT141" s="1041" t="s">
        <v>1589</v>
      </c>
      <c r="XU141" s="1041"/>
      <c r="XV141" s="1041"/>
      <c r="XW141" s="1041"/>
      <c r="XX141" s="1041"/>
      <c r="XY141" s="1041"/>
      <c r="XZ141" s="1041"/>
      <c r="YA141" s="1041"/>
      <c r="YB141" s="1042"/>
      <c r="YC141" s="763">
        <f>XR143+XR141*XV140/XR142</f>
        <v>0.85477330594601808</v>
      </c>
      <c r="YD141" s="764"/>
      <c r="YE141" s="1005"/>
      <c r="YF141" s="1006"/>
      <c r="YG141" s="712"/>
      <c r="YH141" s="952" t="s">
        <v>1579</v>
      </c>
      <c r="YI141" s="953"/>
      <c r="YJ141" s="746"/>
      <c r="YK141" s="767"/>
      <c r="YL141" s="767"/>
      <c r="YM141" s="767"/>
      <c r="YN141" s="767"/>
      <c r="YO141" s="767"/>
      <c r="YP141" s="767"/>
      <c r="YQ141" s="767"/>
      <c r="YR141" s="767"/>
      <c r="YS141" s="767"/>
    </row>
    <row r="142" spans="72:956" ht="48" customHeight="1" thickBot="1">
      <c r="HI142" s="144"/>
      <c r="HJ142" s="144"/>
      <c r="HX142" s="144"/>
      <c r="HY142" s="144"/>
      <c r="HZ142" s="144"/>
      <c r="IA142" s="144"/>
      <c r="IB142" s="144"/>
      <c r="IC142" s="144"/>
      <c r="ID142" s="144"/>
      <c r="IE142" s="144"/>
      <c r="IF142" s="144"/>
      <c r="IG142" s="144"/>
      <c r="IH142" s="144"/>
      <c r="II142" s="144"/>
      <c r="IJ142" s="144"/>
      <c r="IK142" s="144"/>
      <c r="IL142" s="144"/>
      <c r="IM142" s="144"/>
      <c r="IR142" s="827"/>
      <c r="IS142" s="709" t="s">
        <v>1584</v>
      </c>
      <c r="IT142" s="709"/>
      <c r="IU142" s="1534">
        <f>$GT$101</f>
        <v>10.65</v>
      </c>
      <c r="IV142" s="1534"/>
      <c r="IW142" s="707"/>
      <c r="IX142" s="707"/>
      <c r="IY142" s="707"/>
      <c r="IZ142" s="707"/>
      <c r="JA142" s="707"/>
      <c r="JB142" s="707"/>
      <c r="JC142" s="707"/>
      <c r="JD142" s="707"/>
      <c r="JE142" s="708"/>
      <c r="JF142" s="1022"/>
      <c r="JG142" s="1023"/>
      <c r="JH142" s="1023"/>
      <c r="JI142" s="1023"/>
      <c r="JJ142" s="1023"/>
      <c r="JK142" s="1023"/>
      <c r="JL142" s="1023"/>
      <c r="JM142" s="1024"/>
      <c r="JN142" s="768"/>
      <c r="JO142" s="768"/>
      <c r="JP142" s="768"/>
      <c r="JQ142" s="768"/>
      <c r="JR142" s="768"/>
      <c r="JS142" s="768"/>
      <c r="JT142" s="768"/>
      <c r="LN142" s="144"/>
      <c r="LO142" s="144"/>
      <c r="LP142" s="144"/>
      <c r="LQ142" s="144"/>
      <c r="LR142" s="144"/>
      <c r="LX142" s="144"/>
      <c r="LZ142" s="826"/>
      <c r="MA142" s="374" t="s">
        <v>1125</v>
      </c>
      <c r="MB142" s="739">
        <f>$CL$40</f>
        <v>1.6231421212121216E-2</v>
      </c>
      <c r="MC142" s="739"/>
      <c r="MD142" s="939" t="s">
        <v>1405</v>
      </c>
      <c r="ME142" s="940"/>
      <c r="MF142" s="940"/>
      <c r="MG142" s="940"/>
      <c r="MH142" s="940"/>
      <c r="MI142" s="940"/>
      <c r="MJ142" s="940"/>
      <c r="MK142" s="940"/>
      <c r="ML142" s="940"/>
      <c r="MM142" s="940"/>
      <c r="MN142" s="763">
        <f>(CL40*1000)/(12*GW12*JF114)*MG141</f>
        <v>0.12738425053916749</v>
      </c>
      <c r="MO142" s="764"/>
      <c r="MP142" s="849" t="s">
        <v>762</v>
      </c>
      <c r="MQ142" s="850"/>
      <c r="MR142" s="714"/>
      <c r="MS142" s="740" t="s">
        <v>1395</v>
      </c>
      <c r="MT142" s="742"/>
      <c r="MU142" s="1119"/>
      <c r="MV142" s="919"/>
      <c r="MW142" s="840"/>
      <c r="MX142" s="840"/>
      <c r="MY142" s="840"/>
      <c r="MZ142" s="840"/>
      <c r="NA142" s="840"/>
      <c r="NB142" s="920"/>
      <c r="NP142" s="144"/>
      <c r="NQ142" s="144"/>
      <c r="NR142" s="144"/>
      <c r="NS142" s="144"/>
      <c r="NT142" s="144"/>
      <c r="NU142" s="144"/>
      <c r="NV142" s="144"/>
      <c r="NW142" s="144"/>
      <c r="NX142" s="144"/>
      <c r="NY142" s="144"/>
      <c r="NZ142" s="144"/>
      <c r="OA142" s="144"/>
      <c r="OB142" s="144"/>
      <c r="OC142" s="144"/>
      <c r="OD142" s="144"/>
      <c r="OE142" s="144"/>
      <c r="OF142" s="144"/>
      <c r="OG142" s="144"/>
      <c r="OH142" s="144"/>
      <c r="OI142" s="144"/>
      <c r="OJ142" s="144"/>
      <c r="OK142" s="144"/>
      <c r="OL142" s="144"/>
      <c r="OM142" s="144"/>
      <c r="ON142" s="144"/>
      <c r="OO142" s="144"/>
      <c r="OP142" s="144"/>
      <c r="OQ142" s="144"/>
      <c r="OR142" s="144"/>
      <c r="OS142" s="144"/>
      <c r="OT142" s="144"/>
      <c r="OW142" s="144"/>
      <c r="OX142" s="144"/>
      <c r="OY142" s="144"/>
      <c r="OZ142" s="144"/>
      <c r="PA142" s="144"/>
      <c r="PE142" s="403"/>
      <c r="PF142" s="55"/>
      <c r="PG142" s="399"/>
      <c r="PH142" s="399"/>
      <c r="PI142" s="399"/>
      <c r="PJ142" s="827"/>
      <c r="PK142" s="943"/>
      <c r="PL142" s="944"/>
      <c r="PM142" s="944"/>
      <c r="PN142" s="944"/>
      <c r="PO142" s="944"/>
      <c r="PP142" s="944"/>
      <c r="PQ142" s="944"/>
      <c r="PR142" s="944"/>
      <c r="PS142" s="944"/>
      <c r="PT142" s="944"/>
      <c r="PU142" s="944"/>
      <c r="PV142" s="944"/>
      <c r="PW142" s="1004"/>
      <c r="PX142" s="765"/>
      <c r="PY142" s="766"/>
      <c r="PZ142" s="851"/>
      <c r="QA142" s="852"/>
      <c r="QB142" s="979"/>
      <c r="QC142" s="1084"/>
      <c r="QD142" s="1084"/>
      <c r="QE142" s="1084"/>
      <c r="QF142" s="1086"/>
      <c r="QG142" s="1112"/>
      <c r="QH142" s="1113"/>
      <c r="QI142" s="1114"/>
      <c r="QJ142" s="399"/>
      <c r="QK142" s="399"/>
      <c r="QL142" s="399"/>
      <c r="QM142" s="399"/>
      <c r="QN142" s="399"/>
      <c r="QO142" s="399"/>
      <c r="QP142" s="400"/>
      <c r="QT142" s="144"/>
      <c r="QU142" s="144"/>
      <c r="QV142" s="144"/>
      <c r="VB142" s="905"/>
      <c r="VC142" s="900"/>
      <c r="VD142" s="900"/>
      <c r="VE142" s="900"/>
      <c r="VF142" s="900"/>
      <c r="VG142" s="900"/>
      <c r="VH142" s="900"/>
      <c r="VI142" s="900"/>
      <c r="VJ142" s="900"/>
      <c r="VK142" s="900"/>
      <c r="VL142" s="900"/>
      <c r="VM142" s="900"/>
      <c r="VN142" s="900"/>
      <c r="VO142" s="900"/>
      <c r="VP142" s="900"/>
      <c r="VQ142" s="900"/>
      <c r="VR142" s="900"/>
      <c r="VS142" s="900"/>
      <c r="VT142" s="900"/>
      <c r="VU142" s="900"/>
      <c r="VV142" s="900"/>
      <c r="VW142" s="900"/>
      <c r="VX142" s="906"/>
      <c r="WP142" s="827"/>
      <c r="WQ142" s="458"/>
      <c r="WR142" s="828"/>
      <c r="WS142" s="828"/>
      <c r="WT142" s="707"/>
      <c r="WU142" s="707"/>
      <c r="WV142" s="707"/>
      <c r="WW142" s="707"/>
      <c r="WX142" s="707"/>
      <c r="WY142" s="707"/>
      <c r="WZ142" s="707"/>
      <c r="XA142" s="707"/>
      <c r="XB142" s="707"/>
      <c r="XC142" s="708"/>
      <c r="XD142" s="765"/>
      <c r="XE142" s="766"/>
      <c r="XF142" s="707"/>
      <c r="XG142" s="708"/>
      <c r="XH142" s="715"/>
      <c r="XI142" s="718"/>
      <c r="XJ142" s="719"/>
      <c r="XK142" s="747"/>
      <c r="XO142" s="826"/>
      <c r="XP142" s="1060" t="s">
        <v>1323</v>
      </c>
      <c r="XQ142" s="1060"/>
      <c r="XR142" s="698">
        <f>$ZJ$16</f>
        <v>1</v>
      </c>
      <c r="XS142" s="726"/>
      <c r="XT142" s="1041"/>
      <c r="XU142" s="1041"/>
      <c r="XV142" s="1041"/>
      <c r="XW142" s="1041"/>
      <c r="XX142" s="1041"/>
      <c r="XY142" s="1041"/>
      <c r="XZ142" s="1041"/>
      <c r="YA142" s="1041"/>
      <c r="YB142" s="1042"/>
      <c r="YC142" s="765"/>
      <c r="YD142" s="766"/>
      <c r="YE142" s="706"/>
      <c r="YF142" s="708"/>
      <c r="YG142" s="713"/>
      <c r="YH142" s="954"/>
      <c r="YI142" s="955"/>
      <c r="YJ142" s="747"/>
      <c r="YK142" s="767"/>
      <c r="YL142" s="767"/>
      <c r="YM142" s="767"/>
      <c r="YN142" s="767"/>
      <c r="YO142" s="767"/>
      <c r="YP142" s="767"/>
      <c r="YQ142" s="767"/>
      <c r="YR142" s="767"/>
      <c r="YS142" s="767"/>
      <c r="ZA142" s="144"/>
      <c r="AIM142" s="825"/>
      <c r="AIN142" s="665" t="s">
        <v>442</v>
      </c>
      <c r="AIO142" s="666"/>
      <c r="AIP142" s="156"/>
      <c r="AIQ142" s="87"/>
      <c r="AIR142" s="87"/>
      <c r="AIS142" s="87"/>
      <c r="AIT142" s="87"/>
      <c r="AIU142" s="219"/>
      <c r="AIV142" s="84" t="s">
        <v>477</v>
      </c>
      <c r="AIW142" s="156"/>
      <c r="AIX142" s="85" t="s">
        <v>467</v>
      </c>
      <c r="AIY142" s="757" t="s">
        <v>461</v>
      </c>
      <c r="AIZ142" s="899"/>
      <c r="AJA142" s="1130" t="s">
        <v>126</v>
      </c>
      <c r="AJB142" s="1131"/>
      <c r="AJC142" s="675" t="s">
        <v>731</v>
      </c>
      <c r="AJD142" s="676"/>
      <c r="AJE142" s="821" t="s">
        <v>473</v>
      </c>
      <c r="AJF142" s="822"/>
      <c r="AJG142" s="822"/>
      <c r="AJH142" s="823"/>
    </row>
    <row r="143" spans="72:956" ht="48" customHeight="1" thickBot="1">
      <c r="HI143" s="144"/>
      <c r="HJ143" s="144"/>
      <c r="LX143" s="144"/>
      <c r="LZ143" s="826"/>
      <c r="MA143" s="414" t="s">
        <v>757</v>
      </c>
      <c r="MB143" s="677">
        <f>$GW$12</f>
        <v>2</v>
      </c>
      <c r="MC143" s="677"/>
      <c r="MD143" s="941"/>
      <c r="ME143" s="942"/>
      <c r="MF143" s="942"/>
      <c r="MG143" s="942"/>
      <c r="MH143" s="942"/>
      <c r="MI143" s="942"/>
      <c r="MJ143" s="942"/>
      <c r="MK143" s="942"/>
      <c r="ML143" s="942"/>
      <c r="MM143" s="942"/>
      <c r="MN143" s="765"/>
      <c r="MO143" s="766"/>
      <c r="MP143" s="851"/>
      <c r="MQ143" s="852"/>
      <c r="MR143" s="715"/>
      <c r="MS143" s="743"/>
      <c r="MT143" s="745"/>
      <c r="MU143" s="1120"/>
      <c r="MV143" s="890"/>
      <c r="MW143" s="841"/>
      <c r="MX143" s="841"/>
      <c r="MY143" s="841"/>
      <c r="MZ143" s="841"/>
      <c r="NA143" s="841"/>
      <c r="NB143" s="891"/>
      <c r="NJ143" s="144"/>
      <c r="NK143" s="144"/>
      <c r="NL143" s="144"/>
      <c r="NM143" s="144"/>
      <c r="NN143" s="144"/>
      <c r="NO143" s="144"/>
      <c r="NP143" s="144"/>
      <c r="NQ143" s="144"/>
      <c r="NR143" s="144"/>
      <c r="NS143" s="144"/>
      <c r="NT143" s="144"/>
      <c r="NU143" s="144"/>
      <c r="NV143" s="144"/>
      <c r="NW143" s="144"/>
      <c r="NX143" s="144"/>
      <c r="NY143" s="144"/>
      <c r="NZ143" s="144"/>
      <c r="OA143" s="144"/>
      <c r="OB143" s="144"/>
      <c r="OC143" s="144"/>
      <c r="OD143" s="144"/>
      <c r="OE143" s="144"/>
      <c r="OF143" s="144"/>
      <c r="OG143" s="144"/>
      <c r="OH143" s="144"/>
      <c r="OI143" s="144"/>
      <c r="OJ143" s="144"/>
      <c r="OK143" s="144"/>
      <c r="OL143" s="144"/>
      <c r="OM143" s="144"/>
      <c r="ON143" s="144"/>
      <c r="OO143" s="144"/>
      <c r="OP143" s="144"/>
      <c r="OQ143" s="144"/>
      <c r="OR143" s="144"/>
      <c r="OS143" s="144"/>
      <c r="OT143" s="144"/>
      <c r="OU143" s="144"/>
      <c r="OV143" s="144"/>
      <c r="OW143" s="144"/>
      <c r="OX143" s="144"/>
      <c r="OY143" s="144"/>
      <c r="OZ143" s="144"/>
      <c r="PA143" s="144"/>
      <c r="PB143" s="144"/>
      <c r="PC143" s="144"/>
      <c r="PD143" s="144"/>
      <c r="PE143" s="403"/>
      <c r="PF143" s="55"/>
      <c r="PG143" s="399"/>
      <c r="PH143" s="399"/>
      <c r="PI143" s="399"/>
      <c r="PJ143" s="399"/>
      <c r="PK143" s="399"/>
      <c r="PL143" s="399"/>
      <c r="PM143" s="399"/>
      <c r="PN143" s="399"/>
      <c r="PO143" s="399"/>
      <c r="PP143" s="399"/>
      <c r="PQ143" s="399"/>
      <c r="PR143" s="399"/>
      <c r="PS143" s="399"/>
      <c r="PT143" s="399"/>
      <c r="PU143" s="399"/>
      <c r="PV143" s="399"/>
      <c r="PW143" s="399"/>
      <c r="PX143" s="399"/>
      <c r="PY143" s="399"/>
      <c r="PZ143" s="399"/>
      <c r="QA143" s="399"/>
      <c r="QB143" s="399"/>
      <c r="QC143" s="399"/>
      <c r="QD143" s="399"/>
      <c r="QE143" s="399"/>
      <c r="QF143" s="399"/>
      <c r="QG143" s="399"/>
      <c r="QH143" s="399"/>
      <c r="QI143" s="399"/>
      <c r="QJ143" s="399"/>
      <c r="QK143" s="399"/>
      <c r="QL143" s="399"/>
      <c r="QM143" s="399"/>
      <c r="QN143" s="399"/>
      <c r="QO143" s="399"/>
      <c r="QP143" s="400"/>
      <c r="QT143" s="144"/>
      <c r="QU143" s="144"/>
      <c r="QV143" s="144"/>
      <c r="VB143" s="905"/>
      <c r="VC143" s="900"/>
      <c r="VD143" s="900"/>
      <c r="VE143" s="900"/>
      <c r="VF143" s="900"/>
      <c r="VG143" s="900"/>
      <c r="VH143" s="900"/>
      <c r="VI143" s="900"/>
      <c r="VJ143" s="900"/>
      <c r="VK143" s="900"/>
      <c r="VL143" s="900"/>
      <c r="VM143" s="900"/>
      <c r="VN143" s="900"/>
      <c r="VO143" s="900"/>
      <c r="VP143" s="900"/>
      <c r="VQ143" s="900"/>
      <c r="VR143" s="900"/>
      <c r="VS143" s="900"/>
      <c r="VT143" s="900"/>
      <c r="VU143" s="900"/>
      <c r="VV143" s="900"/>
      <c r="VW143" s="900"/>
      <c r="VX143" s="906"/>
      <c r="XO143" s="827"/>
      <c r="XP143" s="949" t="s">
        <v>1593</v>
      </c>
      <c r="XQ143" s="962"/>
      <c r="XR143" s="1061">
        <f>$MN$23</f>
        <v>0.18554623176557763</v>
      </c>
      <c r="XS143" s="1061"/>
      <c r="XT143" s="1043"/>
      <c r="XU143" s="1043"/>
      <c r="XV143" s="1043"/>
      <c r="XW143" s="1043"/>
      <c r="XX143" s="1043"/>
      <c r="XY143" s="1043"/>
      <c r="XZ143" s="1043"/>
      <c r="YA143" s="1043"/>
      <c r="YB143" s="1043"/>
      <c r="YC143" s="1013"/>
      <c r="YD143" s="1013"/>
      <c r="YE143" s="1013"/>
      <c r="YF143" s="1013"/>
      <c r="YG143" s="1013"/>
      <c r="YH143" s="1013"/>
      <c r="YI143" s="1013"/>
      <c r="YJ143" s="1014"/>
      <c r="YK143" s="768"/>
      <c r="YL143" s="768"/>
      <c r="YM143" s="768"/>
      <c r="YN143" s="768"/>
      <c r="YO143" s="768"/>
      <c r="YP143" s="768"/>
      <c r="YQ143" s="768"/>
      <c r="YR143" s="768"/>
      <c r="YS143" s="768"/>
      <c r="AIM143" s="826"/>
      <c r="AIN143" s="727" t="s">
        <v>1022</v>
      </c>
      <c r="AIO143" s="727"/>
      <c r="AIP143" s="727"/>
      <c r="AIQ143" s="727"/>
      <c r="AIR143" s="727"/>
      <c r="AIS143" s="727"/>
      <c r="AIT143" s="727"/>
      <c r="AIU143" s="727"/>
      <c r="AIV143" s="727"/>
      <c r="AIW143" s="727"/>
      <c r="AIX143" s="727"/>
      <c r="AIY143" s="727"/>
      <c r="AIZ143" s="727"/>
      <c r="AJA143" s="1170">
        <f>XC53+(AJA38-1)*(XC47+XC49)</f>
        <v>3420.0115542375147</v>
      </c>
      <c r="AJB143" s="1171"/>
      <c r="AJC143" s="1005"/>
      <c r="AJD143" s="1006"/>
      <c r="AJE143" s="714"/>
      <c r="AJF143" s="716" t="s">
        <v>1021</v>
      </c>
      <c r="AJG143" s="717"/>
      <c r="AJH143" s="746"/>
    </row>
    <row r="144" spans="72:956" ht="48" customHeight="1" thickBot="1">
      <c r="HI144" s="144"/>
      <c r="HJ144" s="144"/>
      <c r="IT144" s="202"/>
      <c r="IU144" s="665" t="s">
        <v>885</v>
      </c>
      <c r="IV144" s="667"/>
      <c r="IW144" s="202"/>
      <c r="IX144" s="728" t="s">
        <v>889</v>
      </c>
      <c r="IY144" s="1053"/>
      <c r="IZ144" s="1053"/>
      <c r="JA144" s="1053"/>
      <c r="JB144" s="1053"/>
      <c r="JC144" s="1053"/>
      <c r="JD144" s="1053"/>
      <c r="JE144" s="1053"/>
      <c r="JF144" s="1053"/>
      <c r="JG144" s="1053"/>
      <c r="JH144" s="1054"/>
      <c r="JI144" s="202"/>
      <c r="LX144" s="144"/>
      <c r="LZ144" s="827"/>
      <c r="MA144" s="416" t="s">
        <v>1170</v>
      </c>
      <c r="MB144" s="883">
        <f>$JF$114</f>
        <v>1.0769230769230769</v>
      </c>
      <c r="MC144" s="883"/>
      <c r="MD144" s="943"/>
      <c r="ME144" s="944"/>
      <c r="MF144" s="944"/>
      <c r="MG144" s="944"/>
      <c r="MH144" s="944"/>
      <c r="MI144" s="944"/>
      <c r="MJ144" s="944"/>
      <c r="MK144" s="944"/>
      <c r="ML144" s="944"/>
      <c r="MM144" s="944"/>
      <c r="MN144" s="1012"/>
      <c r="MO144" s="1013"/>
      <c r="MP144" s="1013"/>
      <c r="MQ144" s="1013"/>
      <c r="MR144" s="1013"/>
      <c r="MS144" s="1013"/>
      <c r="MT144" s="1013"/>
      <c r="MU144" s="1014"/>
      <c r="MV144" s="892"/>
      <c r="MW144" s="893"/>
      <c r="MX144" s="893"/>
      <c r="MY144" s="893"/>
      <c r="MZ144" s="893"/>
      <c r="NA144" s="893"/>
      <c r="NB144" s="894"/>
      <c r="NJ144" s="144"/>
      <c r="NK144" s="144"/>
      <c r="NL144" s="144"/>
      <c r="NM144" s="144"/>
      <c r="NN144" s="144"/>
      <c r="NO144" s="144"/>
      <c r="NP144" s="144"/>
      <c r="NQ144" s="144"/>
      <c r="NR144" s="144"/>
      <c r="NS144" s="144"/>
      <c r="NT144" s="144"/>
      <c r="NU144" s="144"/>
      <c r="NV144" s="144"/>
      <c r="NW144" s="144"/>
      <c r="NX144" s="144"/>
      <c r="NY144" s="144"/>
      <c r="NZ144" s="144"/>
      <c r="OA144" s="144"/>
      <c r="OB144" s="144"/>
      <c r="OC144" s="144"/>
      <c r="OD144" s="144"/>
      <c r="OE144" s="144"/>
      <c r="OF144" s="144"/>
      <c r="OG144" s="144"/>
      <c r="OH144" s="144"/>
      <c r="OI144" s="144"/>
      <c r="OJ144" s="144"/>
      <c r="OK144" s="144"/>
      <c r="OL144" s="144"/>
      <c r="OM144" s="144"/>
      <c r="ON144" s="144"/>
      <c r="OO144" s="144"/>
      <c r="OP144" s="144"/>
      <c r="OQ144" s="144"/>
      <c r="OR144" s="144"/>
      <c r="OS144" s="144"/>
      <c r="OT144" s="144"/>
      <c r="OU144" s="144"/>
      <c r="OV144" s="144"/>
      <c r="OW144" s="144"/>
      <c r="OX144" s="144"/>
      <c r="OY144" s="144"/>
      <c r="OZ144" s="144"/>
      <c r="PA144" s="144"/>
      <c r="PC144" s="144"/>
      <c r="PD144" s="144"/>
      <c r="PE144" s="403"/>
      <c r="PF144" s="55"/>
      <c r="PG144" s="399"/>
      <c r="PH144" s="399"/>
      <c r="PI144" s="399"/>
      <c r="PJ144" s="399"/>
      <c r="PK144" s="399"/>
      <c r="PL144" s="399"/>
      <c r="PM144" s="1000" t="s">
        <v>965</v>
      </c>
      <c r="PN144" s="1001"/>
      <c r="PO144" s="1001"/>
      <c r="PP144" s="1002"/>
      <c r="PQ144" s="1515" t="str">
        <f>$Q$47</f>
        <v>IP44</v>
      </c>
      <c r="PR144" s="1516"/>
      <c r="PS144" s="521" t="s">
        <v>994</v>
      </c>
      <c r="PT144" s="995" t="str">
        <f>IF(PQ144="IP44",
"Расчет по формуле данной последовательности",
"Данная переменная не используется в расчете")</f>
        <v>Расчет по формуле данной последовательности</v>
      </c>
      <c r="PU144" s="996"/>
      <c r="PV144" s="996"/>
      <c r="PW144" s="996"/>
      <c r="PX144" s="996"/>
      <c r="PY144" s="996"/>
      <c r="PZ144" s="996"/>
      <c r="QA144" s="996"/>
      <c r="QB144" s="997"/>
      <c r="QC144" s="399"/>
      <c r="QD144" s="399"/>
      <c r="QE144" s="399"/>
      <c r="QF144" s="399"/>
      <c r="QG144" s="399"/>
      <c r="QH144" s="399"/>
      <c r="QI144" s="399"/>
      <c r="QJ144" s="399"/>
      <c r="QK144" s="399"/>
      <c r="QL144" s="399"/>
      <c r="QM144" s="399"/>
      <c r="QN144" s="399"/>
      <c r="QO144" s="399"/>
      <c r="QP144" s="400"/>
      <c r="QT144" s="144"/>
      <c r="QU144" s="144"/>
      <c r="QV144" s="144"/>
      <c r="VB144" s="905"/>
      <c r="VC144" s="900"/>
      <c r="VD144" s="900"/>
      <c r="VE144" s="900"/>
      <c r="VF144" s="900"/>
      <c r="VG144" s="900"/>
      <c r="VH144" s="900"/>
      <c r="VI144" s="900"/>
      <c r="VJ144" s="900"/>
      <c r="VK144" s="900"/>
      <c r="VL144" s="900"/>
      <c r="VM144" s="900"/>
      <c r="VN144" s="900"/>
      <c r="VO144" s="900"/>
      <c r="VP144" s="900"/>
      <c r="VQ144" s="900"/>
      <c r="VR144" s="900"/>
      <c r="VS144" s="900"/>
      <c r="VT144" s="900"/>
      <c r="VU144" s="900"/>
      <c r="VV144" s="900"/>
      <c r="VW144" s="900"/>
      <c r="VX144" s="906"/>
      <c r="YV144" s="144"/>
      <c r="YW144" s="144"/>
      <c r="YX144" s="144"/>
      <c r="AIM144" s="827"/>
      <c r="AIN144" s="729"/>
      <c r="AIO144" s="729"/>
      <c r="AIP144" s="729"/>
      <c r="AIQ144" s="729"/>
      <c r="AIR144" s="729"/>
      <c r="AIS144" s="729"/>
      <c r="AIT144" s="729"/>
      <c r="AIU144" s="729"/>
      <c r="AIV144" s="729"/>
      <c r="AIW144" s="729"/>
      <c r="AIX144" s="729"/>
      <c r="AIY144" s="729"/>
      <c r="AIZ144" s="729"/>
      <c r="AJA144" s="1172"/>
      <c r="AJB144" s="1173"/>
      <c r="AJC144" s="706"/>
      <c r="AJD144" s="708"/>
      <c r="AJE144" s="715"/>
      <c r="AJF144" s="718"/>
      <c r="AJG144" s="719"/>
      <c r="AJH144" s="747"/>
    </row>
    <row r="145" spans="252:947" ht="48" customHeight="1" thickBot="1">
      <c r="LX145" s="144"/>
      <c r="NP145" s="144"/>
      <c r="NQ145" s="144"/>
      <c r="NR145" s="144"/>
      <c r="NS145" s="144"/>
      <c r="NT145" s="144"/>
      <c r="NU145" s="144"/>
      <c r="NV145" s="144"/>
      <c r="NW145" s="144"/>
      <c r="NX145" s="144"/>
      <c r="NY145" s="144"/>
      <c r="NZ145" s="144"/>
      <c r="OA145" s="144"/>
      <c r="OB145" s="144"/>
      <c r="OC145" s="144"/>
      <c r="OD145" s="144"/>
      <c r="OE145" s="144"/>
      <c r="OF145" s="144"/>
      <c r="OG145" s="144"/>
      <c r="OH145" s="144"/>
      <c r="OI145" s="144"/>
      <c r="OJ145" s="144"/>
      <c r="OK145" s="144"/>
      <c r="OL145" s="144"/>
      <c r="OM145" s="144"/>
      <c r="ON145" s="144"/>
      <c r="OO145" s="144"/>
      <c r="OP145" s="144"/>
      <c r="OQ145" s="144"/>
      <c r="OR145" s="144"/>
      <c r="OS145" s="144"/>
      <c r="OT145" s="144"/>
      <c r="OU145" s="144"/>
      <c r="OV145" s="144"/>
      <c r="OW145" s="144"/>
      <c r="OX145" s="144"/>
      <c r="OY145" s="144"/>
      <c r="OZ145" s="144"/>
      <c r="PA145" s="144"/>
      <c r="PB145" s="144"/>
      <c r="PC145" s="144"/>
      <c r="PD145" s="144"/>
      <c r="PE145" s="403"/>
      <c r="PF145" s="55"/>
      <c r="PG145" s="55"/>
      <c r="PH145" s="55"/>
      <c r="PI145" s="408" t="s">
        <v>1428</v>
      </c>
      <c r="PJ145" s="214" t="s">
        <v>899</v>
      </c>
      <c r="PK145" s="695" t="s">
        <v>442</v>
      </c>
      <c r="PL145" s="695"/>
      <c r="PM145" s="528"/>
      <c r="PN145" s="87"/>
      <c r="PO145" s="87"/>
      <c r="PP145" s="87"/>
      <c r="PQ145" s="87"/>
      <c r="PR145" s="87"/>
      <c r="PS145" s="87"/>
      <c r="PT145" s="528"/>
      <c r="PU145" s="85" t="s">
        <v>467</v>
      </c>
      <c r="PV145" s="757" t="s">
        <v>461</v>
      </c>
      <c r="PW145" s="758"/>
      <c r="PX145" s="819" t="s">
        <v>126</v>
      </c>
      <c r="PY145" s="820"/>
      <c r="PZ145" s="675" t="s">
        <v>731</v>
      </c>
      <c r="QA145" s="676"/>
      <c r="QB145" s="821" t="s">
        <v>473</v>
      </c>
      <c r="QC145" s="822"/>
      <c r="QD145" s="822"/>
      <c r="QE145" s="823"/>
      <c r="QF145" s="821" t="s">
        <v>462</v>
      </c>
      <c r="QG145" s="822"/>
      <c r="QH145" s="822"/>
      <c r="QI145" s="822"/>
      <c r="QJ145" s="822"/>
      <c r="QK145" s="823"/>
      <c r="QL145" s="399"/>
      <c r="QM145" s="399"/>
      <c r="QN145" s="399"/>
      <c r="QO145" s="399"/>
      <c r="QP145" s="400"/>
      <c r="QT145" s="144"/>
      <c r="QU145" s="144"/>
      <c r="QV145" s="144"/>
      <c r="VB145" s="905"/>
      <c r="VC145" s="900"/>
      <c r="VD145" s="900"/>
      <c r="VE145" s="900"/>
      <c r="VF145" s="900"/>
      <c r="VG145" s="900"/>
      <c r="VH145" s="900"/>
      <c r="VI145" s="900"/>
      <c r="VJ145" s="900"/>
      <c r="VK145" s="900"/>
      <c r="VL145" s="900"/>
      <c r="VM145" s="900"/>
      <c r="VN145" s="900"/>
      <c r="VO145" s="900"/>
      <c r="VP145" s="900"/>
      <c r="VQ145" s="900"/>
      <c r="VR145" s="900"/>
      <c r="VS145" s="900"/>
      <c r="VT145" s="900"/>
      <c r="VU145" s="900"/>
      <c r="VV145" s="900"/>
      <c r="VW145" s="900"/>
      <c r="VX145" s="906"/>
      <c r="WA145" s="15"/>
      <c r="WB145" s="15"/>
      <c r="WC145" s="15"/>
      <c r="WD145" s="216"/>
      <c r="WE145" s="665" t="s">
        <v>934</v>
      </c>
      <c r="WF145" s="667"/>
      <c r="WG145" s="216"/>
      <c r="WH145" s="728" t="s">
        <v>149</v>
      </c>
      <c r="WI145" s="1053"/>
      <c r="WJ145" s="1053"/>
      <c r="WK145" s="1053"/>
      <c r="WL145" s="1053"/>
      <c r="WM145" s="1053"/>
      <c r="WN145" s="1053"/>
      <c r="WO145" s="1053"/>
      <c r="WP145" s="1053"/>
      <c r="WQ145" s="1053"/>
      <c r="WR145" s="1054"/>
      <c r="WS145" s="216"/>
      <c r="XG145" s="144"/>
      <c r="XH145" s="144"/>
      <c r="XI145" s="144"/>
      <c r="XJ145" s="144"/>
      <c r="XO145" s="825"/>
      <c r="XP145" s="665" t="s">
        <v>442</v>
      </c>
      <c r="XQ145" s="666"/>
      <c r="XR145" s="459"/>
      <c r="XS145" s="87"/>
      <c r="XT145" s="87"/>
      <c r="XU145" s="87"/>
      <c r="XV145" s="87"/>
      <c r="XW145" s="87"/>
      <c r="XX145" s="87"/>
      <c r="XY145" s="459"/>
      <c r="XZ145" s="85" t="s">
        <v>467</v>
      </c>
      <c r="YA145" s="757" t="s">
        <v>461</v>
      </c>
      <c r="YB145" s="899"/>
      <c r="YC145" s="819" t="s">
        <v>126</v>
      </c>
      <c r="YD145" s="820"/>
      <c r="YE145" s="675" t="s">
        <v>731</v>
      </c>
      <c r="YF145" s="676"/>
      <c r="YG145" s="821" t="s">
        <v>473</v>
      </c>
      <c r="YH145" s="822"/>
      <c r="YI145" s="822"/>
      <c r="YJ145" s="823"/>
      <c r="YK145" s="769" t="s">
        <v>462</v>
      </c>
      <c r="YL145" s="769"/>
      <c r="YM145" s="769"/>
      <c r="YN145" s="769"/>
      <c r="YO145" s="769"/>
      <c r="YP145" s="769"/>
      <c r="YV145" s="144"/>
      <c r="YW145" s="144"/>
      <c r="YX145" s="144"/>
      <c r="YY145" s="144"/>
      <c r="YZ145" s="144"/>
      <c r="ZA145" s="144"/>
    </row>
    <row r="146" spans="252:947" ht="48" customHeight="1" thickBot="1">
      <c r="IR146" s="825"/>
      <c r="IS146" s="665" t="s">
        <v>442</v>
      </c>
      <c r="IT146" s="667"/>
      <c r="IU146" s="156"/>
      <c r="IV146" s="344" t="s">
        <v>1270</v>
      </c>
      <c r="IW146" s="1074">
        <f>$JF$58</f>
        <v>31.0688</v>
      </c>
      <c r="IX146" s="1074"/>
      <c r="IY146" s="343"/>
      <c r="IZ146" s="87"/>
      <c r="JA146" s="87"/>
      <c r="JB146" s="156"/>
      <c r="JC146" s="85" t="s">
        <v>467</v>
      </c>
      <c r="JD146" s="757" t="s">
        <v>461</v>
      </c>
      <c r="JE146" s="899"/>
      <c r="JF146" s="1130" t="s">
        <v>126</v>
      </c>
      <c r="JG146" s="1131"/>
      <c r="JH146" s="675" t="s">
        <v>731</v>
      </c>
      <c r="JI146" s="676"/>
      <c r="JJ146" s="821" t="s">
        <v>473</v>
      </c>
      <c r="JK146" s="822"/>
      <c r="JL146" s="822"/>
      <c r="JM146" s="823"/>
      <c r="JN146" s="1223" t="s">
        <v>462</v>
      </c>
      <c r="JO146" s="1224"/>
      <c r="JP146" s="1224"/>
      <c r="JQ146" s="1224"/>
      <c r="JR146" s="1224"/>
      <c r="JS146" s="1224"/>
      <c r="JT146" s="1224"/>
      <c r="JU146" s="1225"/>
      <c r="LX146" s="144"/>
      <c r="LZ146" s="214" t="s">
        <v>899</v>
      </c>
      <c r="MA146" s="147" t="s">
        <v>442</v>
      </c>
      <c r="MB146" s="148"/>
      <c r="MC146" s="1107"/>
      <c r="MD146" s="1108"/>
      <c r="ME146" s="696" t="s">
        <v>1455</v>
      </c>
      <c r="MF146" s="697"/>
      <c r="MG146" s="698">
        <f>$MQ$170</f>
        <v>1.5</v>
      </c>
      <c r="MH146" s="726"/>
      <c r="MI146" s="413"/>
      <c r="MJ146" s="87"/>
      <c r="MK146" s="397"/>
      <c r="ML146" s="85" t="s">
        <v>467</v>
      </c>
      <c r="MM146" s="757" t="s">
        <v>461</v>
      </c>
      <c r="MN146" s="758"/>
      <c r="MO146" s="1130" t="s">
        <v>126</v>
      </c>
      <c r="MP146" s="1131"/>
      <c r="MQ146" s="675" t="s">
        <v>731</v>
      </c>
      <c r="MR146" s="676"/>
      <c r="MS146" s="821" t="s">
        <v>473</v>
      </c>
      <c r="MT146" s="822"/>
      <c r="MU146" s="822"/>
      <c r="MV146" s="822"/>
      <c r="MW146" s="823"/>
      <c r="MX146" s="769" t="s">
        <v>462</v>
      </c>
      <c r="MY146" s="769"/>
      <c r="MZ146" s="769"/>
      <c r="NA146" s="769"/>
      <c r="NB146" s="769"/>
      <c r="NC146" s="769"/>
      <c r="ND146" s="769"/>
      <c r="NE146" s="769"/>
      <c r="NF146" s="769"/>
      <c r="NG146" s="769"/>
      <c r="NH146" s="769"/>
      <c r="NP146" s="144"/>
      <c r="NQ146" s="144"/>
      <c r="NR146" s="144"/>
      <c r="NS146" s="144"/>
      <c r="NT146" s="144"/>
      <c r="NU146" s="144"/>
      <c r="NV146" s="144"/>
      <c r="NW146" s="144"/>
      <c r="NX146" s="144"/>
      <c r="NY146" s="144"/>
      <c r="NZ146" s="144"/>
      <c r="OA146" s="144"/>
      <c r="OB146" s="144"/>
      <c r="OC146" s="144"/>
      <c r="OD146" s="144"/>
      <c r="OE146" s="144"/>
      <c r="OF146" s="144"/>
      <c r="OG146" s="144"/>
      <c r="OH146" s="144"/>
      <c r="OI146" s="144"/>
      <c r="OJ146" s="144"/>
      <c r="OK146" s="144"/>
      <c r="OL146" s="144"/>
      <c r="OM146" s="144"/>
      <c r="ON146" s="144"/>
      <c r="OO146" s="144"/>
      <c r="OP146" s="144"/>
      <c r="OQ146" s="144"/>
      <c r="OR146" s="144"/>
      <c r="OS146" s="144"/>
      <c r="OT146" s="144"/>
      <c r="OU146" s="144"/>
      <c r="OV146" s="144"/>
      <c r="OW146" s="144"/>
      <c r="OX146" s="144"/>
      <c r="OY146" s="144"/>
      <c r="OZ146" s="144"/>
      <c r="PA146" s="144"/>
      <c r="PB146" s="144"/>
      <c r="PC146" s="144"/>
      <c r="PD146" s="144"/>
      <c r="PE146" s="403"/>
      <c r="PF146" s="55"/>
      <c r="PG146" s="399"/>
      <c r="PH146" s="399"/>
      <c r="PI146" s="399"/>
      <c r="PJ146" s="825"/>
      <c r="PK146" s="530"/>
      <c r="PL146" s="677"/>
      <c r="PM146" s="677"/>
      <c r="PN146" s="939" t="s">
        <v>1688</v>
      </c>
      <c r="PO146" s="701"/>
      <c r="PP146" s="701"/>
      <c r="PQ146" s="701"/>
      <c r="PR146" s="701"/>
      <c r="PS146" s="701"/>
      <c r="PT146" s="701"/>
      <c r="PU146" s="701"/>
      <c r="PV146" s="701"/>
      <c r="PW146" s="702"/>
      <c r="PX146" s="748">
        <f>PX160*((AQ5/10)^2)*(AZ21^4)</f>
        <v>863.8132464900001</v>
      </c>
      <c r="PY146" s="749"/>
      <c r="PZ146" s="759" t="s">
        <v>3</v>
      </c>
      <c r="QA146" s="760"/>
      <c r="QB146" s="712"/>
      <c r="QC146" s="952" t="s">
        <v>1678</v>
      </c>
      <c r="QD146" s="953"/>
      <c r="QE146" s="746"/>
      <c r="QF146" s="919"/>
      <c r="QG146" s="840"/>
      <c r="QH146" s="840"/>
      <c r="QI146" s="840"/>
      <c r="QJ146" s="840"/>
      <c r="QK146" s="920"/>
      <c r="QL146" s="399"/>
      <c r="QM146" s="399"/>
      <c r="QN146" s="399"/>
      <c r="QO146" s="399"/>
      <c r="QP146" s="400"/>
      <c r="QT146" s="144"/>
      <c r="QU146" s="144"/>
      <c r="QV146" s="144"/>
      <c r="VB146" s="905"/>
      <c r="VC146" s="900"/>
      <c r="VD146" s="900"/>
      <c r="VE146" s="900"/>
      <c r="VF146" s="900"/>
      <c r="VG146" s="900"/>
      <c r="VH146" s="900"/>
      <c r="VI146" s="900"/>
      <c r="VJ146" s="900"/>
      <c r="VK146" s="900"/>
      <c r="VL146" s="900"/>
      <c r="VM146" s="900"/>
      <c r="VN146" s="900"/>
      <c r="VO146" s="900"/>
      <c r="VP146" s="900"/>
      <c r="VQ146" s="900"/>
      <c r="VR146" s="900"/>
      <c r="VS146" s="900"/>
      <c r="VT146" s="900"/>
      <c r="VU146" s="900"/>
      <c r="VV146" s="900"/>
      <c r="VW146" s="900"/>
      <c r="VX146" s="906"/>
      <c r="WA146" s="15"/>
      <c r="WB146" s="15"/>
      <c r="WC146" s="15"/>
      <c r="WD146" s="15"/>
      <c r="XG146" s="144"/>
      <c r="XH146" s="144"/>
      <c r="XI146" s="144"/>
      <c r="XJ146" s="144"/>
      <c r="XO146" s="826"/>
      <c r="XP146" s="473" t="s">
        <v>1340</v>
      </c>
      <c r="XQ146" s="724">
        <f>$AQ$6</f>
        <v>380</v>
      </c>
      <c r="XR146" s="724"/>
      <c r="XS146" s="701" t="s">
        <v>1618</v>
      </c>
      <c r="XT146" s="701"/>
      <c r="XU146" s="701"/>
      <c r="XV146" s="701"/>
      <c r="XW146" s="701"/>
      <c r="XX146" s="701"/>
      <c r="XY146" s="701"/>
      <c r="XZ146" s="701"/>
      <c r="YA146" s="701"/>
      <c r="YB146" s="702"/>
      <c r="YC146" s="763">
        <f>XQ146/((XQ147^2+XQ148^2)^0.5)</f>
        <v>296.12935039064791</v>
      </c>
      <c r="YD146" s="764"/>
      <c r="YE146" s="1062" t="s">
        <v>35</v>
      </c>
      <c r="YF146" s="1063"/>
      <c r="YG146" s="712"/>
      <c r="YH146" s="716" t="s">
        <v>1522</v>
      </c>
      <c r="YI146" s="717"/>
      <c r="YJ146" s="746"/>
      <c r="YK146" s="767"/>
      <c r="YL146" s="767"/>
      <c r="YM146" s="767"/>
      <c r="YN146" s="767"/>
      <c r="YO146" s="767"/>
      <c r="YP146" s="767"/>
      <c r="YW146" s="144"/>
      <c r="YX146" s="144"/>
      <c r="AIM146" s="214" t="s">
        <v>899</v>
      </c>
      <c r="AIN146" s="665" t="s">
        <v>442</v>
      </c>
      <c r="AIO146" s="666"/>
      <c r="AIP146" s="156"/>
      <c r="AIQ146" s="87"/>
      <c r="AIR146" s="87"/>
      <c r="AIS146" s="87"/>
      <c r="AIT146" s="87"/>
      <c r="AIU146" s="87"/>
      <c r="AIV146" s="87"/>
      <c r="AIW146" s="156"/>
      <c r="AIX146" s="85" t="s">
        <v>467</v>
      </c>
      <c r="AIY146" s="757" t="s">
        <v>461</v>
      </c>
      <c r="AIZ146" s="758"/>
      <c r="AJA146" s="819" t="s">
        <v>126</v>
      </c>
      <c r="AJB146" s="820"/>
      <c r="AJC146" s="675" t="s">
        <v>731</v>
      </c>
      <c r="AJD146" s="676"/>
      <c r="AJE146" s="821" t="s">
        <v>473</v>
      </c>
      <c r="AJF146" s="822"/>
      <c r="AJG146" s="822"/>
      <c r="AJH146" s="823"/>
    </row>
    <row r="147" spans="252:947" ht="48" customHeight="1" thickBot="1">
      <c r="IR147" s="826"/>
      <c r="IS147" s="344" t="s">
        <v>1271</v>
      </c>
      <c r="IT147" s="1074">
        <f>$JF$106</f>
        <v>2604.6891221021392</v>
      </c>
      <c r="IU147" s="1074"/>
      <c r="IV147" s="344" t="s">
        <v>1290</v>
      </c>
      <c r="IW147" s="724">
        <f>$JF$47</f>
        <v>219.18761127940326</v>
      </c>
      <c r="IX147" s="724"/>
      <c r="IY147" s="939" t="s">
        <v>79</v>
      </c>
      <c r="IZ147" s="940"/>
      <c r="JA147" s="940"/>
      <c r="JB147" s="940"/>
      <c r="JC147" s="940"/>
      <c r="JD147" s="940"/>
      <c r="JE147" s="1003"/>
      <c r="JF147" s="752">
        <f>IT147+IT148+IW146+IW147+IW148</f>
        <v>2943.6633104773114</v>
      </c>
      <c r="JG147" s="753"/>
      <c r="JH147" s="1203" t="s">
        <v>35</v>
      </c>
      <c r="JI147" s="1063"/>
      <c r="JJ147" s="714"/>
      <c r="JK147" s="716" t="s">
        <v>1292</v>
      </c>
      <c r="JL147" s="717"/>
      <c r="JM147" s="746"/>
      <c r="JN147" s="919"/>
      <c r="JO147" s="840"/>
      <c r="JP147" s="840"/>
      <c r="JQ147" s="840"/>
      <c r="JR147" s="840"/>
      <c r="JS147" s="840"/>
      <c r="JT147" s="840"/>
      <c r="JU147" s="920"/>
      <c r="LZ147" s="825"/>
      <c r="MA147" s="863" t="s">
        <v>1437</v>
      </c>
      <c r="MB147" s="863"/>
      <c r="MC147" s="739">
        <f>$GT$32/$CL$40</f>
        <v>0.55562400380839561</v>
      </c>
      <c r="MD147" s="739"/>
      <c r="ME147" s="1339" t="s">
        <v>1462</v>
      </c>
      <c r="MF147" s="1340"/>
      <c r="MG147" s="698">
        <f>$MQ$174</f>
        <v>1.25</v>
      </c>
      <c r="MH147" s="726"/>
      <c r="MI147" s="939" t="s">
        <v>1442</v>
      </c>
      <c r="MJ147" s="940"/>
      <c r="MK147" s="940"/>
      <c r="ML147" s="940"/>
      <c r="MM147" s="940"/>
      <c r="MN147" s="1003"/>
      <c r="MO147" s="763">
        <f>2*MG147*MC148-(MC149^2)*(MC147^2)*(1+MG146^2)</f>
        <v>0.17292653346209463</v>
      </c>
      <c r="MP147" s="764"/>
      <c r="MQ147" s="849" t="s">
        <v>762</v>
      </c>
      <c r="MR147" s="850"/>
      <c r="MS147" s="946"/>
      <c r="MT147" s="1166" t="s">
        <v>1440</v>
      </c>
      <c r="MU147" s="1167"/>
      <c r="MV147" s="1168"/>
      <c r="MW147" s="824"/>
      <c r="MX147" s="767"/>
      <c r="MY147" s="767"/>
      <c r="MZ147" s="767"/>
      <c r="NA147" s="767"/>
      <c r="NB147" s="767"/>
      <c r="NC147" s="767"/>
      <c r="ND147" s="767"/>
      <c r="NE147" s="767"/>
      <c r="NF147" s="767"/>
      <c r="NG147" s="767"/>
      <c r="NH147" s="767"/>
      <c r="NP147" s="144"/>
      <c r="NQ147" s="144"/>
      <c r="NR147" s="144"/>
      <c r="NS147" s="144"/>
      <c r="NT147" s="144"/>
      <c r="NU147" s="144"/>
      <c r="NV147" s="144"/>
      <c r="NW147" s="144"/>
      <c r="NX147" s="144"/>
      <c r="NY147" s="144"/>
      <c r="NZ147" s="144"/>
      <c r="OA147" s="144"/>
      <c r="OB147" s="144"/>
      <c r="OC147" s="144"/>
      <c r="OD147" s="144"/>
      <c r="OE147" s="144"/>
      <c r="OF147" s="144"/>
      <c r="OG147" s="144"/>
      <c r="OH147" s="144"/>
      <c r="OI147" s="144"/>
      <c r="OJ147" s="144"/>
      <c r="OK147" s="144"/>
      <c r="OL147" s="144"/>
      <c r="OM147" s="144"/>
      <c r="ON147" s="144"/>
      <c r="OO147" s="144"/>
      <c r="OP147" s="144"/>
      <c r="OQ147" s="144"/>
      <c r="OR147" s="144"/>
      <c r="OS147" s="144"/>
      <c r="OT147" s="144"/>
      <c r="OU147" s="144"/>
      <c r="OV147" s="144"/>
      <c r="OW147" s="144"/>
      <c r="OX147" s="144"/>
      <c r="OY147" s="144"/>
      <c r="OZ147" s="144"/>
      <c r="PA147" s="144"/>
      <c r="PB147" s="144"/>
      <c r="PE147" s="403"/>
      <c r="PF147" s="55"/>
      <c r="PG147" s="399"/>
      <c r="PH147" s="399"/>
      <c r="PI147" s="399"/>
      <c r="PJ147" s="826"/>
      <c r="PK147" s="529"/>
      <c r="PL147" s="739"/>
      <c r="PM147" s="739"/>
      <c r="PN147" s="703"/>
      <c r="PO147" s="704"/>
      <c r="PP147" s="704"/>
      <c r="PQ147" s="704"/>
      <c r="PR147" s="704"/>
      <c r="PS147" s="704"/>
      <c r="PT147" s="704"/>
      <c r="PU147" s="704"/>
      <c r="PV147" s="704"/>
      <c r="PW147" s="705"/>
      <c r="PX147" s="750"/>
      <c r="PY147" s="751"/>
      <c r="PZ147" s="761"/>
      <c r="QA147" s="762"/>
      <c r="QB147" s="713"/>
      <c r="QC147" s="954"/>
      <c r="QD147" s="955"/>
      <c r="QE147" s="747"/>
      <c r="QF147" s="890"/>
      <c r="QG147" s="841"/>
      <c r="QH147" s="841"/>
      <c r="QI147" s="841"/>
      <c r="QJ147" s="841"/>
      <c r="QK147" s="891"/>
      <c r="QL147" s="399"/>
      <c r="QM147" s="399"/>
      <c r="QN147" s="399"/>
      <c r="QO147" s="399"/>
      <c r="QP147" s="400"/>
      <c r="QT147" s="144"/>
      <c r="QU147" s="144"/>
      <c r="QV147" s="144"/>
      <c r="VB147" s="905"/>
      <c r="VC147" s="900"/>
      <c r="VD147" s="900"/>
      <c r="VE147" s="900"/>
      <c r="VF147" s="900"/>
      <c r="VG147" s="900"/>
      <c r="VH147" s="900"/>
      <c r="VI147" s="900"/>
      <c r="VJ147" s="900"/>
      <c r="VK147" s="900"/>
      <c r="VL147" s="900"/>
      <c r="VM147" s="900"/>
      <c r="VN147" s="900"/>
      <c r="VO147" s="900"/>
      <c r="VP147" s="900"/>
      <c r="VQ147" s="900"/>
      <c r="VR147" s="900"/>
      <c r="VS147" s="900"/>
      <c r="VT147" s="900"/>
      <c r="VU147" s="900"/>
      <c r="VV147" s="900"/>
      <c r="VW147" s="900"/>
      <c r="VX147" s="906"/>
      <c r="WA147" s="419" t="s">
        <v>1466</v>
      </c>
      <c r="WB147" s="153" t="s">
        <v>442</v>
      </c>
      <c r="WC147" s="148"/>
      <c r="WD147" s="156"/>
      <c r="WE147" s="87"/>
      <c r="WF147" s="87"/>
      <c r="WG147" s="87"/>
      <c r="WH147" s="87"/>
      <c r="WI147" s="87"/>
      <c r="WJ147" s="87"/>
      <c r="WK147" s="156"/>
      <c r="WL147" s="85" t="s">
        <v>467</v>
      </c>
      <c r="WM147" s="757" t="s">
        <v>461</v>
      </c>
      <c r="WN147" s="758"/>
      <c r="WO147" s="819" t="s">
        <v>126</v>
      </c>
      <c r="WP147" s="820"/>
      <c r="WQ147" s="675" t="s">
        <v>731</v>
      </c>
      <c r="WR147" s="676"/>
      <c r="WS147" s="821" t="s">
        <v>473</v>
      </c>
      <c r="WT147" s="822"/>
      <c r="WU147" s="822"/>
      <c r="WV147" s="822"/>
      <c r="WW147" s="769" t="s">
        <v>462</v>
      </c>
      <c r="WX147" s="769"/>
      <c r="WY147" s="769"/>
      <c r="WZ147" s="769"/>
      <c r="XA147" s="769"/>
      <c r="XB147" s="769"/>
      <c r="XC147" s="769"/>
      <c r="XD147" s="769"/>
      <c r="XE147" s="769"/>
      <c r="XF147" s="769"/>
      <c r="XG147" s="769"/>
      <c r="XH147" s="769"/>
      <c r="XI147" s="769"/>
      <c r="XJ147" s="769"/>
      <c r="XO147" s="826"/>
      <c r="XP147" s="475" t="s">
        <v>1613</v>
      </c>
      <c r="XQ147" s="739">
        <f>$YC$141</f>
        <v>0.85477330594601808</v>
      </c>
      <c r="XR147" s="739"/>
      <c r="XS147" s="704"/>
      <c r="XT147" s="704"/>
      <c r="XU147" s="704"/>
      <c r="XV147" s="704"/>
      <c r="XW147" s="704"/>
      <c r="XX147" s="704"/>
      <c r="XY147" s="704"/>
      <c r="XZ147" s="704"/>
      <c r="YA147" s="704"/>
      <c r="YB147" s="705"/>
      <c r="YC147" s="765"/>
      <c r="YD147" s="766"/>
      <c r="YE147" s="1064"/>
      <c r="YF147" s="1065"/>
      <c r="YG147" s="713"/>
      <c r="YH147" s="718"/>
      <c r="YI147" s="719"/>
      <c r="YJ147" s="747"/>
      <c r="YK147" s="767"/>
      <c r="YL147" s="767"/>
      <c r="YM147" s="767"/>
      <c r="YN147" s="767"/>
      <c r="YO147" s="767"/>
      <c r="YP147" s="767"/>
      <c r="YT147" s="144"/>
      <c r="YU147" s="144"/>
      <c r="YV147" s="144"/>
      <c r="YW147" s="144"/>
      <c r="YX147" s="144"/>
      <c r="AIM147" s="825"/>
      <c r="AIN147" s="727" t="s">
        <v>1019</v>
      </c>
      <c r="AIO147" s="727"/>
      <c r="AIP147" s="727"/>
      <c r="AIQ147" s="727"/>
      <c r="AIR147" s="727"/>
      <c r="AIS147" s="727"/>
      <c r="AIT147" s="727"/>
      <c r="AIU147" s="727"/>
      <c r="AIV147" s="727"/>
      <c r="AIW147" s="727"/>
      <c r="AIX147" s="727"/>
      <c r="AIY147" s="727"/>
      <c r="AIZ147" s="727"/>
      <c r="AJA147" s="763">
        <f>3.14*AZ21*(AW82+2*AJA103/1000)</f>
        <v>0.14323142831328778</v>
      </c>
      <c r="AJB147" s="764"/>
      <c r="AJC147" s="1005"/>
      <c r="AJD147" s="1006"/>
      <c r="AJE147" s="712"/>
      <c r="AJF147" s="740" t="s">
        <v>986</v>
      </c>
      <c r="AJG147" s="742"/>
      <c r="AJH147" s="746"/>
    </row>
    <row r="148" spans="252:947" ht="48" customHeight="1" thickBot="1">
      <c r="IR148" s="827"/>
      <c r="IS148" s="253" t="s">
        <v>1269</v>
      </c>
      <c r="IT148" s="1599">
        <f>$JF$14</f>
        <v>81.132008095768938</v>
      </c>
      <c r="IU148" s="1599"/>
      <c r="IV148" s="346" t="s">
        <v>1291</v>
      </c>
      <c r="IW148" s="672">
        <f>$JF$87</f>
        <v>7.5857689999999982</v>
      </c>
      <c r="IX148" s="672"/>
      <c r="IY148" s="943"/>
      <c r="IZ148" s="944"/>
      <c r="JA148" s="944"/>
      <c r="JB148" s="944"/>
      <c r="JC148" s="944"/>
      <c r="JD148" s="944"/>
      <c r="JE148" s="1004"/>
      <c r="JF148" s="754"/>
      <c r="JG148" s="755"/>
      <c r="JH148" s="1204"/>
      <c r="JI148" s="1065"/>
      <c r="JJ148" s="715"/>
      <c r="JK148" s="718"/>
      <c r="JL148" s="719"/>
      <c r="JM148" s="747"/>
      <c r="JN148" s="892"/>
      <c r="JO148" s="893"/>
      <c r="JP148" s="893"/>
      <c r="JQ148" s="893"/>
      <c r="JR148" s="893"/>
      <c r="JS148" s="893"/>
      <c r="JT148" s="893"/>
      <c r="JU148" s="894"/>
      <c r="LZ148" s="826"/>
      <c r="MA148" s="1060" t="s">
        <v>1454</v>
      </c>
      <c r="MB148" s="1060"/>
      <c r="MC148" s="677">
        <f>$NB$129</f>
        <v>0.4375</v>
      </c>
      <c r="MD148" s="677"/>
      <c r="ME148" s="1200"/>
      <c r="MF148" s="1201"/>
      <c r="MG148" s="1201"/>
      <c r="MH148" s="1202"/>
      <c r="MI148" s="941"/>
      <c r="MJ148" s="942"/>
      <c r="MK148" s="942"/>
      <c r="ML148" s="942"/>
      <c r="MM148" s="942"/>
      <c r="MN148" s="1011"/>
      <c r="MO148" s="765"/>
      <c r="MP148" s="766"/>
      <c r="MQ148" s="851"/>
      <c r="MR148" s="852"/>
      <c r="MS148" s="715"/>
      <c r="MT148" s="743"/>
      <c r="MU148" s="744"/>
      <c r="MV148" s="745"/>
      <c r="MW148" s="747"/>
      <c r="MX148" s="767"/>
      <c r="MY148" s="767"/>
      <c r="MZ148" s="767"/>
      <c r="NA148" s="767"/>
      <c r="NB148" s="767"/>
      <c r="NC148" s="767"/>
      <c r="ND148" s="767"/>
      <c r="NE148" s="767"/>
      <c r="NF148" s="767"/>
      <c r="NG148" s="767"/>
      <c r="NH148" s="767"/>
      <c r="NP148" s="144"/>
      <c r="NQ148" s="144"/>
      <c r="NR148" s="144"/>
      <c r="NS148" s="144"/>
      <c r="NT148" s="144"/>
      <c r="NU148" s="144"/>
      <c r="NV148" s="144"/>
      <c r="NW148" s="144"/>
      <c r="NX148" s="144"/>
      <c r="NY148" s="144"/>
      <c r="NZ148" s="144"/>
      <c r="OA148" s="144"/>
      <c r="OB148" s="144"/>
      <c r="OC148" s="144"/>
      <c r="OD148" s="144"/>
      <c r="OE148" s="144"/>
      <c r="OF148" s="144"/>
      <c r="OG148" s="144"/>
      <c r="OH148" s="144"/>
      <c r="OI148" s="144"/>
      <c r="OJ148" s="144"/>
      <c r="OK148" s="144"/>
      <c r="OL148" s="144"/>
      <c r="OM148" s="144"/>
      <c r="ON148" s="144"/>
      <c r="OO148" s="144"/>
      <c r="OP148" s="144"/>
      <c r="OQ148" s="144"/>
      <c r="OR148" s="144"/>
      <c r="OS148" s="144"/>
      <c r="OT148" s="144"/>
      <c r="OU148" s="144"/>
      <c r="OV148" s="144"/>
      <c r="OW148" s="144"/>
      <c r="OX148" s="144"/>
      <c r="OY148" s="144"/>
      <c r="OZ148" s="144"/>
      <c r="PA148" s="144"/>
      <c r="PB148" s="144"/>
      <c r="PE148" s="403"/>
      <c r="PF148" s="55"/>
      <c r="PG148" s="399"/>
      <c r="PH148" s="399"/>
      <c r="PI148" s="399"/>
      <c r="PJ148" s="827"/>
      <c r="PK148" s="531"/>
      <c r="PL148" s="883"/>
      <c r="PM148" s="883"/>
      <c r="PN148" s="706"/>
      <c r="PO148" s="707"/>
      <c r="PP148" s="707"/>
      <c r="PQ148" s="707"/>
      <c r="PR148" s="707"/>
      <c r="PS148" s="707"/>
      <c r="PT148" s="707"/>
      <c r="PU148" s="707"/>
      <c r="PV148" s="707"/>
      <c r="PW148" s="708"/>
      <c r="PX148" s="1452"/>
      <c r="PY148" s="1453"/>
      <c r="PZ148" s="1453"/>
      <c r="QA148" s="1453"/>
      <c r="QB148" s="1453"/>
      <c r="QC148" s="1453"/>
      <c r="QD148" s="1453"/>
      <c r="QE148" s="1453"/>
      <c r="QF148" s="892"/>
      <c r="QG148" s="893"/>
      <c r="QH148" s="893"/>
      <c r="QI148" s="893"/>
      <c r="QJ148" s="893"/>
      <c r="QK148" s="894"/>
      <c r="QL148" s="399"/>
      <c r="QM148" s="399"/>
      <c r="QN148" s="399"/>
      <c r="QO148" s="399"/>
      <c r="QP148" s="400"/>
      <c r="QT148" s="144"/>
      <c r="QU148" s="144"/>
      <c r="QV148" s="144"/>
      <c r="VB148" s="905"/>
      <c r="VC148" s="900"/>
      <c r="VD148" s="900"/>
      <c r="VE148" s="900"/>
      <c r="VF148" s="900"/>
      <c r="VG148" s="900"/>
      <c r="VH148" s="900"/>
      <c r="VI148" s="900"/>
      <c r="VJ148" s="900"/>
      <c r="VK148" s="900"/>
      <c r="VL148" s="900"/>
      <c r="VM148" s="900"/>
      <c r="VN148" s="900"/>
      <c r="VO148" s="900"/>
      <c r="VP148" s="900"/>
      <c r="VQ148" s="900"/>
      <c r="VR148" s="900"/>
      <c r="VS148" s="900"/>
      <c r="VT148" s="900"/>
      <c r="VU148" s="900"/>
      <c r="VV148" s="900"/>
      <c r="VW148" s="900"/>
      <c r="VX148" s="906"/>
      <c r="WA148" s="825"/>
      <c r="WB148" s="700" t="s">
        <v>149</v>
      </c>
      <c r="WC148" s="701"/>
      <c r="WD148" s="701"/>
      <c r="WE148" s="701"/>
      <c r="WF148" s="701"/>
      <c r="WG148" s="701"/>
      <c r="WH148" s="701"/>
      <c r="WI148" s="701"/>
      <c r="WJ148" s="701"/>
      <c r="WK148" s="701"/>
      <c r="WL148" s="701"/>
      <c r="WM148" s="701"/>
      <c r="WN148" s="702"/>
      <c r="WO148" s="763">
        <f>AQ6/(((((MN23+YC93)^2)/YC15)+(MN98+YC121)^2)^0.5)</f>
        <v>193.09442715145718</v>
      </c>
      <c r="WP148" s="764"/>
      <c r="WQ148" s="1005"/>
      <c r="WR148" s="1006"/>
      <c r="WS148" s="712"/>
      <c r="WT148" s="716" t="s">
        <v>1093</v>
      </c>
      <c r="WU148" s="717"/>
      <c r="WV148" s="1119"/>
      <c r="WW148" s="767"/>
      <c r="WX148" s="767"/>
      <c r="WY148" s="767"/>
      <c r="WZ148" s="767"/>
      <c r="XA148" s="767"/>
      <c r="XB148" s="767"/>
      <c r="XC148" s="767"/>
      <c r="XD148" s="767"/>
      <c r="XE148" s="767"/>
      <c r="XF148" s="767"/>
      <c r="XG148" s="767"/>
      <c r="XH148" s="767"/>
      <c r="XI148" s="767"/>
      <c r="XJ148" s="767"/>
      <c r="XO148" s="827"/>
      <c r="XP148" s="476" t="s">
        <v>1612</v>
      </c>
      <c r="XQ148" s="828">
        <f>$YC$137</f>
        <v>0.95709138560675733</v>
      </c>
      <c r="XR148" s="828"/>
      <c r="XS148" s="707"/>
      <c r="XT148" s="707"/>
      <c r="XU148" s="707"/>
      <c r="XV148" s="707"/>
      <c r="XW148" s="707"/>
      <c r="XX148" s="707"/>
      <c r="XY148" s="707"/>
      <c r="XZ148" s="707"/>
      <c r="YA148" s="707"/>
      <c r="YB148" s="708"/>
      <c r="YC148" s="1012"/>
      <c r="YD148" s="1013"/>
      <c r="YE148" s="1013"/>
      <c r="YF148" s="1013"/>
      <c r="YG148" s="1013"/>
      <c r="YH148" s="1013"/>
      <c r="YI148" s="1013"/>
      <c r="YJ148" s="1014"/>
      <c r="YK148" s="768"/>
      <c r="YL148" s="768"/>
      <c r="YM148" s="768"/>
      <c r="YN148" s="768"/>
      <c r="YO148" s="768"/>
      <c r="YP148" s="768"/>
      <c r="YT148" s="144"/>
      <c r="YU148" s="144"/>
      <c r="YV148" s="144"/>
      <c r="YW148" s="144"/>
      <c r="YX148" s="144"/>
      <c r="AIM148" s="827"/>
      <c r="AIN148" s="729"/>
      <c r="AIO148" s="729"/>
      <c r="AIP148" s="729"/>
      <c r="AIQ148" s="729"/>
      <c r="AIR148" s="729"/>
      <c r="AIS148" s="729"/>
      <c r="AIT148" s="729"/>
      <c r="AIU148" s="729"/>
      <c r="AIV148" s="729"/>
      <c r="AIW148" s="729"/>
      <c r="AIX148" s="729"/>
      <c r="AIY148" s="729"/>
      <c r="AIZ148" s="729"/>
      <c r="AJA148" s="765"/>
      <c r="AJB148" s="766"/>
      <c r="AJC148" s="706"/>
      <c r="AJD148" s="708"/>
      <c r="AJE148" s="713"/>
      <c r="AJF148" s="743"/>
      <c r="AJG148" s="745"/>
      <c r="AJH148" s="747"/>
    </row>
    <row r="149" spans="252:947" ht="48" customHeight="1" thickBot="1">
      <c r="LZ149" s="827"/>
      <c r="MA149" s="1341" t="s">
        <v>1179</v>
      </c>
      <c r="MB149" s="1341"/>
      <c r="MC149" s="883">
        <f>$CL$76</f>
        <v>0.95799999999999996</v>
      </c>
      <c r="MD149" s="883"/>
      <c r="ME149" s="1153"/>
      <c r="MF149" s="1154"/>
      <c r="MG149" s="1154"/>
      <c r="MH149" s="1155"/>
      <c r="MI149" s="943"/>
      <c r="MJ149" s="944"/>
      <c r="MK149" s="944"/>
      <c r="ML149" s="944"/>
      <c r="MM149" s="944"/>
      <c r="MN149" s="1004"/>
      <c r="MO149" s="1012"/>
      <c r="MP149" s="1013"/>
      <c r="MQ149" s="1013"/>
      <c r="MR149" s="1013"/>
      <c r="MS149" s="1013"/>
      <c r="MT149" s="1013"/>
      <c r="MU149" s="1013"/>
      <c r="MV149" s="1013"/>
      <c r="MW149" s="1014"/>
      <c r="MX149" s="768"/>
      <c r="MY149" s="768"/>
      <c r="MZ149" s="768"/>
      <c r="NA149" s="768"/>
      <c r="NB149" s="768"/>
      <c r="NC149" s="768"/>
      <c r="ND149" s="768"/>
      <c r="NE149" s="768"/>
      <c r="NF149" s="768"/>
      <c r="NG149" s="768"/>
      <c r="NH149" s="768"/>
      <c r="NI149" s="144"/>
      <c r="NP149" s="144"/>
      <c r="NQ149" s="144"/>
      <c r="NR149" s="144"/>
      <c r="NS149" s="144"/>
      <c r="NT149" s="144"/>
      <c r="NU149" s="144"/>
      <c r="NV149" s="144"/>
      <c r="NW149" s="144"/>
      <c r="NX149" s="144"/>
      <c r="NY149" s="144"/>
      <c r="NZ149" s="144"/>
      <c r="OA149" s="144"/>
      <c r="OB149" s="144"/>
      <c r="OC149" s="144"/>
      <c r="OD149" s="144"/>
      <c r="OE149" s="144"/>
      <c r="OF149" s="144"/>
      <c r="OG149" s="144"/>
      <c r="OH149" s="144"/>
      <c r="OI149" s="144"/>
      <c r="OJ149" s="144"/>
      <c r="OK149" s="144"/>
      <c r="OL149" s="144"/>
      <c r="OM149" s="144"/>
      <c r="ON149" s="144"/>
      <c r="OO149" s="144"/>
      <c r="OP149" s="144"/>
      <c r="OQ149" s="144"/>
      <c r="OR149" s="144"/>
      <c r="OS149" s="144"/>
      <c r="OT149" s="144"/>
      <c r="OU149" s="144"/>
      <c r="OV149" s="144"/>
      <c r="OW149" s="144"/>
      <c r="OX149" s="144"/>
      <c r="OY149" s="144"/>
      <c r="OZ149" s="144"/>
      <c r="PA149" s="144"/>
      <c r="PB149" s="144"/>
      <c r="PE149" s="403"/>
      <c r="PF149" s="55"/>
      <c r="PG149" s="399"/>
      <c r="PH149" s="399"/>
      <c r="PI149" s="399"/>
      <c r="PJ149" s="399"/>
      <c r="PK149" s="399"/>
      <c r="PL149" s="399"/>
      <c r="PM149" s="399"/>
      <c r="PN149" s="399"/>
      <c r="PO149" s="399"/>
      <c r="PP149" s="399"/>
      <c r="PQ149" s="399"/>
      <c r="PR149" s="399"/>
      <c r="PS149" s="399"/>
      <c r="PT149" s="399"/>
      <c r="PU149" s="399"/>
      <c r="PV149" s="399"/>
      <c r="PW149" s="399"/>
      <c r="PX149" s="399"/>
      <c r="PY149" s="399"/>
      <c r="PZ149" s="399"/>
      <c r="QA149" s="399"/>
      <c r="QB149" s="399"/>
      <c r="QC149" s="399"/>
      <c r="QD149" s="399"/>
      <c r="QE149" s="399"/>
      <c r="QF149" s="399"/>
      <c r="QG149" s="399"/>
      <c r="QH149" s="399"/>
      <c r="QI149" s="399"/>
      <c r="QJ149" s="409" t="s">
        <v>1733</v>
      </c>
      <c r="QK149" s="399"/>
      <c r="QL149" s="399"/>
      <c r="QM149" s="399"/>
      <c r="QN149" s="399"/>
      <c r="QO149" s="399"/>
      <c r="QP149" s="400"/>
      <c r="QT149" s="144"/>
      <c r="QU149" s="144"/>
      <c r="QV149" s="144"/>
      <c r="VB149" s="905"/>
      <c r="VC149" s="900"/>
      <c r="VD149" s="900"/>
      <c r="VE149" s="900"/>
      <c r="VF149" s="900"/>
      <c r="VG149" s="900"/>
      <c r="VH149" s="900"/>
      <c r="VI149" s="900"/>
      <c r="VJ149" s="900"/>
      <c r="VK149" s="900"/>
      <c r="VL149" s="900"/>
      <c r="VM149" s="900"/>
      <c r="VN149" s="900"/>
      <c r="VO149" s="900"/>
      <c r="VP149" s="900"/>
      <c r="VQ149" s="900"/>
      <c r="VR149" s="900"/>
      <c r="VS149" s="900"/>
      <c r="VT149" s="900"/>
      <c r="VU149" s="900"/>
      <c r="VV149" s="900"/>
      <c r="VW149" s="900"/>
      <c r="VX149" s="906"/>
      <c r="WA149" s="826"/>
      <c r="WB149" s="703"/>
      <c r="WC149" s="704"/>
      <c r="WD149" s="704"/>
      <c r="WE149" s="704"/>
      <c r="WF149" s="704"/>
      <c r="WG149" s="704"/>
      <c r="WH149" s="704"/>
      <c r="WI149" s="704"/>
      <c r="WJ149" s="704"/>
      <c r="WK149" s="704"/>
      <c r="WL149" s="704"/>
      <c r="WM149" s="704"/>
      <c r="WN149" s="705"/>
      <c r="WO149" s="765"/>
      <c r="WP149" s="766"/>
      <c r="WQ149" s="706"/>
      <c r="WR149" s="708"/>
      <c r="WS149" s="713"/>
      <c r="WT149" s="718"/>
      <c r="WU149" s="719"/>
      <c r="WV149" s="1120"/>
      <c r="WW149" s="767"/>
      <c r="WX149" s="767"/>
      <c r="WY149" s="767"/>
      <c r="WZ149" s="767"/>
      <c r="XA149" s="767"/>
      <c r="XB149" s="767"/>
      <c r="XC149" s="767"/>
      <c r="XD149" s="767"/>
      <c r="XE149" s="767"/>
      <c r="XF149" s="767"/>
      <c r="XG149" s="767"/>
      <c r="XH149" s="767"/>
      <c r="XI149" s="767"/>
      <c r="XJ149" s="767"/>
      <c r="YS149" s="144"/>
    </row>
    <row r="150" spans="252:947" ht="48" customHeight="1" thickBot="1">
      <c r="IT150" s="202"/>
      <c r="IU150" s="665" t="s">
        <v>886</v>
      </c>
      <c r="IV150" s="667"/>
      <c r="IW150" s="202"/>
      <c r="IX150" s="685" t="s">
        <v>890</v>
      </c>
      <c r="IY150" s="686"/>
      <c r="IZ150" s="686"/>
      <c r="JA150" s="686"/>
      <c r="JB150" s="686"/>
      <c r="JC150" s="686"/>
      <c r="JD150" s="686"/>
      <c r="JE150" s="686"/>
      <c r="JF150" s="686"/>
      <c r="JG150" s="686"/>
      <c r="JH150" s="687"/>
      <c r="JI150" s="202"/>
      <c r="NG150" s="144"/>
      <c r="NH150" s="144"/>
      <c r="NI150" s="144"/>
      <c r="NP150" s="144"/>
      <c r="NQ150" s="144"/>
      <c r="NR150" s="144"/>
      <c r="NS150" s="144"/>
      <c r="NT150" s="144"/>
      <c r="NU150" s="144"/>
      <c r="NV150" s="144"/>
      <c r="NW150" s="144"/>
      <c r="NX150" s="144"/>
      <c r="NY150" s="144"/>
      <c r="NZ150" s="144"/>
      <c r="OA150" s="144"/>
      <c r="OB150" s="144"/>
      <c r="OC150" s="144"/>
      <c r="OD150" s="144"/>
      <c r="OE150" s="144"/>
      <c r="OF150" s="144"/>
      <c r="OG150" s="144"/>
      <c r="OH150" s="144"/>
      <c r="OI150" s="144"/>
      <c r="OJ150" s="144"/>
      <c r="OK150" s="144"/>
      <c r="OL150" s="144"/>
      <c r="OM150" s="144"/>
      <c r="ON150" s="144"/>
      <c r="OO150" s="144"/>
      <c r="OP150" s="144"/>
      <c r="OQ150" s="144"/>
      <c r="OR150" s="144"/>
      <c r="OS150" s="144"/>
      <c r="OT150" s="144"/>
      <c r="OU150" s="144"/>
      <c r="OV150" s="144"/>
      <c r="OW150" s="144"/>
      <c r="OX150" s="144"/>
      <c r="OY150" s="144"/>
      <c r="OZ150" s="144"/>
      <c r="PA150" s="144"/>
      <c r="PB150" s="144"/>
      <c r="PE150" s="403"/>
      <c r="PF150" s="55"/>
      <c r="PG150" s="399"/>
      <c r="PH150" s="55"/>
      <c r="PI150" s="408" t="s">
        <v>1428</v>
      </c>
      <c r="PJ150" s="214" t="s">
        <v>899</v>
      </c>
      <c r="PK150" s="695" t="s">
        <v>442</v>
      </c>
      <c r="PL150" s="695"/>
      <c r="PM150" s="528"/>
      <c r="PN150" s="87"/>
      <c r="PO150" s="87"/>
      <c r="PP150" s="87"/>
      <c r="PQ150" s="87"/>
      <c r="PR150" s="87"/>
      <c r="PS150" s="87"/>
      <c r="PT150" s="528"/>
      <c r="PU150" s="85" t="s">
        <v>467</v>
      </c>
      <c r="PV150" s="757" t="s">
        <v>461</v>
      </c>
      <c r="PW150" s="899"/>
      <c r="PX150" s="819" t="s">
        <v>126</v>
      </c>
      <c r="PY150" s="820"/>
      <c r="PZ150" s="675" t="s">
        <v>731</v>
      </c>
      <c r="QA150" s="676"/>
      <c r="QB150" s="769" t="s">
        <v>473</v>
      </c>
      <c r="QC150" s="769"/>
      <c r="QD150" s="769"/>
      <c r="QE150" s="769"/>
      <c r="QF150" s="769"/>
      <c r="QG150" s="399"/>
      <c r="QH150" s="399"/>
      <c r="QI150" s="399"/>
      <c r="QJ150" s="55"/>
      <c r="QK150" s="399"/>
      <c r="QL150" s="399"/>
      <c r="QM150" s="399"/>
      <c r="QN150" s="399"/>
      <c r="QO150" s="399"/>
      <c r="QP150" s="400"/>
      <c r="QT150" s="144"/>
      <c r="QU150" s="144"/>
      <c r="QV150" s="144"/>
      <c r="VB150" s="905"/>
      <c r="VC150" s="900"/>
      <c r="VD150" s="900"/>
      <c r="VE150" s="900"/>
      <c r="VF150" s="900"/>
      <c r="VG150" s="900"/>
      <c r="VH150" s="900"/>
      <c r="VI150" s="900"/>
      <c r="VJ150" s="900"/>
      <c r="VK150" s="900"/>
      <c r="VL150" s="900"/>
      <c r="VM150" s="900"/>
      <c r="VN150" s="900"/>
      <c r="VO150" s="900"/>
      <c r="VP150" s="900"/>
      <c r="VQ150" s="900"/>
      <c r="VR150" s="900"/>
      <c r="VS150" s="900"/>
      <c r="VT150" s="900"/>
      <c r="VU150" s="900"/>
      <c r="VV150" s="900"/>
      <c r="VW150" s="900"/>
      <c r="VX150" s="906"/>
      <c r="WA150" s="827"/>
      <c r="WB150" s="706"/>
      <c r="WC150" s="707"/>
      <c r="WD150" s="707"/>
      <c r="WE150" s="707"/>
      <c r="WF150" s="707"/>
      <c r="WG150" s="707"/>
      <c r="WH150" s="707"/>
      <c r="WI150" s="707"/>
      <c r="WJ150" s="707"/>
      <c r="WK150" s="707"/>
      <c r="WL150" s="707"/>
      <c r="WM150" s="707"/>
      <c r="WN150" s="708"/>
      <c r="WO150" s="1022"/>
      <c r="WP150" s="1023"/>
      <c r="WQ150" s="1023"/>
      <c r="WR150" s="1023"/>
      <c r="WS150" s="1023"/>
      <c r="WT150" s="1023"/>
      <c r="WU150" s="1023"/>
      <c r="WV150" s="1024"/>
      <c r="WW150" s="1150"/>
      <c r="WX150" s="768"/>
      <c r="WY150" s="768"/>
      <c r="WZ150" s="768"/>
      <c r="XA150" s="768"/>
      <c r="XB150" s="768"/>
      <c r="XC150" s="768"/>
      <c r="XD150" s="768"/>
      <c r="XE150" s="768"/>
      <c r="XF150" s="768"/>
      <c r="XG150" s="768"/>
      <c r="XH150" s="768"/>
      <c r="XI150" s="768"/>
      <c r="XJ150" s="768"/>
      <c r="XO150" s="825"/>
      <c r="XP150" s="665" t="s">
        <v>442</v>
      </c>
      <c r="XQ150" s="666"/>
      <c r="XR150" s="459"/>
      <c r="XS150" s="696" t="s">
        <v>1607</v>
      </c>
      <c r="XT150" s="720"/>
      <c r="XU150" s="697"/>
      <c r="XV150" s="948">
        <f>$YC$125</f>
        <v>39.104916258795605</v>
      </c>
      <c r="XW150" s="965"/>
      <c r="XX150" s="87"/>
      <c r="XY150" s="459"/>
      <c r="XZ150" s="85" t="s">
        <v>467</v>
      </c>
      <c r="YA150" s="757" t="s">
        <v>461</v>
      </c>
      <c r="YB150" s="899"/>
      <c r="YC150" s="819" t="s">
        <v>126</v>
      </c>
      <c r="YD150" s="820"/>
      <c r="YE150" s="675" t="s">
        <v>731</v>
      </c>
      <c r="YF150" s="676"/>
      <c r="YG150" s="821" t="s">
        <v>473</v>
      </c>
      <c r="YH150" s="822"/>
      <c r="YI150" s="822"/>
      <c r="YJ150" s="823"/>
      <c r="YK150" s="769" t="s">
        <v>462</v>
      </c>
      <c r="YL150" s="769"/>
      <c r="YM150" s="769"/>
      <c r="YN150" s="769"/>
      <c r="YO150" s="769"/>
      <c r="YP150" s="769"/>
      <c r="YQ150" s="769"/>
      <c r="YR150" s="769"/>
      <c r="YS150" s="769"/>
      <c r="YT150" s="769"/>
      <c r="AAL150" s="144"/>
      <c r="AAM150" s="144"/>
      <c r="AAN150" s="144"/>
      <c r="AAO150" s="144"/>
      <c r="AIM150" s="214" t="s">
        <v>899</v>
      </c>
      <c r="AIN150" s="665" t="s">
        <v>442</v>
      </c>
      <c r="AIO150" s="666"/>
      <c r="AIP150" s="156"/>
      <c r="AIQ150" s="87"/>
      <c r="AIR150" s="87"/>
      <c r="AIS150" s="87"/>
      <c r="AIT150" s="87"/>
      <c r="AIU150" s="87"/>
      <c r="AIV150" s="87"/>
      <c r="AIW150" s="156"/>
      <c r="AIX150" s="85" t="s">
        <v>467</v>
      </c>
      <c r="AIY150" s="757" t="s">
        <v>461</v>
      </c>
      <c r="AIZ150" s="758"/>
      <c r="AJA150" s="819" t="s">
        <v>126</v>
      </c>
      <c r="AJB150" s="820"/>
      <c r="AJC150" s="675" t="s">
        <v>731</v>
      </c>
      <c r="AJD150" s="676"/>
      <c r="AJE150" s="821" t="s">
        <v>473</v>
      </c>
      <c r="AJF150" s="822"/>
      <c r="AJG150" s="822"/>
      <c r="AJH150" s="823"/>
    </row>
    <row r="151" spans="252:947" ht="48" customHeight="1">
      <c r="NI151" s="144"/>
      <c r="OB151" s="144"/>
      <c r="OC151" s="144"/>
      <c r="OD151" s="144"/>
      <c r="OE151" s="144"/>
      <c r="OF151" s="144"/>
      <c r="OG151" s="144"/>
      <c r="OH151" s="144"/>
      <c r="OI151" s="144"/>
      <c r="OJ151" s="144"/>
      <c r="OK151" s="144"/>
      <c r="OL151" s="144"/>
      <c r="OM151" s="144"/>
      <c r="ON151" s="144"/>
      <c r="OO151" s="144"/>
      <c r="OP151" s="144"/>
      <c r="OQ151" s="144"/>
      <c r="OR151" s="144"/>
      <c r="OS151" s="144"/>
      <c r="OT151" s="144"/>
      <c r="OU151" s="144"/>
      <c r="OV151" s="144"/>
      <c r="OW151" s="144"/>
      <c r="OX151" s="144"/>
      <c r="OY151" s="144"/>
      <c r="OZ151" s="144"/>
      <c r="PA151" s="144"/>
      <c r="PB151" s="144"/>
      <c r="PE151" s="403"/>
      <c r="PF151" s="55"/>
      <c r="PG151" s="399"/>
      <c r="PH151" s="55"/>
      <c r="PI151" s="399"/>
      <c r="PJ151" s="825"/>
      <c r="PK151" s="700" t="s">
        <v>1687</v>
      </c>
      <c r="PL151" s="701"/>
      <c r="PM151" s="701"/>
      <c r="PN151" s="701"/>
      <c r="PO151" s="701"/>
      <c r="PP151" s="701"/>
      <c r="PQ151" s="701"/>
      <c r="PR151" s="701"/>
      <c r="PS151" s="701"/>
      <c r="PT151" s="701"/>
      <c r="PU151" s="701"/>
      <c r="PV151" s="701"/>
      <c r="PW151" s="702"/>
      <c r="PX151" s="763">
        <v>1</v>
      </c>
      <c r="PY151" s="764"/>
      <c r="PZ151" s="849" t="s">
        <v>762</v>
      </c>
      <c r="QA151" s="850"/>
      <c r="QB151" s="1085"/>
      <c r="QC151" s="1083" t="s">
        <v>1685</v>
      </c>
      <c r="QD151" s="1083"/>
      <c r="QE151" s="1083"/>
      <c r="QF151" s="1085"/>
      <c r="QG151" s="399"/>
      <c r="QH151" s="399"/>
      <c r="QI151" s="399"/>
      <c r="QJ151" s="55"/>
      <c r="QK151" s="55"/>
      <c r="QL151" s="55"/>
      <c r="QM151" s="55"/>
      <c r="QN151" s="55"/>
      <c r="QO151" s="55"/>
      <c r="QP151" s="400"/>
      <c r="QT151" s="144"/>
      <c r="QU151" s="144"/>
      <c r="QV151" s="144"/>
      <c r="VB151" s="907"/>
      <c r="VC151" s="901"/>
      <c r="VD151" s="901"/>
      <c r="VE151" s="901"/>
      <c r="VF151" s="901"/>
      <c r="VG151" s="901"/>
      <c r="VH151" s="901"/>
      <c r="VI151" s="901"/>
      <c r="VJ151" s="901"/>
      <c r="VK151" s="901"/>
      <c r="VL151" s="901"/>
      <c r="VM151" s="901"/>
      <c r="VN151" s="901"/>
      <c r="VO151" s="901"/>
      <c r="VP151" s="901"/>
      <c r="VQ151" s="901"/>
      <c r="VR151" s="901"/>
      <c r="VS151" s="901"/>
      <c r="VT151" s="901"/>
      <c r="VU151" s="901"/>
      <c r="VV151" s="901"/>
      <c r="VW151" s="901"/>
      <c r="VX151" s="908"/>
      <c r="XO151" s="826"/>
      <c r="XP151" s="863" t="s">
        <v>1613</v>
      </c>
      <c r="XQ151" s="863"/>
      <c r="XR151" s="739">
        <f>$YC$141</f>
        <v>0.85477330594601808</v>
      </c>
      <c r="XS151" s="739"/>
      <c r="XT151" s="701" t="s">
        <v>1520</v>
      </c>
      <c r="XU151" s="701"/>
      <c r="XV151" s="701"/>
      <c r="XW151" s="701"/>
      <c r="XX151" s="701"/>
      <c r="XY151" s="701"/>
      <c r="XZ151" s="701"/>
      <c r="YA151" s="701"/>
      <c r="YB151" s="702"/>
      <c r="YC151" s="763">
        <f>YC146*((XR151^2+(XR152+XV150)^2)^0.5)/(XR153*XV150)</f>
        <v>299.22949277385993</v>
      </c>
      <c r="YD151" s="764"/>
      <c r="YE151" s="1062" t="s">
        <v>35</v>
      </c>
      <c r="YF151" s="1063"/>
      <c r="YG151" s="712"/>
      <c r="YH151" s="716" t="s">
        <v>1521</v>
      </c>
      <c r="YI151" s="717"/>
      <c r="YJ151" s="746"/>
      <c r="YK151" s="767"/>
      <c r="YL151" s="767"/>
      <c r="YM151" s="767"/>
      <c r="YN151" s="767"/>
      <c r="YO151" s="767"/>
      <c r="YP151" s="767"/>
      <c r="YQ151" s="767"/>
      <c r="YR151" s="767"/>
      <c r="YS151" s="767"/>
      <c r="YT151" s="767"/>
      <c r="AIM151" s="825"/>
      <c r="AIN151" s="727" t="s">
        <v>412</v>
      </c>
      <c r="AIO151" s="727"/>
      <c r="AIP151" s="727"/>
      <c r="AIQ151" s="727"/>
      <c r="AIR151" s="727"/>
      <c r="AIS151" s="727"/>
      <c r="AIT151" s="727"/>
      <c r="AIU151" s="727"/>
      <c r="AIV151" s="727"/>
      <c r="AIW151" s="727"/>
      <c r="AIX151" s="727"/>
      <c r="AIY151" s="727"/>
      <c r="AIZ151" s="727"/>
      <c r="AJA151" s="763">
        <f>(3.14*AZ21+8*0.32)*(AW82+2*AJA103/1000)</f>
        <v>0.5163134336469366</v>
      </c>
      <c r="AJB151" s="764"/>
      <c r="AJC151" s="1005"/>
      <c r="AJD151" s="1006"/>
      <c r="AJE151" s="712"/>
      <c r="AJF151" s="740" t="s">
        <v>986</v>
      </c>
      <c r="AJG151" s="742"/>
      <c r="AJH151" s="746"/>
    </row>
    <row r="152" spans="252:947" ht="48" customHeight="1" thickBot="1">
      <c r="IR152" s="825"/>
      <c r="IS152" s="147" t="s">
        <v>442</v>
      </c>
      <c r="IT152" s="148"/>
      <c r="IU152" s="156"/>
      <c r="IV152" s="344" t="s">
        <v>1288</v>
      </c>
      <c r="IW152" s="724">
        <f>$JF$147</f>
        <v>2943.6633104773114</v>
      </c>
      <c r="IX152" s="724"/>
      <c r="IY152" s="344" t="s">
        <v>1271</v>
      </c>
      <c r="IZ152" s="1074">
        <f>$JF$106</f>
        <v>2604.6891221021392</v>
      </c>
      <c r="JA152" s="1074"/>
      <c r="JB152" s="156"/>
      <c r="JC152" s="85" t="s">
        <v>467</v>
      </c>
      <c r="JD152" s="757" t="s">
        <v>461</v>
      </c>
      <c r="JE152" s="899"/>
      <c r="JF152" s="1130" t="s">
        <v>126</v>
      </c>
      <c r="JG152" s="1131"/>
      <c r="JH152" s="675" t="s">
        <v>731</v>
      </c>
      <c r="JI152" s="676"/>
      <c r="JJ152" s="821" t="s">
        <v>473</v>
      </c>
      <c r="JK152" s="822"/>
      <c r="JL152" s="822"/>
      <c r="JM152" s="823"/>
      <c r="JN152" s="821" t="s">
        <v>462</v>
      </c>
      <c r="JO152" s="822"/>
      <c r="JP152" s="823"/>
      <c r="LZ152" s="214" t="s">
        <v>899</v>
      </c>
      <c r="MA152" s="147" t="s">
        <v>442</v>
      </c>
      <c r="MB152" s="148"/>
      <c r="MC152" s="370"/>
      <c r="MD152" s="415" t="s">
        <v>1439</v>
      </c>
      <c r="ME152" s="739">
        <f>$MQ$178</f>
        <v>0</v>
      </c>
      <c r="MF152" s="739"/>
      <c r="MG152" s="863" t="s">
        <v>1454</v>
      </c>
      <c r="MH152" s="863"/>
      <c r="MI152" s="739">
        <f>$NB$129</f>
        <v>0.4375</v>
      </c>
      <c r="MJ152" s="739"/>
      <c r="MK152" s="85" t="s">
        <v>467</v>
      </c>
      <c r="ML152" s="757" t="s">
        <v>461</v>
      </c>
      <c r="MM152" s="758"/>
      <c r="MN152" s="819" t="s">
        <v>126</v>
      </c>
      <c r="MO152" s="820"/>
      <c r="MP152" s="675" t="s">
        <v>731</v>
      </c>
      <c r="MQ152" s="676"/>
      <c r="MR152" s="821" t="s">
        <v>473</v>
      </c>
      <c r="MS152" s="822"/>
      <c r="MT152" s="822"/>
      <c r="MU152" s="822"/>
      <c r="MV152" s="823"/>
      <c r="MW152" s="769" t="s">
        <v>462</v>
      </c>
      <c r="MX152" s="769"/>
      <c r="MY152" s="769"/>
      <c r="MZ152" s="769"/>
      <c r="NA152" s="769"/>
      <c r="NB152" s="769"/>
      <c r="NC152" s="769"/>
      <c r="ND152" s="769"/>
      <c r="NE152" s="769"/>
      <c r="NF152" s="769"/>
      <c r="NG152" s="769"/>
      <c r="NH152" s="769"/>
      <c r="NI152" s="144"/>
      <c r="OJ152" s="144"/>
      <c r="OK152" s="144"/>
      <c r="OL152" s="144"/>
      <c r="OM152" s="144"/>
      <c r="ON152" s="144"/>
      <c r="OO152" s="144"/>
      <c r="OT152" s="144"/>
      <c r="OU152" s="144"/>
      <c r="OV152" s="144"/>
      <c r="OW152" s="144"/>
      <c r="OX152" s="144"/>
      <c r="OY152" s="144"/>
      <c r="OZ152" s="144"/>
      <c r="PA152" s="144"/>
      <c r="PB152" s="144"/>
      <c r="PE152" s="403"/>
      <c r="PF152" s="55"/>
      <c r="PG152" s="399"/>
      <c r="PH152" s="55"/>
      <c r="PI152" s="399"/>
      <c r="PJ152" s="827"/>
      <c r="PK152" s="706"/>
      <c r="PL152" s="707"/>
      <c r="PM152" s="707"/>
      <c r="PN152" s="707"/>
      <c r="PO152" s="707"/>
      <c r="PP152" s="707"/>
      <c r="PQ152" s="707"/>
      <c r="PR152" s="707"/>
      <c r="PS152" s="707"/>
      <c r="PT152" s="707"/>
      <c r="PU152" s="707"/>
      <c r="PV152" s="707"/>
      <c r="PW152" s="708"/>
      <c r="PX152" s="765"/>
      <c r="PY152" s="766"/>
      <c r="PZ152" s="851"/>
      <c r="QA152" s="852"/>
      <c r="QB152" s="1086"/>
      <c r="QC152" s="1084"/>
      <c r="QD152" s="1084"/>
      <c r="QE152" s="1084"/>
      <c r="QF152" s="1086"/>
      <c r="QG152" s="399"/>
      <c r="QH152" s="399"/>
      <c r="QI152" s="399"/>
      <c r="QJ152" s="399"/>
      <c r="QK152" s="399"/>
      <c r="QL152" s="399"/>
      <c r="QM152" s="399"/>
      <c r="QN152" s="399"/>
      <c r="QO152" s="55"/>
      <c r="QP152" s="400"/>
      <c r="QT152" s="144"/>
      <c r="QU152" s="144"/>
      <c r="QV152" s="144"/>
      <c r="XK152" s="144"/>
      <c r="XL152" s="144"/>
      <c r="XO152" s="826"/>
      <c r="XP152" s="863" t="s">
        <v>1612</v>
      </c>
      <c r="XQ152" s="863"/>
      <c r="XR152" s="739">
        <f>$YC$137</f>
        <v>0.95709138560675733</v>
      </c>
      <c r="XS152" s="739"/>
      <c r="XT152" s="704"/>
      <c r="XU152" s="704"/>
      <c r="XV152" s="704"/>
      <c r="XW152" s="704"/>
      <c r="XX152" s="704"/>
      <c r="XY152" s="704"/>
      <c r="XZ152" s="704"/>
      <c r="YA152" s="704"/>
      <c r="YB152" s="705"/>
      <c r="YC152" s="765"/>
      <c r="YD152" s="766"/>
      <c r="YE152" s="1064"/>
      <c r="YF152" s="1065"/>
      <c r="YG152" s="713"/>
      <c r="YH152" s="718"/>
      <c r="YI152" s="719"/>
      <c r="YJ152" s="747"/>
      <c r="YK152" s="767"/>
      <c r="YL152" s="767"/>
      <c r="YM152" s="767"/>
      <c r="YN152" s="767"/>
      <c r="YO152" s="767"/>
      <c r="YP152" s="767"/>
      <c r="YQ152" s="767"/>
      <c r="YR152" s="767"/>
      <c r="YS152" s="767"/>
      <c r="YT152" s="767"/>
      <c r="AIM152" s="827"/>
      <c r="AIN152" s="729"/>
      <c r="AIO152" s="729"/>
      <c r="AIP152" s="729"/>
      <c r="AIQ152" s="729"/>
      <c r="AIR152" s="729"/>
      <c r="AIS152" s="729"/>
      <c r="AIT152" s="729"/>
      <c r="AIU152" s="729"/>
      <c r="AIV152" s="729"/>
      <c r="AIW152" s="729"/>
      <c r="AIX152" s="729"/>
      <c r="AIY152" s="729"/>
      <c r="AIZ152" s="729"/>
      <c r="AJA152" s="765"/>
      <c r="AJB152" s="766"/>
      <c r="AJC152" s="706"/>
      <c r="AJD152" s="708"/>
      <c r="AJE152" s="713"/>
      <c r="AJF152" s="743"/>
      <c r="AJG152" s="745"/>
      <c r="AJH152" s="747"/>
    </row>
    <row r="153" spans="252:947" ht="48" customHeight="1" thickBot="1">
      <c r="IR153" s="826"/>
      <c r="IS153" s="700" t="s">
        <v>80</v>
      </c>
      <c r="IT153" s="701"/>
      <c r="IU153" s="701"/>
      <c r="IV153" s="701"/>
      <c r="IW153" s="701"/>
      <c r="IX153" s="701"/>
      <c r="IY153" s="701"/>
      <c r="IZ153" s="701"/>
      <c r="JA153" s="701"/>
      <c r="JB153" s="701"/>
      <c r="JC153" s="701"/>
      <c r="JD153" s="701"/>
      <c r="JE153" s="702"/>
      <c r="JF153" s="763">
        <f>IW152/IZ152</f>
        <v>1.1301399792776805</v>
      </c>
      <c r="JG153" s="764"/>
      <c r="JH153" s="849" t="s">
        <v>762</v>
      </c>
      <c r="JI153" s="850"/>
      <c r="JJ153" s="714"/>
      <c r="JK153" s="740" t="s">
        <v>1293</v>
      </c>
      <c r="JL153" s="742"/>
      <c r="JM153" s="746"/>
      <c r="JN153" s="919"/>
      <c r="JO153" s="840"/>
      <c r="JP153" s="920"/>
      <c r="LZ153" s="825"/>
      <c r="MA153" s="696" t="s">
        <v>1437</v>
      </c>
      <c r="MB153" s="697"/>
      <c r="MC153" s="948">
        <f>$GT$32/$CL$40</f>
        <v>0.55562400380839561</v>
      </c>
      <c r="MD153" s="965"/>
      <c r="ME153" s="940" t="s">
        <v>1390</v>
      </c>
      <c r="MF153" s="940"/>
      <c r="MG153" s="940"/>
      <c r="MH153" s="940"/>
      <c r="MI153" s="940"/>
      <c r="MJ153" s="940"/>
      <c r="MK153" s="940"/>
      <c r="ML153" s="940"/>
      <c r="MM153" s="1003"/>
      <c r="MN153" s="763">
        <f>(2*MC153-MC154*ME152)*MI152-MC155^2*(MC153)^2</f>
        <v>0.20284070593606757</v>
      </c>
      <c r="MO153" s="764"/>
      <c r="MP153" s="849" t="s">
        <v>762</v>
      </c>
      <c r="MQ153" s="850"/>
      <c r="MR153" s="946"/>
      <c r="MS153" s="1166" t="s">
        <v>1440</v>
      </c>
      <c r="MT153" s="1167"/>
      <c r="MU153" s="1168"/>
      <c r="MV153" s="824"/>
      <c r="MW153" s="767"/>
      <c r="MX153" s="767"/>
      <c r="MY153" s="767"/>
      <c r="MZ153" s="767"/>
      <c r="NA153" s="767"/>
      <c r="NB153" s="767"/>
      <c r="NC153" s="767"/>
      <c r="ND153" s="767"/>
      <c r="NE153" s="767"/>
      <c r="NF153" s="767"/>
      <c r="NG153" s="767"/>
      <c r="NH153" s="767"/>
      <c r="NI153" s="144"/>
      <c r="OJ153" s="144"/>
      <c r="OK153" s="144"/>
      <c r="OL153" s="144"/>
      <c r="OM153" s="144"/>
      <c r="ON153" s="144"/>
      <c r="OO153" s="144"/>
      <c r="OT153" s="144"/>
      <c r="OU153" s="144"/>
      <c r="OV153" s="144"/>
      <c r="OW153" s="144"/>
      <c r="OX153" s="144"/>
      <c r="OY153" s="144"/>
      <c r="OZ153" s="144"/>
      <c r="PB153" s="144"/>
      <c r="PE153" s="403"/>
      <c r="PF153" s="55"/>
      <c r="PG153" s="399"/>
      <c r="PH153" s="55"/>
      <c r="PI153" s="399"/>
      <c r="PJ153" s="399"/>
      <c r="PK153" s="399"/>
      <c r="PL153" s="399"/>
      <c r="PM153" s="399"/>
      <c r="PN153" s="399"/>
      <c r="PO153" s="399"/>
      <c r="PP153" s="399"/>
      <c r="PQ153" s="399"/>
      <c r="PR153" s="399"/>
      <c r="PS153" s="399"/>
      <c r="PT153" s="399"/>
      <c r="PU153" s="399"/>
      <c r="PV153" s="399"/>
      <c r="PW153" s="399"/>
      <c r="PX153" s="399"/>
      <c r="PY153" s="399"/>
      <c r="PZ153" s="399"/>
      <c r="QA153" s="399"/>
      <c r="QB153" s="399"/>
      <c r="QC153" s="399"/>
      <c r="QD153" s="399"/>
      <c r="QE153" s="399"/>
      <c r="QF153" s="399"/>
      <c r="QG153" s="399"/>
      <c r="QH153" s="399"/>
      <c r="QI153" s="399"/>
      <c r="QJ153" s="399"/>
      <c r="QK153" s="399"/>
      <c r="QL153" s="399"/>
      <c r="QM153" s="399"/>
      <c r="QN153" s="399"/>
      <c r="QO153" s="55"/>
      <c r="QP153" s="400"/>
      <c r="QT153" s="144"/>
      <c r="QU153" s="144"/>
      <c r="QV153" s="144"/>
      <c r="WO153" s="825"/>
      <c r="WP153" s="147" t="s">
        <v>442</v>
      </c>
      <c r="WQ153" s="148"/>
      <c r="WR153" s="171"/>
      <c r="WS153" s="87"/>
      <c r="WT153" s="87"/>
      <c r="WU153" s="87"/>
      <c r="WV153" s="87"/>
      <c r="WW153" s="87"/>
      <c r="WX153" s="87"/>
      <c r="WY153" s="171"/>
      <c r="WZ153" s="85" t="s">
        <v>467</v>
      </c>
      <c r="XA153" s="757" t="s">
        <v>461</v>
      </c>
      <c r="XB153" s="758"/>
      <c r="XC153" s="819" t="s">
        <v>126</v>
      </c>
      <c r="XD153" s="820"/>
      <c r="XE153" s="675" t="s">
        <v>731</v>
      </c>
      <c r="XF153" s="676"/>
      <c r="XG153" s="821" t="s">
        <v>473</v>
      </c>
      <c r="XH153" s="822"/>
      <c r="XI153" s="822"/>
      <c r="XJ153" s="823"/>
      <c r="XK153" s="144"/>
      <c r="XL153" s="144"/>
      <c r="XO153" s="827"/>
      <c r="XP153" s="709" t="s">
        <v>1606</v>
      </c>
      <c r="XQ153" s="709"/>
      <c r="XR153" s="1018">
        <f>$YC$132</f>
        <v>1.0140917218403787</v>
      </c>
      <c r="XS153" s="1018"/>
      <c r="XT153" s="707"/>
      <c r="XU153" s="707"/>
      <c r="XV153" s="707"/>
      <c r="XW153" s="707"/>
      <c r="XX153" s="707"/>
      <c r="XY153" s="707"/>
      <c r="XZ153" s="707"/>
      <c r="YA153" s="707"/>
      <c r="YB153" s="708"/>
      <c r="YC153" s="1012"/>
      <c r="YD153" s="1013"/>
      <c r="YE153" s="1013"/>
      <c r="YF153" s="1013"/>
      <c r="YG153" s="1013"/>
      <c r="YH153" s="1013"/>
      <c r="YI153" s="1013"/>
      <c r="YJ153" s="1014"/>
      <c r="YK153" s="768"/>
      <c r="YL153" s="768"/>
      <c r="YM153" s="768"/>
      <c r="YN153" s="768"/>
      <c r="YO153" s="768"/>
      <c r="YP153" s="768"/>
      <c r="YQ153" s="768"/>
      <c r="YR153" s="768"/>
      <c r="YS153" s="768"/>
      <c r="YT153" s="768"/>
    </row>
    <row r="154" spans="252:947" ht="48" customHeight="1" thickBot="1">
      <c r="IR154" s="827"/>
      <c r="IS154" s="706"/>
      <c r="IT154" s="707"/>
      <c r="IU154" s="707"/>
      <c r="IV154" s="707"/>
      <c r="IW154" s="707"/>
      <c r="IX154" s="707"/>
      <c r="IY154" s="707"/>
      <c r="IZ154" s="707"/>
      <c r="JA154" s="707"/>
      <c r="JB154" s="707"/>
      <c r="JC154" s="707"/>
      <c r="JD154" s="707"/>
      <c r="JE154" s="708"/>
      <c r="JF154" s="765"/>
      <c r="JG154" s="766"/>
      <c r="JH154" s="851"/>
      <c r="JI154" s="852"/>
      <c r="JJ154" s="715"/>
      <c r="JK154" s="743"/>
      <c r="JL154" s="745"/>
      <c r="JM154" s="747"/>
      <c r="JN154" s="892"/>
      <c r="JO154" s="893"/>
      <c r="JP154" s="894"/>
      <c r="LZ154" s="826"/>
      <c r="MA154" s="696" t="s">
        <v>1438</v>
      </c>
      <c r="MB154" s="697"/>
      <c r="MC154" s="948">
        <f>$CL$40/$GT$32</f>
        <v>1.7997782549813044</v>
      </c>
      <c r="MD154" s="965"/>
      <c r="ME154" s="942"/>
      <c r="MF154" s="942"/>
      <c r="MG154" s="942"/>
      <c r="MH154" s="942"/>
      <c r="MI154" s="942"/>
      <c r="MJ154" s="942"/>
      <c r="MK154" s="942"/>
      <c r="ML154" s="942"/>
      <c r="MM154" s="1011"/>
      <c r="MN154" s="765"/>
      <c r="MO154" s="766"/>
      <c r="MP154" s="851"/>
      <c r="MQ154" s="852"/>
      <c r="MR154" s="715"/>
      <c r="MS154" s="743"/>
      <c r="MT154" s="744"/>
      <c r="MU154" s="745"/>
      <c r="MV154" s="747"/>
      <c r="MW154" s="767"/>
      <c r="MX154" s="767"/>
      <c r="MY154" s="767"/>
      <c r="MZ154" s="767"/>
      <c r="NA154" s="767"/>
      <c r="NB154" s="767"/>
      <c r="NC154" s="767"/>
      <c r="ND154" s="767"/>
      <c r="NE154" s="767"/>
      <c r="NF154" s="767"/>
      <c r="NG154" s="767"/>
      <c r="NH154" s="767"/>
      <c r="OW154" s="144"/>
      <c r="OX154" s="144"/>
      <c r="OY154" s="144"/>
      <c r="OZ154" s="144"/>
      <c r="PE154" s="403"/>
      <c r="PF154" s="55"/>
      <c r="PG154" s="399"/>
      <c r="PH154" s="55"/>
      <c r="PI154" s="408" t="s">
        <v>1428</v>
      </c>
      <c r="PJ154" s="214" t="s">
        <v>899</v>
      </c>
      <c r="PK154" s="695" t="s">
        <v>442</v>
      </c>
      <c r="PL154" s="695"/>
      <c r="PM154" s="528"/>
      <c r="PN154" s="529" t="s">
        <v>1144</v>
      </c>
      <c r="PO154" s="756">
        <f>$AZ$21</f>
        <v>0.313</v>
      </c>
      <c r="PP154" s="756"/>
      <c r="PQ154" s="87"/>
      <c r="PR154" s="87"/>
      <c r="PS154" s="87"/>
      <c r="PT154" s="528"/>
      <c r="PU154" s="85" t="s">
        <v>467</v>
      </c>
      <c r="PV154" s="757" t="s">
        <v>461</v>
      </c>
      <c r="PW154" s="758"/>
      <c r="PX154" s="819" t="s">
        <v>126</v>
      </c>
      <c r="PY154" s="820"/>
      <c r="PZ154" s="675" t="s">
        <v>731</v>
      </c>
      <c r="QA154" s="676"/>
      <c r="QB154" s="769" t="s">
        <v>473</v>
      </c>
      <c r="QC154" s="769"/>
      <c r="QD154" s="769"/>
      <c r="QE154" s="769"/>
      <c r="QF154" s="769"/>
      <c r="QG154" s="769" t="s">
        <v>462</v>
      </c>
      <c r="QH154" s="769"/>
      <c r="QI154" s="769"/>
      <c r="QJ154" s="769"/>
      <c r="QK154" s="769"/>
      <c r="QL154" s="769"/>
      <c r="QM154" s="769"/>
      <c r="QN154" s="399"/>
      <c r="QO154" s="55"/>
      <c r="QP154" s="400"/>
      <c r="QT154" s="144"/>
      <c r="QU154" s="144"/>
      <c r="QV154" s="144"/>
      <c r="WO154" s="826"/>
      <c r="WP154" s="816" t="s">
        <v>1</v>
      </c>
      <c r="WQ154" s="816"/>
      <c r="WR154" s="816"/>
      <c r="WS154" s="816"/>
      <c r="WT154" s="816"/>
      <c r="WU154" s="816"/>
      <c r="WV154" s="816"/>
      <c r="WW154" s="816"/>
      <c r="WX154" s="816"/>
      <c r="WY154" s="816"/>
      <c r="WZ154" s="816"/>
      <c r="XA154" s="816"/>
      <c r="XB154" s="816"/>
      <c r="XC154" s="1170">
        <f>'Вывод расчетов'!AQ4</f>
        <v>30000</v>
      </c>
      <c r="XD154" s="1171"/>
      <c r="XE154" s="759" t="s">
        <v>3</v>
      </c>
      <c r="XF154" s="760"/>
      <c r="XG154" s="712"/>
      <c r="XH154" s="952" t="s">
        <v>1030</v>
      </c>
      <c r="XI154" s="953"/>
      <c r="XJ154" s="746"/>
      <c r="XK154" s="144"/>
      <c r="XL154" s="144"/>
      <c r="AIM154" s="825"/>
      <c r="AIN154" s="665" t="s">
        <v>442</v>
      </c>
      <c r="AIO154" s="666"/>
      <c r="AIP154" s="216"/>
      <c r="AIQ154" s="87"/>
      <c r="AIR154" s="87"/>
      <c r="AIS154" s="87"/>
      <c r="AIT154" s="87"/>
      <c r="AIU154" s="87"/>
      <c r="AIV154" s="87"/>
      <c r="AIW154" s="216"/>
      <c r="AIX154" s="85" t="s">
        <v>467</v>
      </c>
      <c r="AIY154" s="757" t="s">
        <v>461</v>
      </c>
      <c r="AIZ154" s="899"/>
      <c r="AJA154" s="819" t="s">
        <v>126</v>
      </c>
      <c r="AJB154" s="820"/>
      <c r="AJC154" s="675" t="s">
        <v>731</v>
      </c>
      <c r="AJD154" s="676"/>
      <c r="AJE154" s="821" t="s">
        <v>473</v>
      </c>
      <c r="AJF154" s="822"/>
      <c r="AJG154" s="822"/>
      <c r="AJH154" s="823"/>
      <c r="AJI154" s="821" t="s">
        <v>921</v>
      </c>
      <c r="AJJ154" s="822"/>
      <c r="AJK154" s="823"/>
    </row>
    <row r="155" spans="252:947" ht="48" customHeight="1" thickBot="1">
      <c r="LZ155" s="827"/>
      <c r="MA155" s="1198" t="s">
        <v>1179</v>
      </c>
      <c r="MB155" s="1199"/>
      <c r="MC155" s="883">
        <f>$CL$76</f>
        <v>0.95799999999999996</v>
      </c>
      <c r="MD155" s="883"/>
      <c r="ME155" s="944"/>
      <c r="MF155" s="944"/>
      <c r="MG155" s="944"/>
      <c r="MH155" s="944"/>
      <c r="MI155" s="944"/>
      <c r="MJ155" s="944"/>
      <c r="MK155" s="944"/>
      <c r="ML155" s="944"/>
      <c r="MM155" s="1004"/>
      <c r="MN155" s="1012"/>
      <c r="MO155" s="1013"/>
      <c r="MP155" s="1013"/>
      <c r="MQ155" s="1013"/>
      <c r="MR155" s="1013"/>
      <c r="MS155" s="1013"/>
      <c r="MT155" s="1013"/>
      <c r="MU155" s="1013"/>
      <c r="MV155" s="1014"/>
      <c r="MW155" s="768"/>
      <c r="MX155" s="768"/>
      <c r="MY155" s="768"/>
      <c r="MZ155" s="768"/>
      <c r="NA155" s="768"/>
      <c r="NB155" s="768"/>
      <c r="NC155" s="768"/>
      <c r="ND155" s="768"/>
      <c r="NE155" s="768"/>
      <c r="NF155" s="768"/>
      <c r="NG155" s="768"/>
      <c r="NH155" s="768"/>
      <c r="PE155" s="403"/>
      <c r="PF155" s="55"/>
      <c r="PG155" s="399"/>
      <c r="PH155" s="55"/>
      <c r="PI155" s="399"/>
      <c r="PJ155" s="825"/>
      <c r="PK155" s="700" t="s">
        <v>1686</v>
      </c>
      <c r="PL155" s="701"/>
      <c r="PM155" s="701"/>
      <c r="PN155" s="701"/>
      <c r="PO155" s="701"/>
      <c r="PP155" s="701"/>
      <c r="PQ155" s="701"/>
      <c r="PR155" s="701"/>
      <c r="PS155" s="701"/>
      <c r="PT155" s="701"/>
      <c r="PU155" s="701"/>
      <c r="PV155" s="701"/>
      <c r="PW155" s="702"/>
      <c r="PX155" s="1193">
        <f>1.3*(1-PO154)</f>
        <v>0.89310000000000012</v>
      </c>
      <c r="PY155" s="1194"/>
      <c r="PZ155" s="849" t="s">
        <v>762</v>
      </c>
      <c r="QA155" s="850"/>
      <c r="QB155" s="1085"/>
      <c r="QC155" s="1083" t="s">
        <v>1685</v>
      </c>
      <c r="QD155" s="1083"/>
      <c r="QE155" s="1083"/>
      <c r="QF155" s="1085"/>
      <c r="QG155" s="767"/>
      <c r="QH155" s="767"/>
      <c r="QI155" s="767"/>
      <c r="QJ155" s="767"/>
      <c r="QK155" s="767"/>
      <c r="QL155" s="767"/>
      <c r="QM155" s="767"/>
      <c r="QN155" s="399"/>
      <c r="QO155" s="55"/>
      <c r="QP155" s="400"/>
      <c r="QQ155" s="144"/>
      <c r="QR155" s="144"/>
      <c r="QS155" s="144"/>
      <c r="QT155" s="144"/>
      <c r="QU155" s="144"/>
      <c r="QV155" s="144"/>
      <c r="WO155" s="827"/>
      <c r="WP155" s="818"/>
      <c r="WQ155" s="818"/>
      <c r="WR155" s="818"/>
      <c r="WS155" s="818"/>
      <c r="WT155" s="818"/>
      <c r="WU155" s="818"/>
      <c r="WV155" s="818"/>
      <c r="WW155" s="818"/>
      <c r="WX155" s="818"/>
      <c r="WY155" s="818"/>
      <c r="WZ155" s="818"/>
      <c r="XA155" s="818"/>
      <c r="XB155" s="818"/>
      <c r="XC155" s="1172"/>
      <c r="XD155" s="1173"/>
      <c r="XE155" s="761"/>
      <c r="XF155" s="762"/>
      <c r="XG155" s="713"/>
      <c r="XH155" s="954"/>
      <c r="XI155" s="955"/>
      <c r="XJ155" s="747"/>
      <c r="XK155" s="144"/>
      <c r="XL155" s="144"/>
      <c r="XS155" s="144"/>
      <c r="XT155" s="144"/>
      <c r="XU155" s="144"/>
      <c r="XV155" s="144"/>
      <c r="XW155" s="144"/>
      <c r="XX155" s="144"/>
      <c r="XY155" s="144"/>
      <c r="AIM155" s="826"/>
      <c r="AIN155" s="700"/>
      <c r="AIO155" s="701"/>
      <c r="AIP155" s="701"/>
      <c r="AIQ155" s="701"/>
      <c r="AIR155" s="701"/>
      <c r="AIS155" s="701"/>
      <c r="AIT155" s="701"/>
      <c r="AIU155" s="701"/>
      <c r="AIV155" s="701"/>
      <c r="AIW155" s="701"/>
      <c r="AIX155" s="701"/>
      <c r="AIY155" s="701"/>
      <c r="AIZ155" s="701"/>
      <c r="AJA155" s="763"/>
      <c r="AJB155" s="764"/>
      <c r="AJC155" s="700"/>
      <c r="AJD155" s="701"/>
      <c r="AJE155" s="714"/>
      <c r="AJF155" s="740" t="s">
        <v>986</v>
      </c>
      <c r="AJG155" s="742"/>
      <c r="AJH155" s="746"/>
      <c r="AJI155" s="1066" t="s">
        <v>920</v>
      </c>
      <c r="AJJ155" s="1111"/>
      <c r="AJK155" s="1067"/>
    </row>
    <row r="156" spans="252:947" ht="48" customHeight="1" thickBot="1">
      <c r="IT156" s="202"/>
      <c r="IU156" s="665" t="s">
        <v>887</v>
      </c>
      <c r="IV156" s="667"/>
      <c r="IW156" s="202"/>
      <c r="IX156" s="685" t="s">
        <v>81</v>
      </c>
      <c r="IY156" s="686"/>
      <c r="IZ156" s="686"/>
      <c r="JA156" s="686"/>
      <c r="JB156" s="686"/>
      <c r="JC156" s="686"/>
      <c r="JD156" s="686"/>
      <c r="JE156" s="686"/>
      <c r="JF156" s="686"/>
      <c r="JG156" s="686"/>
      <c r="JH156" s="687"/>
      <c r="JI156" s="202"/>
      <c r="PE156" s="403"/>
      <c r="PF156" s="55"/>
      <c r="PG156" s="399"/>
      <c r="PH156" s="55"/>
      <c r="PI156" s="399"/>
      <c r="PJ156" s="827"/>
      <c r="PK156" s="706"/>
      <c r="PL156" s="707"/>
      <c r="PM156" s="707"/>
      <c r="PN156" s="707"/>
      <c r="PO156" s="707"/>
      <c r="PP156" s="707"/>
      <c r="PQ156" s="707"/>
      <c r="PR156" s="707"/>
      <c r="PS156" s="707"/>
      <c r="PT156" s="707"/>
      <c r="PU156" s="707"/>
      <c r="PV156" s="707"/>
      <c r="PW156" s="708"/>
      <c r="PX156" s="1195"/>
      <c r="PY156" s="1196"/>
      <c r="PZ156" s="851"/>
      <c r="QA156" s="852"/>
      <c r="QB156" s="1086"/>
      <c r="QC156" s="1084"/>
      <c r="QD156" s="1084"/>
      <c r="QE156" s="1084"/>
      <c r="QF156" s="1086"/>
      <c r="QG156" s="768"/>
      <c r="QH156" s="768"/>
      <c r="QI156" s="768"/>
      <c r="QJ156" s="768"/>
      <c r="QK156" s="768"/>
      <c r="QL156" s="768"/>
      <c r="QM156" s="768"/>
      <c r="QN156" s="399"/>
      <c r="QO156" s="55"/>
      <c r="QP156" s="400"/>
      <c r="QQ156" s="144"/>
      <c r="QR156" s="144"/>
      <c r="QS156" s="144"/>
      <c r="QT156" s="144"/>
      <c r="QU156" s="144"/>
      <c r="QV156" s="144"/>
      <c r="XK156" s="144"/>
      <c r="XL156" s="144"/>
      <c r="XS156" s="144"/>
      <c r="XT156" s="144"/>
      <c r="XU156" s="144"/>
      <c r="XV156" s="144"/>
      <c r="XW156" s="144"/>
      <c r="XX156" s="144"/>
      <c r="XY156" s="144"/>
      <c r="AIM156" s="827"/>
      <c r="AIN156" s="706"/>
      <c r="AIO156" s="707"/>
      <c r="AIP156" s="707"/>
      <c r="AIQ156" s="707"/>
      <c r="AIR156" s="707"/>
      <c r="AIS156" s="707"/>
      <c r="AIT156" s="707"/>
      <c r="AIU156" s="707"/>
      <c r="AIV156" s="707"/>
      <c r="AIW156" s="707"/>
      <c r="AIX156" s="707"/>
      <c r="AIY156" s="707"/>
      <c r="AIZ156" s="707"/>
      <c r="AJA156" s="765"/>
      <c r="AJB156" s="766"/>
      <c r="AJC156" s="706"/>
      <c r="AJD156" s="707"/>
      <c r="AJE156" s="715"/>
      <c r="AJF156" s="743"/>
      <c r="AJG156" s="745"/>
      <c r="AJH156" s="747"/>
      <c r="AJI156" s="1112"/>
      <c r="AJJ156" s="1113"/>
      <c r="AJK156" s="1114"/>
    </row>
    <row r="157" spans="252:947" ht="48" customHeight="1" thickBot="1">
      <c r="LZ157" s="825"/>
      <c r="MA157" s="147" t="s">
        <v>442</v>
      </c>
      <c r="MB157" s="148"/>
      <c r="MC157" s="370"/>
      <c r="MD157" s="87"/>
      <c r="ME157" s="87"/>
      <c r="MF157" s="87"/>
      <c r="MG157" s="87"/>
      <c r="MH157" s="87"/>
      <c r="MI157" s="87"/>
      <c r="MJ157" s="370"/>
      <c r="MK157" s="85" t="s">
        <v>467</v>
      </c>
      <c r="ML157" s="757" t="s">
        <v>461</v>
      </c>
      <c r="MM157" s="758"/>
      <c r="MN157" s="1130" t="s">
        <v>126</v>
      </c>
      <c r="MO157" s="1131"/>
      <c r="MP157" s="675" t="s">
        <v>731</v>
      </c>
      <c r="MQ157" s="676"/>
      <c r="MR157" s="821" t="s">
        <v>473</v>
      </c>
      <c r="MS157" s="822"/>
      <c r="MT157" s="822"/>
      <c r="MU157" s="822"/>
      <c r="MV157" s="823"/>
      <c r="MW157" s="821" t="s">
        <v>921</v>
      </c>
      <c r="MX157" s="822"/>
      <c r="MY157" s="823"/>
      <c r="NI157" s="144"/>
      <c r="PE157" s="403"/>
      <c r="PF157" s="55"/>
      <c r="PG157" s="399"/>
      <c r="PH157" s="55"/>
      <c r="PI157" s="399"/>
      <c r="PJ157" s="399"/>
      <c r="PK157" s="399"/>
      <c r="PL157" s="399"/>
      <c r="PM157" s="399"/>
      <c r="PN157" s="399"/>
      <c r="PO157" s="399"/>
      <c r="PP157" s="399"/>
      <c r="PQ157" s="399"/>
      <c r="PR157" s="399"/>
      <c r="PS157" s="399"/>
      <c r="PT157" s="399"/>
      <c r="PU157" s="399"/>
      <c r="PV157" s="399"/>
      <c r="PW157" s="399"/>
      <c r="PX157" s="399"/>
      <c r="PY157" s="399"/>
      <c r="PZ157" s="399"/>
      <c r="QA157" s="399"/>
      <c r="QB157" s="399"/>
      <c r="QC157" s="399"/>
      <c r="QD157" s="399"/>
      <c r="QE157" s="399"/>
      <c r="QF157" s="399"/>
      <c r="QG157" s="399"/>
      <c r="QH157" s="399"/>
      <c r="QI157" s="399"/>
      <c r="QJ157" s="399"/>
      <c r="QK157" s="399"/>
      <c r="QL157" s="399"/>
      <c r="QM157" s="399"/>
      <c r="QN157" s="399"/>
      <c r="QO157" s="55"/>
      <c r="QP157" s="400"/>
      <c r="QT157" s="144"/>
      <c r="QU157" s="144"/>
      <c r="QV157" s="144"/>
      <c r="WO157" s="825"/>
      <c r="WP157" s="147" t="s">
        <v>442</v>
      </c>
      <c r="WQ157" s="148"/>
      <c r="WR157" s="171"/>
      <c r="WS157" s="87"/>
      <c r="WT157" s="87"/>
      <c r="WU157" s="87"/>
      <c r="WV157" s="87"/>
      <c r="WW157" s="87"/>
      <c r="WX157" s="87"/>
      <c r="WY157" s="171"/>
      <c r="WZ157" s="85" t="s">
        <v>467</v>
      </c>
      <c r="XA157" s="757" t="s">
        <v>461</v>
      </c>
      <c r="XB157" s="758"/>
      <c r="XC157" s="819" t="s">
        <v>126</v>
      </c>
      <c r="XD157" s="820"/>
      <c r="XE157" s="675" t="s">
        <v>731</v>
      </c>
      <c r="XF157" s="676"/>
      <c r="XG157" s="821" t="s">
        <v>473</v>
      </c>
      <c r="XH157" s="822"/>
      <c r="XI157" s="822"/>
      <c r="XJ157" s="823"/>
      <c r="XK157" s="144"/>
      <c r="XL157" s="144"/>
      <c r="XT157" s="825"/>
      <c r="XU157" s="1324" t="s">
        <v>703</v>
      </c>
      <c r="XV157" s="1324"/>
      <c r="XW157" s="1082" t="s">
        <v>994</v>
      </c>
      <c r="XX157" s="1082"/>
      <c r="XY157" s="727" t="s">
        <v>1590</v>
      </c>
      <c r="XZ157" s="727"/>
      <c r="YA157" s="727"/>
      <c r="YB157" s="727"/>
      <c r="YC157" s="727"/>
      <c r="YD157" s="727"/>
      <c r="YE157" s="727"/>
      <c r="YF157" s="727"/>
      <c r="YG157" s="727"/>
      <c r="YH157" s="727"/>
      <c r="YI157" s="727"/>
      <c r="YJ157" s="727"/>
      <c r="YK157" s="727"/>
      <c r="YL157" s="727"/>
      <c r="YM157" s="825"/>
      <c r="YU157" s="144"/>
      <c r="YV157" s="144"/>
      <c r="YW157" s="144"/>
      <c r="YX157" s="144"/>
      <c r="YY157" s="144"/>
      <c r="YZ157" s="144"/>
      <c r="ZA157" s="144"/>
      <c r="ZB157" s="144"/>
      <c r="ZC157" s="144"/>
      <c r="ZD157" s="144"/>
      <c r="ZE157" s="144"/>
      <c r="AIO157" s="216"/>
      <c r="AIP157" s="665" t="s">
        <v>954</v>
      </c>
      <c r="AIQ157" s="667"/>
      <c r="AIR157" s="216"/>
      <c r="AIS157" s="728" t="s">
        <v>962</v>
      </c>
      <c r="AIT157" s="1053"/>
      <c r="AIU157" s="1053"/>
      <c r="AIV157" s="1053"/>
      <c r="AIW157" s="1053"/>
      <c r="AIX157" s="1053"/>
      <c r="AIY157" s="1053"/>
      <c r="AIZ157" s="1053"/>
      <c r="AJA157" s="1053"/>
      <c r="AJB157" s="1053"/>
      <c r="AJC157" s="1054"/>
      <c r="AJD157" s="216"/>
    </row>
    <row r="158" spans="252:947" ht="48" customHeight="1" thickBot="1">
      <c r="IR158" s="825"/>
      <c r="IS158" s="665" t="s">
        <v>442</v>
      </c>
      <c r="IT158" s="667"/>
      <c r="IU158" s="156"/>
      <c r="IV158" s="355" t="s">
        <v>863</v>
      </c>
      <c r="IW158" s="724">
        <f>$CM$32</f>
        <v>3</v>
      </c>
      <c r="IX158" s="724"/>
      <c r="IY158" s="343"/>
      <c r="IZ158" s="87"/>
      <c r="JA158" s="87"/>
      <c r="JB158" s="156"/>
      <c r="JC158" s="85" t="s">
        <v>467</v>
      </c>
      <c r="JD158" s="757" t="s">
        <v>461</v>
      </c>
      <c r="JE158" s="899"/>
      <c r="JF158" s="819" t="s">
        <v>126</v>
      </c>
      <c r="JG158" s="820"/>
      <c r="JH158" s="675" t="s">
        <v>731</v>
      </c>
      <c r="JI158" s="676"/>
      <c r="JJ158" s="821" t="s">
        <v>473</v>
      </c>
      <c r="JK158" s="822"/>
      <c r="JL158" s="822"/>
      <c r="JM158" s="823"/>
      <c r="JN158" s="769" t="s">
        <v>462</v>
      </c>
      <c r="JO158" s="769"/>
      <c r="JP158" s="769"/>
      <c r="JQ158" s="769"/>
      <c r="JR158" s="769"/>
      <c r="LZ158" s="826"/>
      <c r="MA158" s="371"/>
      <c r="MB158" s="739"/>
      <c r="MC158" s="739"/>
      <c r="MD158" s="701" t="s">
        <v>1394</v>
      </c>
      <c r="ME158" s="701"/>
      <c r="MF158" s="701"/>
      <c r="MG158" s="701"/>
      <c r="MH158" s="701"/>
      <c r="MI158" s="701"/>
      <c r="MJ158" s="701"/>
      <c r="MK158" s="701"/>
      <c r="ML158" s="701"/>
      <c r="MM158" s="702"/>
      <c r="MN158" s="763">
        <f>MN153</f>
        <v>0.20284070593606757</v>
      </c>
      <c r="MO158" s="764"/>
      <c r="MP158" s="849" t="s">
        <v>762</v>
      </c>
      <c r="MQ158" s="850"/>
      <c r="MR158" s="946"/>
      <c r="MS158" s="1166" t="s">
        <v>1440</v>
      </c>
      <c r="MT158" s="1167"/>
      <c r="MU158" s="1168"/>
      <c r="MV158" s="824"/>
      <c r="MW158" s="1066" t="s">
        <v>920</v>
      </c>
      <c r="MX158" s="1111"/>
      <c r="MY158" s="1067"/>
      <c r="NC158" s="816" t="s">
        <v>1410</v>
      </c>
      <c r="ND158" s="816"/>
      <c r="NE158" s="816" t="s">
        <v>1411</v>
      </c>
      <c r="NF158" s="816"/>
      <c r="NI158" s="144"/>
      <c r="PE158" s="403"/>
      <c r="PF158" s="55"/>
      <c r="PG158" s="399"/>
      <c r="PH158" s="55"/>
      <c r="PI158" s="399"/>
      <c r="PJ158" s="399"/>
      <c r="PK158" s="399"/>
      <c r="PL158" s="1000" t="s">
        <v>443</v>
      </c>
      <c r="PM158" s="1001"/>
      <c r="PN158" s="1001"/>
      <c r="PO158" s="1001"/>
      <c r="PP158" s="1002"/>
      <c r="PQ158" s="529" t="s">
        <v>428</v>
      </c>
      <c r="PR158" s="724">
        <f>$AW$16</f>
        <v>2</v>
      </c>
      <c r="PS158" s="724"/>
      <c r="PT158" s="399"/>
      <c r="PU158" s="399"/>
      <c r="PV158" s="399"/>
      <c r="PW158" s="399"/>
      <c r="PX158" s="399"/>
      <c r="PY158" s="399"/>
      <c r="PZ158" s="399"/>
      <c r="QA158" s="399"/>
      <c r="QB158" s="399"/>
      <c r="QC158" s="399"/>
      <c r="QD158" s="399"/>
      <c r="QE158" s="399"/>
      <c r="QF158" s="399"/>
      <c r="QG158" s="399"/>
      <c r="QH158" s="399"/>
      <c r="QI158" s="399"/>
      <c r="QJ158" s="399"/>
      <c r="QK158" s="399"/>
      <c r="QL158" s="399"/>
      <c r="QM158" s="399"/>
      <c r="QN158" s="399"/>
      <c r="QO158" s="55"/>
      <c r="QP158" s="400"/>
      <c r="QT158" s="144"/>
      <c r="QU158" s="144"/>
      <c r="QV158" s="144"/>
      <c r="WO158" s="826"/>
      <c r="WP158" s="816" t="s">
        <v>2</v>
      </c>
      <c r="WQ158" s="816"/>
      <c r="WR158" s="816"/>
      <c r="WS158" s="816"/>
      <c r="WT158" s="816"/>
      <c r="WU158" s="816"/>
      <c r="WV158" s="816"/>
      <c r="WW158" s="816"/>
      <c r="WX158" s="816"/>
      <c r="WY158" s="816"/>
      <c r="WZ158" s="816"/>
      <c r="XA158" s="816"/>
      <c r="XB158" s="816"/>
      <c r="XC158" s="1170">
        <f>'Вывод расчетов'!AQ6</f>
        <v>380</v>
      </c>
      <c r="XD158" s="1171"/>
      <c r="XE158" s="759" t="s">
        <v>5</v>
      </c>
      <c r="XF158" s="760"/>
      <c r="XG158" s="712"/>
      <c r="XH158" s="952" t="s">
        <v>1029</v>
      </c>
      <c r="XI158" s="953"/>
      <c r="XJ158" s="746"/>
      <c r="XK158" s="144"/>
      <c r="XL158" s="144"/>
      <c r="XT158" s="826"/>
      <c r="XU158" s="1324"/>
      <c r="XV158" s="1324"/>
      <c r="XW158" s="1082"/>
      <c r="XX158" s="1082"/>
      <c r="XY158" s="727"/>
      <c r="XZ158" s="727"/>
      <c r="YA158" s="727"/>
      <c r="YB158" s="727"/>
      <c r="YC158" s="727"/>
      <c r="YD158" s="727"/>
      <c r="YE158" s="727"/>
      <c r="YF158" s="727"/>
      <c r="YG158" s="727"/>
      <c r="YH158" s="727"/>
      <c r="YI158" s="727"/>
      <c r="YJ158" s="727"/>
      <c r="YK158" s="727"/>
      <c r="YL158" s="727"/>
      <c r="YM158" s="826"/>
      <c r="YU158" s="144"/>
      <c r="YV158" s="144"/>
      <c r="YW158" s="144"/>
      <c r="YX158" s="144"/>
      <c r="YY158" s="144"/>
      <c r="YZ158" s="144"/>
      <c r="ZA158" s="144"/>
      <c r="ZB158" s="144"/>
      <c r="ZC158" s="144"/>
      <c r="ZD158" s="144"/>
      <c r="ZE158" s="144"/>
      <c r="ZM158" s="144"/>
      <c r="ZN158" s="144"/>
      <c r="ZO158" s="144"/>
      <c r="ZP158" s="144"/>
      <c r="ZQ158" s="144"/>
      <c r="ZR158" s="144"/>
      <c r="ZS158" s="144"/>
      <c r="ZT158" s="144"/>
      <c r="ZU158" s="144"/>
      <c r="ZV158" s="144"/>
      <c r="ZW158" s="144"/>
      <c r="ZX158" s="144"/>
      <c r="ZY158" s="144"/>
      <c r="ZZ158" s="144"/>
      <c r="AAA158" s="144"/>
      <c r="AAB158" s="144"/>
      <c r="AAC158" s="144"/>
      <c r="AIM158" s="825"/>
      <c r="AIN158" s="665" t="s">
        <v>442</v>
      </c>
      <c r="AIO158" s="666"/>
      <c r="AIP158" s="156"/>
      <c r="AIQ158" s="87"/>
      <c r="AIR158" s="87"/>
      <c r="AIS158" s="87"/>
      <c r="AIT158" s="87"/>
      <c r="AIU158" s="87"/>
      <c r="AIV158" s="87"/>
      <c r="AIW158" s="156"/>
      <c r="AIX158" s="85" t="s">
        <v>467</v>
      </c>
      <c r="AIY158" s="757" t="s">
        <v>461</v>
      </c>
      <c r="AIZ158" s="758"/>
      <c r="AJA158" s="819" t="s">
        <v>126</v>
      </c>
      <c r="AJB158" s="820"/>
      <c r="AJC158" s="675" t="s">
        <v>731</v>
      </c>
      <c r="AJD158" s="676"/>
      <c r="AJE158" s="821" t="s">
        <v>473</v>
      </c>
      <c r="AJF158" s="822"/>
      <c r="AJG158" s="822"/>
      <c r="AJH158" s="823"/>
    </row>
    <row r="159" spans="252:947" ht="48" customHeight="1" thickBot="1">
      <c r="IR159" s="826"/>
      <c r="IS159" s="355" t="s">
        <v>474</v>
      </c>
      <c r="IT159" s="724">
        <f>$AW$12</f>
        <v>1</v>
      </c>
      <c r="IU159" s="724"/>
      <c r="IV159" s="355" t="s">
        <v>1178</v>
      </c>
      <c r="IW159" s="724">
        <f>$CL$68</f>
        <v>104.5</v>
      </c>
      <c r="IX159" s="724"/>
      <c r="IY159" s="700" t="s">
        <v>81</v>
      </c>
      <c r="IZ159" s="701"/>
      <c r="JA159" s="701"/>
      <c r="JB159" s="701"/>
      <c r="JC159" s="701"/>
      <c r="JD159" s="701"/>
      <c r="JE159" s="702"/>
      <c r="JF159" s="763">
        <f>((AW12*JF147)/(0.9*CM32*CL68*AZ69))</f>
        <v>10.982076761995994</v>
      </c>
      <c r="JG159" s="764"/>
      <c r="JH159" s="1203" t="s">
        <v>35</v>
      </c>
      <c r="JI159" s="1063"/>
      <c r="JJ159" s="714"/>
      <c r="JK159" s="740" t="s">
        <v>967</v>
      </c>
      <c r="JL159" s="742"/>
      <c r="JM159" s="746"/>
      <c r="JN159" s="767"/>
      <c r="JO159" s="767"/>
      <c r="JP159" s="767"/>
      <c r="JQ159" s="767"/>
      <c r="JR159" s="767"/>
      <c r="LZ159" s="827"/>
      <c r="MA159" s="372"/>
      <c r="MB159" s="828"/>
      <c r="MC159" s="828"/>
      <c r="MD159" s="707"/>
      <c r="ME159" s="707"/>
      <c r="MF159" s="707"/>
      <c r="MG159" s="707"/>
      <c r="MH159" s="707"/>
      <c r="MI159" s="707"/>
      <c r="MJ159" s="707"/>
      <c r="MK159" s="707"/>
      <c r="ML159" s="707"/>
      <c r="MM159" s="708"/>
      <c r="MN159" s="765"/>
      <c r="MO159" s="766"/>
      <c r="MP159" s="851"/>
      <c r="MQ159" s="852"/>
      <c r="MR159" s="715"/>
      <c r="MS159" s="743"/>
      <c r="MT159" s="744"/>
      <c r="MU159" s="745"/>
      <c r="MV159" s="747"/>
      <c r="MW159" s="1112"/>
      <c r="MX159" s="1113"/>
      <c r="MY159" s="1114"/>
      <c r="PE159" s="403"/>
      <c r="PF159" s="55"/>
      <c r="PG159" s="399"/>
      <c r="PH159" s="55"/>
      <c r="PI159" s="399"/>
      <c r="PJ159" s="825"/>
      <c r="PK159" s="695" t="s">
        <v>442</v>
      </c>
      <c r="PL159" s="695"/>
      <c r="PM159" s="528"/>
      <c r="PN159" s="87"/>
      <c r="PO159" s="87"/>
      <c r="PP159" s="87"/>
      <c r="PQ159" s="87"/>
      <c r="PR159" s="87"/>
      <c r="PS159" s="87"/>
      <c r="PT159" s="528"/>
      <c r="PU159" s="85" t="s">
        <v>467</v>
      </c>
      <c r="PV159" s="757" t="s">
        <v>461</v>
      </c>
      <c r="PW159" s="758"/>
      <c r="PX159" s="819" t="s">
        <v>126</v>
      </c>
      <c r="PY159" s="820"/>
      <c r="PZ159" s="675" t="s">
        <v>731</v>
      </c>
      <c r="QA159" s="676"/>
      <c r="QB159" s="769" t="s">
        <v>473</v>
      </c>
      <c r="QC159" s="769"/>
      <c r="QD159" s="769"/>
      <c r="QE159" s="769"/>
      <c r="QF159" s="769"/>
      <c r="QG159" s="821" t="s">
        <v>921</v>
      </c>
      <c r="QH159" s="822"/>
      <c r="QI159" s="823"/>
      <c r="QJ159" s="399"/>
      <c r="QK159" s="399"/>
      <c r="QL159" s="399"/>
      <c r="QM159" s="399"/>
      <c r="QN159" s="399"/>
      <c r="QO159" s="55"/>
      <c r="QP159" s="400"/>
      <c r="QT159" s="144"/>
      <c r="QU159" s="144"/>
      <c r="QV159" s="144"/>
      <c r="WO159" s="827"/>
      <c r="WP159" s="818"/>
      <c r="WQ159" s="818"/>
      <c r="WR159" s="818"/>
      <c r="WS159" s="818"/>
      <c r="WT159" s="818"/>
      <c r="WU159" s="818"/>
      <c r="WV159" s="818"/>
      <c r="WW159" s="818"/>
      <c r="WX159" s="818"/>
      <c r="WY159" s="818"/>
      <c r="WZ159" s="818"/>
      <c r="XA159" s="818"/>
      <c r="XB159" s="818"/>
      <c r="XC159" s="1172"/>
      <c r="XD159" s="1173"/>
      <c r="XE159" s="761"/>
      <c r="XF159" s="762"/>
      <c r="XG159" s="713"/>
      <c r="XH159" s="954"/>
      <c r="XI159" s="955"/>
      <c r="XJ159" s="747"/>
      <c r="XK159" s="144"/>
      <c r="XL159" s="144"/>
      <c r="XT159" s="1304"/>
      <c r="XU159" s="1324"/>
      <c r="XV159" s="1324"/>
      <c r="XW159" s="1082"/>
      <c r="XX159" s="1082"/>
      <c r="XY159" s="727"/>
      <c r="XZ159" s="727"/>
      <c r="YA159" s="727"/>
      <c r="YB159" s="727"/>
      <c r="YC159" s="727"/>
      <c r="YD159" s="727"/>
      <c r="YE159" s="727"/>
      <c r="YF159" s="727"/>
      <c r="YG159" s="727"/>
      <c r="YH159" s="727"/>
      <c r="YI159" s="727"/>
      <c r="YJ159" s="727"/>
      <c r="YK159" s="727"/>
      <c r="YL159" s="727"/>
      <c r="YM159" s="1304"/>
      <c r="YU159" s="144"/>
      <c r="YV159" s="144"/>
      <c r="YW159" s="144"/>
      <c r="YX159" s="144"/>
      <c r="YY159" s="144"/>
      <c r="YZ159" s="144"/>
      <c r="ZA159" s="144"/>
      <c r="ZB159" s="144"/>
      <c r="ZC159" s="144"/>
      <c r="ZD159" s="144"/>
      <c r="ZE159" s="144"/>
      <c r="ZM159" s="144"/>
      <c r="ZN159" s="144"/>
      <c r="ZO159" s="144"/>
      <c r="ZP159" s="144"/>
      <c r="ZQ159" s="144"/>
      <c r="ZR159" s="144"/>
      <c r="ZS159" s="144"/>
      <c r="ZT159" s="144"/>
      <c r="ZU159" s="144"/>
      <c r="ZV159" s="144"/>
      <c r="ZW159" s="144"/>
      <c r="ZX159" s="144"/>
      <c r="ZY159" s="144"/>
      <c r="ZZ159" s="144"/>
      <c r="AAA159" s="144"/>
      <c r="AAB159" s="144"/>
      <c r="AAC159" s="144"/>
      <c r="AIM159" s="826"/>
      <c r="AIN159" s="727" t="s">
        <v>166</v>
      </c>
      <c r="AIO159" s="727"/>
      <c r="AIP159" s="727"/>
      <c r="AIQ159" s="727"/>
      <c r="AIR159" s="727"/>
      <c r="AIS159" s="727"/>
      <c r="AIT159" s="727"/>
      <c r="AIU159" s="727"/>
      <c r="AIV159" s="727"/>
      <c r="AIW159" s="727"/>
      <c r="AIX159" s="727"/>
      <c r="AIY159" s="727"/>
      <c r="AIZ159" s="727"/>
      <c r="AJA159" s="763">
        <f>AJA123+AJA127</f>
        <v>8110.7821336829402</v>
      </c>
      <c r="AJB159" s="764"/>
      <c r="AJC159" s="1005"/>
      <c r="AJD159" s="1006"/>
      <c r="AJE159" s="712"/>
      <c r="AJF159" s="716" t="s">
        <v>442</v>
      </c>
      <c r="AJG159" s="717"/>
      <c r="AJH159" s="746"/>
    </row>
    <row r="160" spans="252:947" ht="48" customHeight="1" thickBot="1">
      <c r="IR160" s="827"/>
      <c r="IS160" s="346" t="s">
        <v>1288</v>
      </c>
      <c r="IT160" s="738">
        <f>$JF$147</f>
        <v>2943.6633104773114</v>
      </c>
      <c r="IU160" s="738"/>
      <c r="IV160" s="356" t="s">
        <v>1179</v>
      </c>
      <c r="IW160" s="883">
        <f>$CL$76</f>
        <v>0.95799999999999996</v>
      </c>
      <c r="IX160" s="883"/>
      <c r="IY160" s="706"/>
      <c r="IZ160" s="707"/>
      <c r="JA160" s="707"/>
      <c r="JB160" s="707"/>
      <c r="JC160" s="707"/>
      <c r="JD160" s="707"/>
      <c r="JE160" s="708"/>
      <c r="JF160" s="765"/>
      <c r="JG160" s="766"/>
      <c r="JH160" s="1204"/>
      <c r="JI160" s="1065"/>
      <c r="JJ160" s="715"/>
      <c r="JK160" s="743"/>
      <c r="JL160" s="745"/>
      <c r="JM160" s="747"/>
      <c r="JN160" s="768"/>
      <c r="JO160" s="768"/>
      <c r="JP160" s="768"/>
      <c r="JQ160" s="768"/>
      <c r="JR160" s="768"/>
      <c r="NC160" s="863" t="s">
        <v>1373</v>
      </c>
      <c r="ND160" s="863"/>
      <c r="NE160" s="756"/>
      <c r="NF160" s="756"/>
      <c r="PE160" s="403"/>
      <c r="PF160" s="55"/>
      <c r="PG160" s="399"/>
      <c r="PH160" s="55"/>
      <c r="PI160" s="409" t="s">
        <v>1429</v>
      </c>
      <c r="PJ160" s="826"/>
      <c r="PK160" s="700" t="s">
        <v>1692</v>
      </c>
      <c r="PL160" s="701"/>
      <c r="PM160" s="701"/>
      <c r="PN160" s="701"/>
      <c r="PO160" s="701"/>
      <c r="PP160" s="701"/>
      <c r="PQ160" s="701"/>
      <c r="PR160" s="701"/>
      <c r="PS160" s="701"/>
      <c r="PT160" s="701"/>
      <c r="PU160" s="701"/>
      <c r="PV160" s="701"/>
      <c r="PW160" s="702"/>
      <c r="PX160" s="763">
        <f>IF(PR158=2,PX151,
IF(OR(PR158 = 4,PR158 &gt; 4),PX155,PX151))</f>
        <v>1</v>
      </c>
      <c r="PY160" s="764"/>
      <c r="PZ160" s="1088"/>
      <c r="QA160" s="1006"/>
      <c r="QB160" s="1085"/>
      <c r="QC160" s="1083" t="s">
        <v>1685</v>
      </c>
      <c r="QD160" s="1083"/>
      <c r="QE160" s="1083"/>
      <c r="QF160" s="1085"/>
      <c r="QG160" s="1066" t="s">
        <v>920</v>
      </c>
      <c r="QH160" s="1111"/>
      <c r="QI160" s="1067"/>
      <c r="QJ160" s="409" t="s">
        <v>1429</v>
      </c>
      <c r="QK160" s="55"/>
      <c r="QL160" s="55"/>
      <c r="QM160" s="55"/>
      <c r="QN160" s="55"/>
      <c r="QO160" s="55"/>
      <c r="QP160" s="400"/>
      <c r="QT160" s="144"/>
      <c r="QU160" s="144"/>
      <c r="QV160" s="144"/>
      <c r="XK160" s="144"/>
      <c r="XL160" s="144"/>
      <c r="YU160" s="144"/>
      <c r="YV160" s="144"/>
      <c r="YW160" s="144"/>
      <c r="YX160" s="144"/>
      <c r="YY160" s="144"/>
      <c r="YZ160" s="144"/>
      <c r="ZA160" s="144"/>
      <c r="ZB160" s="144"/>
      <c r="ZC160" s="144"/>
      <c r="ZD160" s="144"/>
      <c r="ZE160" s="144"/>
      <c r="ZM160" s="144"/>
      <c r="ZN160" s="144"/>
      <c r="ZO160" s="144"/>
      <c r="ZP160" s="144"/>
      <c r="ZQ160" s="144"/>
      <c r="ZR160" s="144"/>
      <c r="ZS160" s="144"/>
      <c r="ZT160" s="144"/>
      <c r="ZU160" s="144"/>
      <c r="ZV160" s="144"/>
      <c r="ZW160" s="144"/>
      <c r="ZX160" s="144"/>
      <c r="ZY160" s="144"/>
      <c r="ZZ160" s="144"/>
      <c r="AAA160" s="144"/>
      <c r="AAB160" s="144"/>
      <c r="AAC160" s="144"/>
      <c r="AIM160" s="827"/>
      <c r="AIN160" s="729"/>
      <c r="AIO160" s="729"/>
      <c r="AIP160" s="729"/>
      <c r="AIQ160" s="729"/>
      <c r="AIR160" s="729"/>
      <c r="AIS160" s="729"/>
      <c r="AIT160" s="729"/>
      <c r="AIU160" s="729"/>
      <c r="AIV160" s="729"/>
      <c r="AIW160" s="729"/>
      <c r="AIX160" s="729"/>
      <c r="AIY160" s="729"/>
      <c r="AIZ160" s="729"/>
      <c r="AJA160" s="765"/>
      <c r="AJB160" s="766"/>
      <c r="AJC160" s="706"/>
      <c r="AJD160" s="708"/>
      <c r="AJE160" s="713"/>
      <c r="AJF160" s="718"/>
      <c r="AJG160" s="719"/>
      <c r="AJH160" s="747"/>
    </row>
    <row r="161" spans="249:962" ht="48" customHeight="1" thickBot="1">
      <c r="LZ161" s="902"/>
      <c r="MA161" s="904"/>
      <c r="MB161" s="939" t="s">
        <v>1381</v>
      </c>
      <c r="MC161" s="940"/>
      <c r="MD161" s="940"/>
      <c r="ME161" s="940"/>
      <c r="MF161" s="940"/>
      <c r="MG161" s="940"/>
      <c r="MH161" s="940"/>
      <c r="MI161" s="384" t="s">
        <v>1383</v>
      </c>
      <c r="MJ161" s="384" t="s">
        <v>1384</v>
      </c>
      <c r="MK161" s="384" t="s">
        <v>1385</v>
      </c>
      <c r="ML161" s="384" t="s">
        <v>1386</v>
      </c>
      <c r="MM161" s="384" t="s">
        <v>1387</v>
      </c>
      <c r="MN161" s="384" t="s">
        <v>1388</v>
      </c>
      <c r="MO161" s="1161" t="str">
        <f>MI161</f>
        <v>[А]</v>
      </c>
      <c r="MP161" s="1162"/>
      <c r="MQ161" s="902"/>
      <c r="MR161" s="903"/>
      <c r="MS161" s="903"/>
      <c r="MT161" s="903"/>
      <c r="MU161" s="903"/>
      <c r="MV161" s="903"/>
      <c r="MW161" s="903"/>
      <c r="MX161" s="903"/>
      <c r="MY161" s="903"/>
      <c r="MZ161" s="903"/>
      <c r="NA161" s="904"/>
      <c r="NC161" s="863" t="s">
        <v>1374</v>
      </c>
      <c r="ND161" s="863"/>
      <c r="NE161" s="756"/>
      <c r="NF161" s="756"/>
      <c r="NG161" s="144"/>
      <c r="NH161" s="144"/>
      <c r="PE161" s="403"/>
      <c r="PF161" s="55"/>
      <c r="PG161" s="399"/>
      <c r="PH161" s="399"/>
      <c r="PI161" s="399"/>
      <c r="PJ161" s="827"/>
      <c r="PK161" s="706"/>
      <c r="PL161" s="707"/>
      <c r="PM161" s="707"/>
      <c r="PN161" s="707"/>
      <c r="PO161" s="707"/>
      <c r="PP161" s="707"/>
      <c r="PQ161" s="707"/>
      <c r="PR161" s="707"/>
      <c r="PS161" s="707"/>
      <c r="PT161" s="707"/>
      <c r="PU161" s="707"/>
      <c r="PV161" s="707"/>
      <c r="PW161" s="708"/>
      <c r="PX161" s="765"/>
      <c r="PY161" s="766"/>
      <c r="PZ161" s="707"/>
      <c r="QA161" s="708"/>
      <c r="QB161" s="1086"/>
      <c r="QC161" s="1084"/>
      <c r="QD161" s="1084"/>
      <c r="QE161" s="1084"/>
      <c r="QF161" s="1086"/>
      <c r="QG161" s="1112"/>
      <c r="QH161" s="1113"/>
      <c r="QI161" s="1114"/>
      <c r="QJ161" s="399"/>
      <c r="QK161" s="399"/>
      <c r="QL161" s="399"/>
      <c r="QM161" s="399"/>
      <c r="QN161" s="399"/>
      <c r="QO161" s="399"/>
      <c r="QP161" s="400"/>
      <c r="QT161" s="144"/>
      <c r="QU161" s="144"/>
      <c r="QV161" s="144"/>
      <c r="WO161" s="825"/>
      <c r="WP161" s="147" t="s">
        <v>442</v>
      </c>
      <c r="WQ161" s="148"/>
      <c r="WR161" s="171"/>
      <c r="WS161" s="87"/>
      <c r="WT161" s="87"/>
      <c r="WU161" s="87"/>
      <c r="WV161" s="87"/>
      <c r="WW161" s="87"/>
      <c r="WX161" s="87"/>
      <c r="WY161" s="171"/>
      <c r="WZ161" s="85" t="s">
        <v>467</v>
      </c>
      <c r="XA161" s="757" t="s">
        <v>461</v>
      </c>
      <c r="XB161" s="899"/>
      <c r="XC161" s="1130" t="s">
        <v>126</v>
      </c>
      <c r="XD161" s="1131"/>
      <c r="XE161" s="675" t="s">
        <v>731</v>
      </c>
      <c r="XF161" s="676"/>
      <c r="XG161" s="821" t="s">
        <v>473</v>
      </c>
      <c r="XH161" s="822"/>
      <c r="XI161" s="822"/>
      <c r="XJ161" s="823"/>
      <c r="XK161" s="144"/>
      <c r="XL161" s="144"/>
      <c r="XO161" s="792" t="s">
        <v>1013</v>
      </c>
      <c r="XP161" s="793"/>
      <c r="XQ161" s="794"/>
      <c r="XR161" s="825"/>
      <c r="XS161" s="665" t="s">
        <v>442</v>
      </c>
      <c r="XT161" s="666"/>
      <c r="XU161" s="156"/>
      <c r="XV161" s="87"/>
      <c r="XW161" s="87"/>
      <c r="XX161" s="87"/>
      <c r="XY161" s="87"/>
      <c r="XZ161" s="87"/>
      <c r="YA161" s="87"/>
      <c r="YB161" s="156"/>
      <c r="YC161" s="85" t="s">
        <v>467</v>
      </c>
      <c r="YD161" s="757" t="s">
        <v>461</v>
      </c>
      <c r="YE161" s="758"/>
      <c r="YF161" s="819" t="s">
        <v>126</v>
      </c>
      <c r="YG161" s="820"/>
      <c r="YH161" s="675" t="s">
        <v>731</v>
      </c>
      <c r="YI161" s="676"/>
      <c r="YJ161" s="821" t="s">
        <v>473</v>
      </c>
      <c r="YK161" s="822"/>
      <c r="YL161" s="822"/>
      <c r="YM161" s="823"/>
      <c r="YU161" s="144"/>
      <c r="YV161" s="144"/>
      <c r="YW161" s="144"/>
      <c r="YX161" s="144"/>
      <c r="YY161" s="144"/>
      <c r="YZ161" s="144"/>
      <c r="ZA161" s="144"/>
      <c r="ZB161" s="144"/>
      <c r="ZC161" s="144"/>
      <c r="ZD161" s="144"/>
      <c r="ZE161" s="144"/>
      <c r="ZM161" s="144"/>
      <c r="ZN161" s="144"/>
      <c r="ZO161" s="144"/>
      <c r="ZP161" s="144"/>
      <c r="ZQ161" s="144"/>
      <c r="ZR161" s="144"/>
      <c r="ZS161" s="144"/>
      <c r="ZT161" s="144"/>
      <c r="ZU161" s="144"/>
      <c r="ZV161" s="144"/>
      <c r="ZW161" s="144"/>
      <c r="ZX161" s="144"/>
      <c r="ZY161" s="144"/>
      <c r="ZZ161" s="144"/>
      <c r="AAA161" s="144"/>
      <c r="AAB161" s="144"/>
      <c r="AAC161" s="144"/>
    </row>
    <row r="162" spans="249:962" ht="48" customHeight="1" thickBot="1">
      <c r="IT162" s="202"/>
      <c r="IU162" s="665" t="s">
        <v>888</v>
      </c>
      <c r="IV162" s="667"/>
      <c r="IW162" s="202"/>
      <c r="IX162" s="685" t="s">
        <v>891</v>
      </c>
      <c r="IY162" s="686"/>
      <c r="IZ162" s="686"/>
      <c r="JA162" s="686"/>
      <c r="JB162" s="686"/>
      <c r="JC162" s="686"/>
      <c r="JD162" s="686"/>
      <c r="JE162" s="686"/>
      <c r="JF162" s="686"/>
      <c r="JG162" s="686"/>
      <c r="JH162" s="687"/>
      <c r="JI162" s="202"/>
      <c r="LZ162" s="907"/>
      <c r="MA162" s="908"/>
      <c r="MB162" s="967"/>
      <c r="MC162" s="968"/>
      <c r="MD162" s="968"/>
      <c r="ME162" s="968"/>
      <c r="MF162" s="968"/>
      <c r="MG162" s="968"/>
      <c r="MH162" s="969"/>
      <c r="MI162" s="980" t="s">
        <v>1382</v>
      </c>
      <c r="MJ162" s="981"/>
      <c r="MK162" s="981"/>
      <c r="ML162" s="981"/>
      <c r="MM162" s="981"/>
      <c r="MN162" s="981"/>
      <c r="MO162" s="1163"/>
      <c r="MP162" s="1164"/>
      <c r="MQ162" s="907"/>
      <c r="MR162" s="901"/>
      <c r="MS162" s="901"/>
      <c r="MT162" s="901"/>
      <c r="MU162" s="901"/>
      <c r="MV162" s="901"/>
      <c r="MW162" s="901"/>
      <c r="MX162" s="901"/>
      <c r="MY162" s="901"/>
      <c r="MZ162" s="901"/>
      <c r="NA162" s="908"/>
      <c r="NB162" s="144"/>
      <c r="NC162" s="863" t="s">
        <v>1375</v>
      </c>
      <c r="ND162" s="863"/>
      <c r="NE162" s="756"/>
      <c r="NF162" s="756"/>
      <c r="NG162" s="144"/>
      <c r="NH162" s="144"/>
      <c r="PE162" s="403"/>
      <c r="PF162" s="55"/>
      <c r="PG162" s="399"/>
      <c r="PH162" s="399"/>
      <c r="PI162" s="399"/>
      <c r="PJ162" s="399"/>
      <c r="PK162" s="399"/>
      <c r="PL162" s="399"/>
      <c r="PM162" s="399"/>
      <c r="PN162" s="399"/>
      <c r="PO162" s="399"/>
      <c r="PP162" s="399"/>
      <c r="PQ162" s="399"/>
      <c r="PR162" s="399"/>
      <c r="PS162" s="399"/>
      <c r="PT162" s="399"/>
      <c r="PU162" s="399"/>
      <c r="PV162" s="399"/>
      <c r="PW162" s="399"/>
      <c r="PX162" s="399"/>
      <c r="PY162" s="399"/>
      <c r="PZ162" s="399"/>
      <c r="QA162" s="399"/>
      <c r="QB162" s="399"/>
      <c r="QC162" s="399"/>
      <c r="QD162" s="399"/>
      <c r="QE162" s="399"/>
      <c r="QF162" s="399"/>
      <c r="QG162" s="399"/>
      <c r="QH162" s="399"/>
      <c r="QI162" s="399"/>
      <c r="QJ162" s="399"/>
      <c r="QK162" s="399"/>
      <c r="QL162" s="399"/>
      <c r="QM162" s="399"/>
      <c r="QN162" s="399"/>
      <c r="QO162" s="399"/>
      <c r="QP162" s="400"/>
      <c r="WO162" s="826"/>
      <c r="WP162" s="700" t="s">
        <v>31</v>
      </c>
      <c r="WQ162" s="701"/>
      <c r="WR162" s="701"/>
      <c r="WS162" s="701"/>
      <c r="WT162" s="701"/>
      <c r="WU162" s="701"/>
      <c r="WV162" s="701"/>
      <c r="WW162" s="701"/>
      <c r="WX162" s="701"/>
      <c r="WY162" s="701"/>
      <c r="WZ162" s="701"/>
      <c r="XA162" s="701"/>
      <c r="XB162" s="909"/>
      <c r="XC162" s="1170">
        <f>'Вывод расчетов'!CL52</f>
        <v>32.488628979857047</v>
      </c>
      <c r="XD162" s="1171"/>
      <c r="XE162" s="1062" t="s">
        <v>35</v>
      </c>
      <c r="XF162" s="1063"/>
      <c r="XG162" s="714"/>
      <c r="XH162" s="952" t="s">
        <v>1028</v>
      </c>
      <c r="XI162" s="953"/>
      <c r="XJ162" s="746"/>
      <c r="XO162" s="795"/>
      <c r="XP162" s="796"/>
      <c r="XQ162" s="797"/>
      <c r="XR162" s="826"/>
      <c r="XS162" s="816" t="s">
        <v>1523</v>
      </c>
      <c r="XT162" s="816"/>
      <c r="XU162" s="816"/>
      <c r="XV162" s="816"/>
      <c r="XW162" s="816"/>
      <c r="XX162" s="816"/>
      <c r="XY162" s="816"/>
      <c r="XZ162" s="816"/>
      <c r="YA162" s="816"/>
      <c r="YB162" s="816"/>
      <c r="YC162" s="816"/>
      <c r="YD162" s="816"/>
      <c r="YE162" s="816"/>
      <c r="YF162" s="923">
        <v>1.02</v>
      </c>
      <c r="YG162" s="924"/>
      <c r="YH162" s="1005"/>
      <c r="YI162" s="1006"/>
      <c r="YJ162" s="712"/>
      <c r="YK162" s="952" t="s">
        <v>1557</v>
      </c>
      <c r="YL162" s="953"/>
      <c r="YM162" s="746"/>
      <c r="ZM162" s="144"/>
      <c r="ZN162" s="144"/>
      <c r="ZO162" s="144"/>
      <c r="ZP162" s="144"/>
      <c r="ZQ162" s="144"/>
      <c r="ZR162" s="144"/>
      <c r="ZS162" s="144"/>
      <c r="ZT162" s="144"/>
      <c r="ZU162" s="144"/>
      <c r="ZV162" s="144"/>
      <c r="ZW162" s="144"/>
      <c r="ZX162" s="144"/>
      <c r="ZY162" s="144"/>
      <c r="ZZ162" s="144"/>
      <c r="AAA162" s="144"/>
      <c r="AAB162" s="144"/>
      <c r="AAC162" s="144"/>
      <c r="AIN162" s="767"/>
      <c r="AIO162" s="695" t="s">
        <v>955</v>
      </c>
      <c r="AIP162" s="695"/>
      <c r="AIQ162" s="767"/>
      <c r="AIR162" s="727" t="s">
        <v>963</v>
      </c>
      <c r="AIS162" s="727"/>
      <c r="AIT162" s="727"/>
      <c r="AIU162" s="727"/>
      <c r="AIV162" s="727"/>
      <c r="AIW162" s="727"/>
      <c r="AIX162" s="727"/>
      <c r="AIY162" s="727"/>
      <c r="AIZ162" s="727"/>
      <c r="AJA162" s="727"/>
      <c r="AJB162" s="727"/>
      <c r="AJC162" s="767"/>
    </row>
    <row r="163" spans="249:962" ht="48" customHeight="1" thickBot="1">
      <c r="LZ163" s="792" t="s">
        <v>1078</v>
      </c>
      <c r="MA163" s="793"/>
      <c r="MB163" s="794"/>
      <c r="MC163" s="214" t="s">
        <v>899</v>
      </c>
      <c r="MD163" s="147" t="s">
        <v>442</v>
      </c>
      <c r="ME163" s="148"/>
      <c r="MF163" s="370"/>
      <c r="MG163" s="87"/>
      <c r="MH163" s="87"/>
      <c r="MI163" s="87"/>
      <c r="MJ163" s="87"/>
      <c r="MK163" s="87"/>
      <c r="ML163" s="87"/>
      <c r="MM163" s="370"/>
      <c r="MN163" s="85" t="s">
        <v>467</v>
      </c>
      <c r="MO163" s="757" t="s">
        <v>461</v>
      </c>
      <c r="MP163" s="758"/>
      <c r="MQ163" s="819" t="s">
        <v>126</v>
      </c>
      <c r="MR163" s="820"/>
      <c r="MS163" s="675" t="s">
        <v>731</v>
      </c>
      <c r="MT163" s="676"/>
      <c r="MU163" s="821" t="s">
        <v>473</v>
      </c>
      <c r="MV163" s="822"/>
      <c r="MW163" s="822"/>
      <c r="MX163" s="823"/>
      <c r="MY163" s="821" t="s">
        <v>462</v>
      </c>
      <c r="MZ163" s="822"/>
      <c r="NA163" s="823"/>
      <c r="NB163" s="144"/>
      <c r="NC163" s="144"/>
      <c r="ND163" s="144"/>
      <c r="NE163" s="144"/>
      <c r="PE163" s="403"/>
      <c r="PF163" s="55"/>
      <c r="PG163" s="399"/>
      <c r="PH163" s="399"/>
      <c r="PI163" s="399"/>
      <c r="PJ163" s="399"/>
      <c r="PK163" s="399"/>
      <c r="PL163" s="1000" t="s">
        <v>965</v>
      </c>
      <c r="PM163" s="1001"/>
      <c r="PN163" s="1001"/>
      <c r="PO163" s="1002"/>
      <c r="PP163" s="1515" t="str">
        <f>$Q$47</f>
        <v>IP44</v>
      </c>
      <c r="PQ163" s="1516"/>
      <c r="PR163" s="521" t="s">
        <v>994</v>
      </c>
      <c r="PS163" s="1642" t="str">
        <f>IF(PP163="IP44","Расчет для машины степени защиты IP44",
IF(PP163="IP23","Расчет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T163" s="1643"/>
      <c r="PU163" s="1643"/>
      <c r="PV163" s="1643"/>
      <c r="PW163" s="1643"/>
      <c r="PX163" s="1643"/>
      <c r="PY163" s="1643"/>
      <c r="PZ163" s="1643"/>
      <c r="QA163" s="1643"/>
      <c r="QB163" s="1643"/>
      <c r="QC163" s="1643"/>
      <c r="QD163" s="1643"/>
      <c r="QE163" s="1644"/>
      <c r="QF163" s="399"/>
      <c r="QG163" s="399"/>
      <c r="QH163" s="399"/>
      <c r="QI163" s="399"/>
      <c r="QJ163" s="399"/>
      <c r="QK163" s="399"/>
      <c r="QL163" s="399"/>
      <c r="QM163" s="399"/>
      <c r="QN163" s="399"/>
      <c r="QO163" s="399"/>
      <c r="QP163" s="400"/>
      <c r="WO163" s="827"/>
      <c r="WP163" s="706"/>
      <c r="WQ163" s="707"/>
      <c r="WR163" s="707"/>
      <c r="WS163" s="707"/>
      <c r="WT163" s="707"/>
      <c r="WU163" s="707"/>
      <c r="WV163" s="707"/>
      <c r="WW163" s="707"/>
      <c r="WX163" s="707"/>
      <c r="WY163" s="707"/>
      <c r="WZ163" s="707"/>
      <c r="XA163" s="707"/>
      <c r="XB163" s="1165"/>
      <c r="XC163" s="1172"/>
      <c r="XD163" s="1173"/>
      <c r="XE163" s="1064"/>
      <c r="XF163" s="1065"/>
      <c r="XG163" s="715"/>
      <c r="XH163" s="954"/>
      <c r="XI163" s="955"/>
      <c r="XJ163" s="747"/>
      <c r="XO163" s="798"/>
      <c r="XP163" s="799"/>
      <c r="XQ163" s="800"/>
      <c r="XR163" s="827"/>
      <c r="XS163" s="818"/>
      <c r="XT163" s="818"/>
      <c r="XU163" s="818"/>
      <c r="XV163" s="818"/>
      <c r="XW163" s="818"/>
      <c r="XX163" s="818"/>
      <c r="XY163" s="818"/>
      <c r="XZ163" s="818"/>
      <c r="YA163" s="818"/>
      <c r="YB163" s="818"/>
      <c r="YC163" s="818"/>
      <c r="YD163" s="818"/>
      <c r="YE163" s="818"/>
      <c r="YF163" s="925"/>
      <c r="YG163" s="926"/>
      <c r="YH163" s="706"/>
      <c r="YI163" s="708"/>
      <c r="YJ163" s="713"/>
      <c r="YK163" s="954"/>
      <c r="YL163" s="955"/>
      <c r="YM163" s="747"/>
      <c r="ZM163" s="144"/>
      <c r="ZN163" s="144"/>
      <c r="ZO163" s="144"/>
      <c r="ZP163" s="144"/>
      <c r="ZQ163" s="144"/>
      <c r="ZR163" s="144"/>
      <c r="ZS163" s="144"/>
      <c r="ZT163" s="144"/>
      <c r="ZU163" s="144"/>
      <c r="ZV163" s="144"/>
      <c r="ZW163" s="144"/>
      <c r="ZX163" s="144"/>
      <c r="ZY163" s="144"/>
      <c r="ZZ163" s="144"/>
      <c r="AAA163" s="144"/>
      <c r="AAB163" s="144"/>
      <c r="AAC163" s="144"/>
      <c r="AIN163" s="767"/>
      <c r="AIO163" s="695"/>
      <c r="AIP163" s="695"/>
      <c r="AIQ163" s="767"/>
      <c r="AIR163" s="727"/>
      <c r="AIS163" s="727"/>
      <c r="AIT163" s="727"/>
      <c r="AIU163" s="727"/>
      <c r="AIV163" s="727"/>
      <c r="AIW163" s="727"/>
      <c r="AIX163" s="727"/>
      <c r="AIY163" s="727"/>
      <c r="AIZ163" s="727"/>
      <c r="AJA163" s="727"/>
      <c r="AJB163" s="727"/>
      <c r="AJC163" s="767"/>
    </row>
    <row r="164" spans="249:962" ht="48" customHeight="1" thickBot="1">
      <c r="IR164" s="825"/>
      <c r="IS164" s="665" t="s">
        <v>442</v>
      </c>
      <c r="IT164" s="667"/>
      <c r="IU164" s="165"/>
      <c r="IV164" s="344" t="s">
        <v>1301</v>
      </c>
      <c r="IW164" s="677">
        <f>$JF$159</f>
        <v>10.982076761995994</v>
      </c>
      <c r="IX164" s="677"/>
      <c r="IY164" s="344" t="s">
        <v>1189</v>
      </c>
      <c r="IZ164" s="677">
        <f>$CL$52</f>
        <v>32.488628979857047</v>
      </c>
      <c r="JA164" s="677"/>
      <c r="JB164" s="165"/>
      <c r="JC164" s="85" t="s">
        <v>467</v>
      </c>
      <c r="JD164" s="757" t="s">
        <v>461</v>
      </c>
      <c r="JE164" s="899"/>
      <c r="JF164" s="819" t="s">
        <v>126</v>
      </c>
      <c r="JG164" s="820"/>
      <c r="JH164" s="675" t="s">
        <v>731</v>
      </c>
      <c r="JI164" s="676"/>
      <c r="JJ164" s="821" t="s">
        <v>473</v>
      </c>
      <c r="JK164" s="822"/>
      <c r="JL164" s="822"/>
      <c r="JM164" s="823"/>
      <c r="JN164" s="769" t="s">
        <v>462</v>
      </c>
      <c r="JO164" s="769"/>
      <c r="JP164" s="769"/>
      <c r="JQ164" s="769"/>
      <c r="LZ164" s="795"/>
      <c r="MA164" s="796"/>
      <c r="MB164" s="797"/>
      <c r="MC164" s="825"/>
      <c r="MD164" s="939" t="s">
        <v>1443</v>
      </c>
      <c r="ME164" s="940"/>
      <c r="MF164" s="940"/>
      <c r="MG164" s="940"/>
      <c r="MH164" s="940"/>
      <c r="MI164" s="940"/>
      <c r="MJ164" s="940"/>
      <c r="MK164" s="940"/>
      <c r="ML164" s="940"/>
      <c r="MM164" s="940"/>
      <c r="MN164" s="940"/>
      <c r="MO164" s="940"/>
      <c r="MP164" s="1003"/>
      <c r="MQ164" s="763">
        <f>1.42</f>
        <v>1.42</v>
      </c>
      <c r="MR164" s="764"/>
      <c r="MS164" s="849" t="s">
        <v>762</v>
      </c>
      <c r="MT164" s="850"/>
      <c r="MU164" s="714"/>
      <c r="MV164" s="740" t="s">
        <v>1401</v>
      </c>
      <c r="MW164" s="742"/>
      <c r="MX164" s="746"/>
      <c r="MY164" s="1066" t="s">
        <v>1389</v>
      </c>
      <c r="MZ164" s="1111"/>
      <c r="NA164" s="1067"/>
      <c r="NB164" s="144"/>
      <c r="NC164" s="414" t="s">
        <v>451</v>
      </c>
      <c r="ND164" s="739">
        <f>$MQ$111</f>
        <v>0.33333333333333331</v>
      </c>
      <c r="NE164" s="739"/>
      <c r="NF164" s="144"/>
      <c r="NG164" s="144"/>
      <c r="NH164" s="144"/>
      <c r="NI164" s="144"/>
      <c r="PE164" s="403"/>
      <c r="PF164" s="55"/>
      <c r="PG164" s="399"/>
      <c r="PH164" s="399"/>
      <c r="PI164" s="399"/>
      <c r="PJ164" s="825"/>
      <c r="PK164" s="695" t="s">
        <v>442</v>
      </c>
      <c r="PL164" s="695"/>
      <c r="PM164" s="528"/>
      <c r="PN164" s="87"/>
      <c r="PO164" s="87"/>
      <c r="PP164" s="87"/>
      <c r="PQ164" s="87"/>
      <c r="PR164" s="87"/>
      <c r="PS164" s="514"/>
      <c r="PT164" s="532"/>
      <c r="PU164" s="520" t="s">
        <v>467</v>
      </c>
      <c r="PV164" s="1459" t="s">
        <v>461</v>
      </c>
      <c r="PW164" s="1645"/>
      <c r="PX164" s="1348" t="s">
        <v>126</v>
      </c>
      <c r="PY164" s="1349"/>
      <c r="PZ164" s="971" t="s">
        <v>731</v>
      </c>
      <c r="QA164" s="972"/>
      <c r="QB164" s="1350" t="s">
        <v>473</v>
      </c>
      <c r="QC164" s="1631"/>
      <c r="QD164" s="1631"/>
      <c r="QE164" s="1632"/>
      <c r="QF164" s="821" t="s">
        <v>921</v>
      </c>
      <c r="QG164" s="822"/>
      <c r="QH164" s="823"/>
      <c r="QI164" s="399"/>
      <c r="QJ164" s="399"/>
      <c r="QK164" s="399"/>
      <c r="QL164" s="399"/>
      <c r="QM164" s="399"/>
      <c r="QN164" s="399"/>
      <c r="QO164" s="399"/>
      <c r="QP164" s="400"/>
      <c r="ZM164" s="144"/>
      <c r="ZN164" s="144"/>
      <c r="ZO164" s="144"/>
      <c r="ZP164" s="144"/>
      <c r="ZQ164" s="144"/>
      <c r="ZR164" s="144"/>
      <c r="ZS164" s="144"/>
      <c r="ZT164" s="144"/>
      <c r="ZU164" s="144"/>
      <c r="ZV164" s="144"/>
      <c r="ZW164" s="144"/>
      <c r="ZX164" s="144"/>
      <c r="ZY164" s="144"/>
      <c r="ZZ164" s="144"/>
      <c r="AAA164" s="144"/>
      <c r="AAB164" s="144"/>
      <c r="AAC164" s="144"/>
    </row>
    <row r="165" spans="249:962" ht="48" customHeight="1" thickBot="1">
      <c r="IR165" s="826"/>
      <c r="IS165" s="939" t="s">
        <v>1302</v>
      </c>
      <c r="IT165" s="940"/>
      <c r="IU165" s="940"/>
      <c r="IV165" s="940"/>
      <c r="IW165" s="940"/>
      <c r="IX165" s="940"/>
      <c r="IY165" s="940"/>
      <c r="IZ165" s="940"/>
      <c r="JA165" s="940"/>
      <c r="JB165" s="940"/>
      <c r="JC165" s="940"/>
      <c r="JD165" s="940"/>
      <c r="JE165" s="1003"/>
      <c r="JF165" s="763">
        <f>JF159/CL52</f>
        <v>0.33802832273423672</v>
      </c>
      <c r="JG165" s="764"/>
      <c r="JH165" s="849" t="s">
        <v>762</v>
      </c>
      <c r="JI165" s="850"/>
      <c r="JJ165" s="714"/>
      <c r="JK165" s="740" t="s">
        <v>967</v>
      </c>
      <c r="JL165" s="742"/>
      <c r="JM165" s="746"/>
      <c r="JN165" s="767"/>
      <c r="JO165" s="767"/>
      <c r="JP165" s="767"/>
      <c r="JQ165" s="767"/>
      <c r="LZ165" s="798"/>
      <c r="MA165" s="799"/>
      <c r="MB165" s="800"/>
      <c r="MC165" s="827"/>
      <c r="MD165" s="943"/>
      <c r="ME165" s="944"/>
      <c r="MF165" s="944"/>
      <c r="MG165" s="944"/>
      <c r="MH165" s="944"/>
      <c r="MI165" s="944"/>
      <c r="MJ165" s="944"/>
      <c r="MK165" s="944"/>
      <c r="ML165" s="944"/>
      <c r="MM165" s="944"/>
      <c r="MN165" s="944"/>
      <c r="MO165" s="944"/>
      <c r="MP165" s="1004"/>
      <c r="MQ165" s="765"/>
      <c r="MR165" s="766"/>
      <c r="MS165" s="851"/>
      <c r="MT165" s="852"/>
      <c r="MU165" s="715"/>
      <c r="MV165" s="743"/>
      <c r="MW165" s="745"/>
      <c r="MX165" s="747"/>
      <c r="MY165" s="1112"/>
      <c r="MZ165" s="1113"/>
      <c r="NA165" s="1114"/>
      <c r="NB165" s="144"/>
      <c r="NC165" s="418" t="s">
        <v>1129</v>
      </c>
      <c r="ND165" s="843">
        <f>$GT$32</f>
        <v>9.0185672413793123E-3</v>
      </c>
      <c r="NE165" s="843"/>
      <c r="NF165" s="144"/>
      <c r="NG165" s="144"/>
      <c r="NH165" s="144"/>
      <c r="NI165" s="144"/>
      <c r="PE165" s="403"/>
      <c r="PF165" s="55"/>
      <c r="PG165" s="55"/>
      <c r="PH165" s="55"/>
      <c r="PI165" s="409" t="s">
        <v>1429</v>
      </c>
      <c r="PJ165" s="826"/>
      <c r="PK165" s="700" t="s">
        <v>1669</v>
      </c>
      <c r="PL165" s="701"/>
      <c r="PM165" s="701"/>
      <c r="PN165" s="701"/>
      <c r="PO165" s="701"/>
      <c r="PP165" s="701"/>
      <c r="PQ165" s="701"/>
      <c r="PR165" s="701"/>
      <c r="PS165" s="701"/>
      <c r="PT165" s="701"/>
      <c r="PU165" s="701"/>
      <c r="PV165" s="701"/>
      <c r="PW165" s="702"/>
      <c r="PX165" s="748">
        <f>IF(PP163 ="IP44",PX146,
IF(PP163 = "IP23",PX135,PX146))</f>
        <v>863.8132464900001</v>
      </c>
      <c r="PY165" s="749"/>
      <c r="PZ165" s="1088"/>
      <c r="QA165" s="1006"/>
      <c r="QB165" s="714"/>
      <c r="QC165" s="952" t="s">
        <v>1676</v>
      </c>
      <c r="QD165" s="953"/>
      <c r="QE165" s="746"/>
      <c r="QF165" s="1066" t="s">
        <v>920</v>
      </c>
      <c r="QG165" s="1111"/>
      <c r="QH165" s="1067"/>
      <c r="QI165" s="399"/>
      <c r="QJ165" s="399"/>
      <c r="QK165" s="399"/>
      <c r="QL165" s="399"/>
      <c r="QM165" s="399"/>
      <c r="QN165" s="399"/>
      <c r="QO165" s="399"/>
      <c r="QP165" s="400"/>
      <c r="WO165" s="825"/>
      <c r="WP165" s="147" t="s">
        <v>442</v>
      </c>
      <c r="WQ165" s="148"/>
      <c r="WR165" s="171"/>
      <c r="WS165" s="87"/>
      <c r="WT165" s="87"/>
      <c r="WU165" s="87"/>
      <c r="WV165" s="87"/>
      <c r="WW165" s="87"/>
      <c r="WX165" s="87"/>
      <c r="WY165" s="171"/>
      <c r="WZ165" s="85" t="s">
        <v>467</v>
      </c>
      <c r="XA165" s="757" t="s">
        <v>461</v>
      </c>
      <c r="XB165" s="899"/>
      <c r="XC165" s="1130" t="s">
        <v>126</v>
      </c>
      <c r="XD165" s="1131"/>
      <c r="XE165" s="675" t="s">
        <v>731</v>
      </c>
      <c r="XF165" s="676"/>
      <c r="XG165" s="821" t="s">
        <v>473</v>
      </c>
      <c r="XH165" s="822"/>
      <c r="XI165" s="822"/>
      <c r="XJ165" s="823"/>
      <c r="XQ165" s="216"/>
      <c r="XR165" s="665" t="s">
        <v>935</v>
      </c>
      <c r="XS165" s="667"/>
      <c r="XT165" s="216"/>
      <c r="XU165" s="685" t="s">
        <v>150</v>
      </c>
      <c r="XV165" s="686"/>
      <c r="XW165" s="686"/>
      <c r="XX165" s="686"/>
      <c r="XY165" s="686"/>
      <c r="XZ165" s="686"/>
      <c r="YA165" s="686"/>
      <c r="YB165" s="686"/>
      <c r="YC165" s="686"/>
      <c r="YD165" s="686"/>
      <c r="YE165" s="687"/>
      <c r="YF165" s="216"/>
      <c r="YV165" s="144"/>
      <c r="YW165" s="144"/>
      <c r="YX165" s="144"/>
      <c r="YY165" s="144"/>
      <c r="YZ165" s="144"/>
      <c r="ZM165" s="144"/>
      <c r="ZN165" s="144"/>
      <c r="ZO165" s="144"/>
      <c r="ZP165" s="144"/>
      <c r="ZQ165" s="144"/>
      <c r="ZR165" s="144"/>
      <c r="ZS165" s="144"/>
      <c r="ZT165" s="144"/>
      <c r="ZU165" s="144"/>
      <c r="ZV165" s="144"/>
      <c r="ZW165" s="144"/>
      <c r="ZX165" s="144"/>
      <c r="ZY165" s="144"/>
      <c r="ZZ165" s="144"/>
      <c r="AAA165" s="144"/>
      <c r="AAB165" s="144"/>
      <c r="AAC165" s="144"/>
      <c r="AAO165" s="144"/>
      <c r="AIM165" s="214" t="s">
        <v>899</v>
      </c>
      <c r="AIN165" s="665" t="s">
        <v>442</v>
      </c>
      <c r="AIO165" s="666"/>
      <c r="AIP165" s="156"/>
      <c r="AIQ165" s="87"/>
      <c r="AIR165" s="87"/>
      <c r="AIS165" s="87"/>
      <c r="AIT165" s="87"/>
      <c r="AIU165" s="87"/>
      <c r="AIV165" s="87"/>
      <c r="AIW165" s="156"/>
      <c r="AIX165" s="85" t="s">
        <v>467</v>
      </c>
      <c r="AIY165" s="757" t="s">
        <v>461</v>
      </c>
      <c r="AIZ165" s="758"/>
      <c r="AJA165" s="819" t="s">
        <v>126</v>
      </c>
      <c r="AJB165" s="820"/>
      <c r="AJC165" s="675" t="s">
        <v>731</v>
      </c>
      <c r="AJD165" s="676"/>
      <c r="AJE165" s="821" t="s">
        <v>473</v>
      </c>
      <c r="AJF165" s="822"/>
      <c r="AJG165" s="822"/>
      <c r="AJH165" s="823"/>
    </row>
    <row r="166" spans="249:962" ht="48" customHeight="1" thickBot="1">
      <c r="IO166" s="144"/>
      <c r="IP166" s="144"/>
      <c r="IQ166" s="144"/>
      <c r="IR166" s="826"/>
      <c r="IS166" s="941"/>
      <c r="IT166" s="942"/>
      <c r="IU166" s="942"/>
      <c r="IV166" s="942"/>
      <c r="IW166" s="942"/>
      <c r="IX166" s="942"/>
      <c r="IY166" s="942"/>
      <c r="IZ166" s="942"/>
      <c r="JA166" s="942"/>
      <c r="JB166" s="942"/>
      <c r="JC166" s="942"/>
      <c r="JD166" s="942"/>
      <c r="JE166" s="1011"/>
      <c r="JF166" s="765"/>
      <c r="JG166" s="766"/>
      <c r="JH166" s="851"/>
      <c r="JI166" s="852"/>
      <c r="JJ166" s="715"/>
      <c r="JK166" s="743"/>
      <c r="JL166" s="745"/>
      <c r="JM166" s="747"/>
      <c r="JN166" s="767"/>
      <c r="JO166" s="767"/>
      <c r="JP166" s="767"/>
      <c r="JQ166" s="767"/>
      <c r="MZ166" s="144"/>
      <c r="NA166" s="144"/>
      <c r="NH166" s="144"/>
      <c r="PE166" s="403"/>
      <c r="PF166" s="399"/>
      <c r="PG166" s="399"/>
      <c r="PH166" s="399"/>
      <c r="PI166" s="399"/>
      <c r="PJ166" s="827"/>
      <c r="PK166" s="706"/>
      <c r="PL166" s="707"/>
      <c r="PM166" s="707"/>
      <c r="PN166" s="707"/>
      <c r="PO166" s="707"/>
      <c r="PP166" s="707"/>
      <c r="PQ166" s="707"/>
      <c r="PR166" s="707"/>
      <c r="PS166" s="707"/>
      <c r="PT166" s="707"/>
      <c r="PU166" s="707"/>
      <c r="PV166" s="707"/>
      <c r="PW166" s="708"/>
      <c r="PX166" s="750"/>
      <c r="PY166" s="751"/>
      <c r="PZ166" s="707"/>
      <c r="QA166" s="708"/>
      <c r="QB166" s="715"/>
      <c r="QC166" s="954"/>
      <c r="QD166" s="955"/>
      <c r="QE166" s="747"/>
      <c r="QF166" s="1112"/>
      <c r="QG166" s="1113"/>
      <c r="QH166" s="1114"/>
      <c r="QI166" s="399"/>
      <c r="QJ166" s="399"/>
      <c r="QK166" s="399"/>
      <c r="QL166" s="399"/>
      <c r="QM166" s="399"/>
      <c r="QN166" s="399"/>
      <c r="QO166" s="399"/>
      <c r="QP166" s="400"/>
      <c r="WO166" s="826"/>
      <c r="WP166" s="700"/>
      <c r="WQ166" s="701"/>
      <c r="WR166" s="701"/>
      <c r="WS166" s="701"/>
      <c r="WT166" s="701"/>
      <c r="WU166" s="701"/>
      <c r="WV166" s="701"/>
      <c r="WW166" s="701"/>
      <c r="WX166" s="701"/>
      <c r="WY166" s="701"/>
      <c r="WZ166" s="701"/>
      <c r="XA166" s="701"/>
      <c r="XB166" s="909"/>
      <c r="XC166" s="1292">
        <f>MN53</f>
        <v>1.5863533374848467E-2</v>
      </c>
      <c r="XD166" s="1293"/>
      <c r="XE166" s="1062" t="s">
        <v>415</v>
      </c>
      <c r="XF166" s="1063"/>
      <c r="XG166" s="714"/>
      <c r="XH166" s="740" t="s">
        <v>903</v>
      </c>
      <c r="XI166" s="742"/>
      <c r="XJ166" s="746"/>
      <c r="YV166" s="144"/>
      <c r="YW166" s="144"/>
      <c r="YX166" s="144"/>
      <c r="YY166" s="144"/>
      <c r="YZ166" s="144"/>
      <c r="ZM166" s="144"/>
      <c r="ZN166" s="144"/>
      <c r="ZO166" s="144"/>
      <c r="ZP166" s="144"/>
      <c r="ZQ166" s="144"/>
      <c r="ZR166" s="144"/>
      <c r="ZS166" s="144"/>
      <c r="ZT166" s="144"/>
      <c r="ZU166" s="144"/>
      <c r="ZV166" s="144"/>
      <c r="ZW166" s="144"/>
      <c r="ZX166" s="144"/>
      <c r="ZY166" s="144"/>
      <c r="ZZ166" s="144"/>
      <c r="AAA166" s="144"/>
      <c r="AAB166" s="144"/>
      <c r="AAC166" s="144"/>
      <c r="AIM166" s="825"/>
      <c r="AIN166" s="727" t="s">
        <v>1015</v>
      </c>
      <c r="AIO166" s="727"/>
      <c r="AIP166" s="727"/>
      <c r="AIQ166" s="727"/>
      <c r="AIR166" s="727"/>
      <c r="AIS166" s="727"/>
      <c r="AIT166" s="727"/>
      <c r="AIU166" s="727"/>
      <c r="AIV166" s="727"/>
      <c r="AIW166" s="727"/>
      <c r="AIX166" s="727"/>
      <c r="AIY166" s="727"/>
      <c r="AIZ166" s="727"/>
      <c r="AJA166" s="763">
        <f>AJA135/(1100*AJA127)</f>
        <v>22.260464401972985</v>
      </c>
      <c r="AJB166" s="764"/>
      <c r="AJC166" s="1005"/>
      <c r="AJD166" s="1006"/>
      <c r="AJE166" s="712"/>
      <c r="AJF166" s="716" t="s">
        <v>442</v>
      </c>
      <c r="AJG166" s="717"/>
      <c r="AJH166" s="746"/>
    </row>
    <row r="167" spans="249:962" ht="48" customHeight="1" thickBot="1">
      <c r="IO167" s="144"/>
      <c r="IP167" s="144"/>
      <c r="IQ167" s="144"/>
      <c r="IR167" s="827"/>
      <c r="IS167" s="943"/>
      <c r="IT167" s="944"/>
      <c r="IU167" s="944"/>
      <c r="IV167" s="944"/>
      <c r="IW167" s="944"/>
      <c r="IX167" s="944"/>
      <c r="IY167" s="944"/>
      <c r="IZ167" s="944"/>
      <c r="JA167" s="944"/>
      <c r="JB167" s="944"/>
      <c r="JC167" s="944"/>
      <c r="JD167" s="944"/>
      <c r="JE167" s="1004"/>
      <c r="JF167" s="1022"/>
      <c r="JG167" s="1023"/>
      <c r="JH167" s="1023"/>
      <c r="JI167" s="1023"/>
      <c r="JJ167" s="1023"/>
      <c r="JK167" s="1023"/>
      <c r="JL167" s="1023"/>
      <c r="JM167" s="1024"/>
      <c r="JN167" s="768"/>
      <c r="JO167" s="768"/>
      <c r="JP167" s="768"/>
      <c r="JQ167" s="768"/>
      <c r="LZ167" s="727" t="s">
        <v>1461</v>
      </c>
      <c r="MA167" s="727"/>
      <c r="MB167" s="727"/>
      <c r="MC167" s="816" t="s">
        <v>1425</v>
      </c>
      <c r="MD167" s="816"/>
      <c r="ME167" s="816"/>
      <c r="MF167" s="816" t="s">
        <v>1456</v>
      </c>
      <c r="MG167" s="816"/>
      <c r="MH167" s="816"/>
      <c r="MI167" s="816" t="s">
        <v>1457</v>
      </c>
      <c r="MJ167" s="816"/>
      <c r="MK167" s="816"/>
      <c r="ML167" s="816" t="s">
        <v>1458</v>
      </c>
      <c r="MM167" s="816"/>
      <c r="MN167" s="816"/>
      <c r="MO167" s="816" t="s">
        <v>1459</v>
      </c>
      <c r="MP167" s="816"/>
      <c r="MQ167" s="816"/>
      <c r="MR167" s="816" t="s">
        <v>1460</v>
      </c>
      <c r="MS167" s="816"/>
      <c r="MT167" s="816"/>
      <c r="MU167" s="816" t="s">
        <v>1427</v>
      </c>
      <c r="MV167" s="816"/>
      <c r="MW167" s="816"/>
      <c r="MX167" s="1191"/>
      <c r="NI167" s="144"/>
      <c r="PE167" s="403"/>
      <c r="PF167" s="399"/>
      <c r="PG167" s="399"/>
      <c r="PH167" s="399"/>
      <c r="PI167" s="399"/>
      <c r="PJ167" s="399"/>
      <c r="PK167" s="399"/>
      <c r="PL167" s="399"/>
      <c r="PM167" s="399"/>
      <c r="PN167" s="399"/>
      <c r="PO167" s="399"/>
      <c r="PP167" s="399"/>
      <c r="PQ167" s="399"/>
      <c r="PR167" s="399"/>
      <c r="PS167" s="399"/>
      <c r="PT167" s="399"/>
      <c r="PU167" s="399"/>
      <c r="PV167" s="399"/>
      <c r="PW167" s="399"/>
      <c r="PX167" s="399"/>
      <c r="PY167" s="399"/>
      <c r="PZ167" s="399"/>
      <c r="QA167" s="399"/>
      <c r="QB167" s="399"/>
      <c r="QC167" s="399"/>
      <c r="QD167" s="399"/>
      <c r="QE167" s="399"/>
      <c r="QF167" s="399"/>
      <c r="QG167" s="399"/>
      <c r="QH167" s="399"/>
      <c r="QI167" s="399"/>
      <c r="QJ167" s="399"/>
      <c r="QK167" s="399"/>
      <c r="QL167" s="399"/>
      <c r="QM167" s="399"/>
      <c r="QN167" s="399"/>
      <c r="QO167" s="399"/>
      <c r="QP167" s="400"/>
      <c r="WO167" s="827"/>
      <c r="WP167" s="706"/>
      <c r="WQ167" s="707"/>
      <c r="WR167" s="707"/>
      <c r="WS167" s="707"/>
      <c r="WT167" s="707"/>
      <c r="WU167" s="707"/>
      <c r="WV167" s="707"/>
      <c r="WW167" s="707"/>
      <c r="WX167" s="707"/>
      <c r="WY167" s="707"/>
      <c r="WZ167" s="707"/>
      <c r="XA167" s="707"/>
      <c r="XB167" s="1165"/>
      <c r="XC167" s="1294"/>
      <c r="XD167" s="1295"/>
      <c r="XE167" s="1064"/>
      <c r="XF167" s="1065"/>
      <c r="XG167" s="715"/>
      <c r="XH167" s="743"/>
      <c r="XI167" s="745"/>
      <c r="XJ167" s="747"/>
      <c r="XO167" s="767"/>
      <c r="XP167" s="665" t="s">
        <v>442</v>
      </c>
      <c r="XQ167" s="666"/>
      <c r="XR167" s="156"/>
      <c r="XS167" s="477" t="s">
        <v>1189</v>
      </c>
      <c r="XT167" s="677">
        <f>$CL$52</f>
        <v>32.488628979857047</v>
      </c>
      <c r="XU167" s="677"/>
      <c r="XV167" s="473" t="s">
        <v>1627</v>
      </c>
      <c r="XW167" s="724">
        <f>$CO$64</f>
        <v>19</v>
      </c>
      <c r="XX167" s="724"/>
      <c r="XY167" s="156"/>
      <c r="XZ167" s="85" t="s">
        <v>467</v>
      </c>
      <c r="YA167" s="757" t="s">
        <v>461</v>
      </c>
      <c r="YB167" s="758"/>
      <c r="YC167" s="819" t="s">
        <v>126</v>
      </c>
      <c r="YD167" s="820"/>
      <c r="YE167" s="675" t="s">
        <v>731</v>
      </c>
      <c r="YF167" s="676"/>
      <c r="YG167" s="821" t="s">
        <v>473</v>
      </c>
      <c r="YH167" s="822"/>
      <c r="YI167" s="822"/>
      <c r="YJ167" s="822"/>
      <c r="YK167" s="769" t="s">
        <v>462</v>
      </c>
      <c r="YL167" s="769"/>
      <c r="YM167" s="769"/>
      <c r="YN167" s="769"/>
      <c r="YO167" s="769"/>
      <c r="YP167" s="769"/>
      <c r="YQ167" s="769"/>
      <c r="YR167" s="769"/>
      <c r="YS167" s="769"/>
      <c r="YT167" s="769"/>
      <c r="YU167" s="769"/>
      <c r="YV167" s="769"/>
      <c r="YW167" s="769"/>
      <c r="YX167" s="769"/>
      <c r="YY167" s="769"/>
      <c r="YZ167" s="769"/>
      <c r="ZM167" s="144"/>
      <c r="ZN167" s="144"/>
      <c r="ZO167" s="144"/>
      <c r="ZP167" s="144"/>
      <c r="ZQ167" s="144"/>
      <c r="ZR167" s="144"/>
      <c r="ZS167" s="144"/>
      <c r="ZT167" s="144"/>
      <c r="ZU167" s="144"/>
      <c r="ZV167" s="144"/>
      <c r="ZW167" s="144"/>
      <c r="ZX167" s="144"/>
      <c r="ZY167" s="144"/>
      <c r="ZZ167" s="144"/>
      <c r="AAA167" s="144"/>
      <c r="AAB167" s="144"/>
      <c r="AAC167" s="144"/>
      <c r="AIM167" s="827"/>
      <c r="AIN167" s="729"/>
      <c r="AIO167" s="729"/>
      <c r="AIP167" s="729"/>
      <c r="AIQ167" s="729"/>
      <c r="AIR167" s="729"/>
      <c r="AIS167" s="729"/>
      <c r="AIT167" s="729"/>
      <c r="AIU167" s="729"/>
      <c r="AIV167" s="729"/>
      <c r="AIW167" s="729"/>
      <c r="AIX167" s="729"/>
      <c r="AIY167" s="729"/>
      <c r="AIZ167" s="729"/>
      <c r="AJA167" s="765"/>
      <c r="AJB167" s="766"/>
      <c r="AJC167" s="706"/>
      <c r="AJD167" s="708"/>
      <c r="AJE167" s="713"/>
      <c r="AJF167" s="718"/>
      <c r="AJG167" s="719"/>
      <c r="AJH167" s="747"/>
    </row>
    <row r="168" spans="249:962" ht="48" customHeight="1">
      <c r="IO168" s="144"/>
      <c r="IP168" s="144"/>
      <c r="IQ168" s="144"/>
      <c r="IR168" s="144"/>
      <c r="IS168" s="144"/>
      <c r="IT168" s="144"/>
      <c r="LZ168" s="727"/>
      <c r="MA168" s="727"/>
      <c r="MB168" s="727"/>
      <c r="MC168" s="1169">
        <v>0</v>
      </c>
      <c r="MD168" s="1169"/>
      <c r="ME168" s="1169"/>
      <c r="MF168" s="945">
        <v>0.25</v>
      </c>
      <c r="MG168" s="945"/>
      <c r="MH168" s="945"/>
      <c r="MI168" s="945">
        <v>0.5</v>
      </c>
      <c r="MJ168" s="945"/>
      <c r="MK168" s="945"/>
      <c r="ML168" s="945">
        <v>0.75</v>
      </c>
      <c r="MM168" s="945"/>
      <c r="MN168" s="945"/>
      <c r="MO168" s="945">
        <v>1</v>
      </c>
      <c r="MP168" s="945"/>
      <c r="MQ168" s="945"/>
      <c r="MR168" s="945">
        <v>1.25</v>
      </c>
      <c r="MS168" s="945"/>
      <c r="MT168" s="945"/>
      <c r="MU168" s="945">
        <v>1.5</v>
      </c>
      <c r="MV168" s="945"/>
      <c r="MW168" s="945"/>
      <c r="MX168" s="1192"/>
      <c r="NI168" s="144"/>
      <c r="PE168" s="150"/>
      <c r="PF168" s="973"/>
      <c r="PG168" s="973"/>
      <c r="PH168" s="973"/>
      <c r="PI168" s="973"/>
      <c r="PJ168" s="973"/>
      <c r="PK168" s="973"/>
      <c r="PL168" s="973"/>
      <c r="PM168" s="973"/>
      <c r="PN168" s="973"/>
      <c r="PO168" s="973"/>
      <c r="PP168" s="973"/>
      <c r="PQ168" s="973"/>
      <c r="PR168" s="973"/>
      <c r="PS168" s="973"/>
      <c r="PT168" s="973"/>
      <c r="PU168" s="973"/>
      <c r="PV168" s="973"/>
      <c r="PW168" s="973"/>
      <c r="PX168" s="973"/>
      <c r="PY168" s="973"/>
      <c r="PZ168" s="973"/>
      <c r="QA168" s="973"/>
      <c r="QB168" s="973"/>
      <c r="QC168" s="973"/>
      <c r="QD168" s="973"/>
      <c r="QE168" s="973"/>
      <c r="QF168" s="973"/>
      <c r="QG168" s="973"/>
      <c r="QH168" s="973"/>
      <c r="QI168" s="973"/>
      <c r="QJ168" s="973"/>
      <c r="QK168" s="973"/>
      <c r="QL168" s="973"/>
      <c r="QM168" s="973"/>
      <c r="QN168" s="973"/>
      <c r="QO168" s="973"/>
      <c r="QP168" s="150"/>
      <c r="XF168" s="144"/>
      <c r="XG168" s="144"/>
      <c r="XH168" s="144"/>
      <c r="XI168" s="144"/>
      <c r="XJ168" s="144"/>
      <c r="XO168" s="767"/>
      <c r="XP168" s="863" t="s">
        <v>1635</v>
      </c>
      <c r="XQ168" s="863"/>
      <c r="XR168" s="739">
        <f>$CO$28/$GW$24</f>
        <v>0.56896551724137934</v>
      </c>
      <c r="XS168" s="739"/>
      <c r="XT168" s="477" t="s">
        <v>774</v>
      </c>
      <c r="XU168" s="724">
        <f>$CO$56</f>
        <v>1</v>
      </c>
      <c r="XV168" s="724"/>
      <c r="XW168" s="940" t="s">
        <v>150</v>
      </c>
      <c r="XX168" s="940"/>
      <c r="XY168" s="940"/>
      <c r="XZ168" s="940"/>
      <c r="YA168" s="940"/>
      <c r="YB168" s="1003"/>
      <c r="YC168" s="763">
        <f>((0.7*XR170*XT167*XW167)/XU168)*(XR169+XU170*XU169*XR168)</f>
        <v>433.05817369093228</v>
      </c>
      <c r="YD168" s="764"/>
      <c r="YE168" s="1115" t="s">
        <v>762</v>
      </c>
      <c r="YF168" s="1116"/>
      <c r="YG168" s="714"/>
      <c r="YH168" s="952" t="s">
        <v>1527</v>
      </c>
      <c r="YI168" s="953"/>
      <c r="YJ168" s="746"/>
      <c r="YK168" s="767"/>
      <c r="YL168" s="767"/>
      <c r="YM168" s="767"/>
      <c r="YN168" s="767"/>
      <c r="YO168" s="767"/>
      <c r="YP168" s="767"/>
      <c r="YQ168" s="767"/>
      <c r="YR168" s="767"/>
      <c r="YS168" s="767"/>
      <c r="YT168" s="767"/>
      <c r="YU168" s="767"/>
      <c r="YV168" s="767"/>
      <c r="YW168" s="767"/>
      <c r="YX168" s="767"/>
      <c r="YY168" s="767"/>
      <c r="YZ168" s="767"/>
      <c r="ZM168" s="144"/>
      <c r="ZN168" s="144"/>
      <c r="ZO168" s="144"/>
      <c r="ZP168" s="144"/>
      <c r="ZQ168" s="144"/>
      <c r="ZR168" s="144"/>
      <c r="ZS168" s="144"/>
      <c r="ZT168" s="144"/>
      <c r="ZU168" s="144"/>
      <c r="ZV168" s="144"/>
      <c r="ZW168" s="144"/>
      <c r="ZX168" s="144"/>
      <c r="ZY168" s="144"/>
      <c r="ZZ168" s="144"/>
      <c r="AAA168" s="144"/>
      <c r="AAB168" s="144"/>
      <c r="AAC168" s="144"/>
    </row>
    <row r="169" spans="249:962" ht="48" customHeight="1" thickBot="1">
      <c r="IR169" s="144"/>
      <c r="IS169" s="144"/>
      <c r="IT169" s="144"/>
      <c r="LZ169" s="792" t="s">
        <v>1013</v>
      </c>
      <c r="MA169" s="793"/>
      <c r="MB169" s="794"/>
      <c r="MC169" s="825"/>
      <c r="MD169" s="665" t="s">
        <v>442</v>
      </c>
      <c r="ME169" s="666"/>
      <c r="MF169" s="370"/>
      <c r="MG169" s="87"/>
      <c r="MH169" s="87"/>
      <c r="MI169" s="87"/>
      <c r="MJ169" s="87"/>
      <c r="MK169" s="87"/>
      <c r="ML169" s="84" t="s">
        <v>729</v>
      </c>
      <c r="MM169" s="413"/>
      <c r="MN169" s="85" t="s">
        <v>467</v>
      </c>
      <c r="MO169" s="757" t="s">
        <v>461</v>
      </c>
      <c r="MP169" s="758"/>
      <c r="MQ169" s="819" t="s">
        <v>126</v>
      </c>
      <c r="MR169" s="820"/>
      <c r="MS169" s="675" t="s">
        <v>731</v>
      </c>
      <c r="MT169" s="676"/>
      <c r="MU169" s="821" t="s">
        <v>473</v>
      </c>
      <c r="MV169" s="822"/>
      <c r="MW169" s="822"/>
      <c r="MX169" s="823"/>
      <c r="MZ169" s="144"/>
      <c r="NI169" s="144"/>
      <c r="WO169" s="825"/>
      <c r="WP169" s="147" t="s">
        <v>442</v>
      </c>
      <c r="WQ169" s="148"/>
      <c r="WR169" s="230"/>
      <c r="WS169" s="87"/>
      <c r="WT169" s="87"/>
      <c r="WU169" s="87"/>
      <c r="WV169" s="87"/>
      <c r="WW169" s="87"/>
      <c r="WX169" s="87"/>
      <c r="WY169" s="230"/>
      <c r="WZ169" s="85" t="s">
        <v>467</v>
      </c>
      <c r="XA169" s="757" t="s">
        <v>461</v>
      </c>
      <c r="XB169" s="899"/>
      <c r="XC169" s="1130" t="s">
        <v>126</v>
      </c>
      <c r="XD169" s="1131"/>
      <c r="XE169" s="675" t="s">
        <v>731</v>
      </c>
      <c r="XF169" s="676"/>
      <c r="XG169" s="821" t="s">
        <v>473</v>
      </c>
      <c r="XH169" s="822"/>
      <c r="XI169" s="822"/>
      <c r="XJ169" s="823"/>
      <c r="XO169" s="767"/>
      <c r="XP169" s="1060" t="s">
        <v>1454</v>
      </c>
      <c r="XQ169" s="1060"/>
      <c r="XR169" s="677">
        <f>$NB$129</f>
        <v>0.4375</v>
      </c>
      <c r="XS169" s="677"/>
      <c r="XT169" s="482" t="s">
        <v>1179</v>
      </c>
      <c r="XU169" s="756">
        <f>$CL$76</f>
        <v>0.95799999999999996</v>
      </c>
      <c r="XV169" s="756"/>
      <c r="XW169" s="942"/>
      <c r="XX169" s="942"/>
      <c r="XY169" s="942"/>
      <c r="XZ169" s="942"/>
      <c r="YA169" s="942"/>
      <c r="YB169" s="1011"/>
      <c r="YC169" s="765"/>
      <c r="YD169" s="766"/>
      <c r="YE169" s="1117"/>
      <c r="YF169" s="1118"/>
      <c r="YG169" s="715"/>
      <c r="YH169" s="954"/>
      <c r="YI169" s="955"/>
      <c r="YJ169" s="747"/>
      <c r="YK169" s="767"/>
      <c r="YL169" s="767"/>
      <c r="YM169" s="767"/>
      <c r="YN169" s="767"/>
      <c r="YO169" s="767"/>
      <c r="YP169" s="767"/>
      <c r="YQ169" s="767"/>
      <c r="YR169" s="767"/>
      <c r="YS169" s="767"/>
      <c r="YT169" s="767"/>
      <c r="YU169" s="767"/>
      <c r="YV169" s="767"/>
      <c r="YW169" s="767"/>
      <c r="YX169" s="767"/>
      <c r="YY169" s="767"/>
      <c r="YZ169" s="767"/>
      <c r="ZM169" s="144"/>
      <c r="ZN169" s="144"/>
      <c r="ZO169" s="144"/>
      <c r="ZP169" s="144"/>
      <c r="ZQ169" s="144"/>
      <c r="ZR169" s="144"/>
      <c r="ZS169" s="144"/>
      <c r="ZT169" s="144"/>
      <c r="ZU169" s="144"/>
      <c r="ZV169" s="144"/>
      <c r="ZW169" s="144"/>
      <c r="ZX169" s="144"/>
      <c r="ZY169" s="144"/>
      <c r="ZZ169" s="144"/>
      <c r="AAA169" s="144"/>
      <c r="AAB169" s="144"/>
      <c r="AAC169" s="144"/>
      <c r="AIM169" s="214" t="s">
        <v>899</v>
      </c>
      <c r="AIN169" s="665" t="s">
        <v>442</v>
      </c>
      <c r="AIO169" s="666"/>
      <c r="AIP169" s="156"/>
      <c r="AIQ169" s="87"/>
      <c r="AIR169" s="87"/>
      <c r="AIS169" s="87"/>
      <c r="AIT169" s="87"/>
      <c r="AIU169" s="87"/>
      <c r="AIV169" s="87"/>
      <c r="AIW169" s="156"/>
      <c r="AIX169" s="85" t="s">
        <v>467</v>
      </c>
      <c r="AIY169" s="757" t="s">
        <v>461</v>
      </c>
      <c r="AIZ169" s="758"/>
      <c r="AJA169" s="819" t="s">
        <v>126</v>
      </c>
      <c r="AJB169" s="820"/>
      <c r="AJC169" s="675" t="s">
        <v>731</v>
      </c>
      <c r="AJD169" s="676"/>
      <c r="AJE169" s="821" t="s">
        <v>473</v>
      </c>
      <c r="AJF169" s="822"/>
      <c r="AJG169" s="822"/>
      <c r="AJH169" s="823"/>
    </row>
    <row r="170" spans="249:962" ht="48" customHeight="1" thickBot="1">
      <c r="LZ170" s="795"/>
      <c r="MA170" s="796"/>
      <c r="MB170" s="797"/>
      <c r="MC170" s="826"/>
      <c r="MD170" s="703" t="s">
        <v>1448</v>
      </c>
      <c r="ME170" s="704"/>
      <c r="MF170" s="704"/>
      <c r="MG170" s="704"/>
      <c r="MH170" s="704"/>
      <c r="MI170" s="704"/>
      <c r="MJ170" s="704"/>
      <c r="MK170" s="704"/>
      <c r="ML170" s="704"/>
      <c r="MM170" s="704"/>
      <c r="MN170" s="704"/>
      <c r="MO170" s="704"/>
      <c r="MP170" s="705"/>
      <c r="MQ170" s="923">
        <f>MU168</f>
        <v>1.5</v>
      </c>
      <c r="MR170" s="924"/>
      <c r="MS170" s="849" t="s">
        <v>762</v>
      </c>
      <c r="MT170" s="850"/>
      <c r="MU170" s="714"/>
      <c r="MV170" s="740" t="s">
        <v>1444</v>
      </c>
      <c r="MW170" s="742"/>
      <c r="MX170" s="746"/>
      <c r="MZ170" s="144"/>
      <c r="PL170" s="504"/>
      <c r="PM170" s="665" t="s">
        <v>1662</v>
      </c>
      <c r="PN170" s="667"/>
      <c r="PO170" s="504"/>
      <c r="PP170" s="685" t="s">
        <v>139</v>
      </c>
      <c r="PQ170" s="686"/>
      <c r="PR170" s="686"/>
      <c r="PS170" s="686"/>
      <c r="PT170" s="686"/>
      <c r="PU170" s="686"/>
      <c r="PV170" s="686"/>
      <c r="PW170" s="686"/>
      <c r="PX170" s="686"/>
      <c r="PY170" s="686"/>
      <c r="PZ170" s="687"/>
      <c r="QA170" s="504"/>
      <c r="WO170" s="826"/>
      <c r="WP170" s="700"/>
      <c r="WQ170" s="701"/>
      <c r="WR170" s="701"/>
      <c r="WS170" s="701"/>
      <c r="WT170" s="701"/>
      <c r="WU170" s="701"/>
      <c r="WV170" s="701"/>
      <c r="WW170" s="701"/>
      <c r="WX170" s="701"/>
      <c r="WY170" s="701"/>
      <c r="WZ170" s="701"/>
      <c r="XA170" s="701"/>
      <c r="XB170" s="909"/>
      <c r="XC170" s="1292">
        <f>0.168</f>
        <v>0.16800000000000001</v>
      </c>
      <c r="XD170" s="1293"/>
      <c r="XE170" s="1062" t="s">
        <v>415</v>
      </c>
      <c r="XF170" s="1063"/>
      <c r="XG170" s="714"/>
      <c r="XH170" s="740" t="s">
        <v>902</v>
      </c>
      <c r="XI170" s="742"/>
      <c r="XJ170" s="746"/>
      <c r="XO170" s="768"/>
      <c r="XP170" s="709" t="s">
        <v>1625</v>
      </c>
      <c r="XQ170" s="709"/>
      <c r="XR170" s="828">
        <f>$YF$162</f>
        <v>1.02</v>
      </c>
      <c r="XS170" s="828"/>
      <c r="XT170" s="481" t="s">
        <v>1633</v>
      </c>
      <c r="XU170" s="883">
        <f>$CL$84</f>
        <v>1</v>
      </c>
      <c r="XV170" s="883"/>
      <c r="XW170" s="944"/>
      <c r="XX170" s="944"/>
      <c r="XY170" s="944"/>
      <c r="XZ170" s="944"/>
      <c r="YA170" s="944"/>
      <c r="YB170" s="1004"/>
      <c r="YC170" s="491" t="s">
        <v>1224</v>
      </c>
      <c r="YD170" s="1311">
        <f>$CO$28</f>
        <v>33</v>
      </c>
      <c r="YE170" s="1311"/>
      <c r="YF170" s="492" t="s">
        <v>1180</v>
      </c>
      <c r="YG170" s="1303">
        <f>$GW$24</f>
        <v>58</v>
      </c>
      <c r="YH170" s="1303"/>
      <c r="YI170" s="222"/>
      <c r="YJ170" s="417"/>
      <c r="YK170" s="768"/>
      <c r="YL170" s="768"/>
      <c r="YM170" s="768"/>
      <c r="YN170" s="768"/>
      <c r="YO170" s="768"/>
      <c r="YP170" s="768"/>
      <c r="YQ170" s="768"/>
      <c r="YR170" s="768"/>
      <c r="YS170" s="768"/>
      <c r="YT170" s="768"/>
      <c r="YU170" s="768"/>
      <c r="YV170" s="768"/>
      <c r="YW170" s="768"/>
      <c r="YX170" s="768"/>
      <c r="YY170" s="768"/>
      <c r="YZ170" s="768"/>
      <c r="ZF170" s="144"/>
      <c r="ZG170" s="144"/>
      <c r="ZH170" s="144"/>
      <c r="ZI170" s="144"/>
      <c r="ZJ170" s="144"/>
      <c r="ZM170" s="144"/>
      <c r="ZN170" s="144"/>
      <c r="ZO170" s="144"/>
      <c r="ZP170" s="144"/>
      <c r="ZQ170" s="144"/>
      <c r="ZR170" s="144"/>
      <c r="ZS170" s="144"/>
      <c r="ZT170" s="144"/>
      <c r="ZU170" s="144"/>
      <c r="ZV170" s="144"/>
      <c r="ZW170" s="144"/>
      <c r="ZX170" s="144"/>
      <c r="ZY170" s="144"/>
      <c r="ZZ170" s="144"/>
      <c r="AAA170" s="144"/>
      <c r="AAB170" s="144"/>
      <c r="AAC170" s="144"/>
      <c r="AIM170" s="825"/>
      <c r="AIN170" s="727" t="s">
        <v>1016</v>
      </c>
      <c r="AIO170" s="727"/>
      <c r="AIP170" s="727"/>
      <c r="AIQ170" s="727"/>
      <c r="AIR170" s="727"/>
      <c r="AIS170" s="727"/>
      <c r="AIT170" s="727"/>
      <c r="AIU170" s="727"/>
      <c r="AIV170" s="727"/>
      <c r="AIW170" s="727"/>
      <c r="AIX170" s="727"/>
      <c r="AIY170" s="727"/>
      <c r="AIZ170" s="727"/>
      <c r="AJA170" s="763">
        <f>AJA187*AJA131/(1100*AJA127)</f>
        <v>19.950254400503088</v>
      </c>
      <c r="AJB170" s="764"/>
      <c r="AJC170" s="1005"/>
      <c r="AJD170" s="1006"/>
      <c r="AJE170" s="712"/>
      <c r="AJF170" s="716" t="s">
        <v>442</v>
      </c>
      <c r="AJG170" s="717"/>
      <c r="AJH170" s="746"/>
    </row>
    <row r="171" spans="249:962" ht="48" customHeight="1" thickBot="1">
      <c r="LZ171" s="798"/>
      <c r="MA171" s="799"/>
      <c r="MB171" s="800"/>
      <c r="MC171" s="827"/>
      <c r="MD171" s="706"/>
      <c r="ME171" s="707"/>
      <c r="MF171" s="707"/>
      <c r="MG171" s="707"/>
      <c r="MH171" s="707"/>
      <c r="MI171" s="707"/>
      <c r="MJ171" s="707"/>
      <c r="MK171" s="707"/>
      <c r="ML171" s="707"/>
      <c r="MM171" s="707"/>
      <c r="MN171" s="707"/>
      <c r="MO171" s="707"/>
      <c r="MP171" s="708"/>
      <c r="MQ171" s="925"/>
      <c r="MR171" s="926"/>
      <c r="MS171" s="851"/>
      <c r="MT171" s="852"/>
      <c r="MU171" s="715"/>
      <c r="MV171" s="743"/>
      <c r="MW171" s="745"/>
      <c r="MX171" s="747"/>
      <c r="NH171" s="144"/>
      <c r="QN171" s="144"/>
      <c r="QO171" s="144"/>
      <c r="QP171" s="144"/>
      <c r="QQ171" s="144"/>
      <c r="QR171" s="144"/>
      <c r="QS171" s="144"/>
      <c r="QT171" s="144"/>
      <c r="WO171" s="827"/>
      <c r="WP171" s="706"/>
      <c r="WQ171" s="707"/>
      <c r="WR171" s="707"/>
      <c r="WS171" s="707"/>
      <c r="WT171" s="707"/>
      <c r="WU171" s="707"/>
      <c r="WV171" s="707"/>
      <c r="WW171" s="707"/>
      <c r="WX171" s="707"/>
      <c r="WY171" s="707"/>
      <c r="WZ171" s="707"/>
      <c r="XA171" s="707"/>
      <c r="XB171" s="1165"/>
      <c r="XC171" s="1294"/>
      <c r="XD171" s="1295"/>
      <c r="XE171" s="1064"/>
      <c r="XF171" s="1065"/>
      <c r="XG171" s="715"/>
      <c r="XH171" s="743"/>
      <c r="XI171" s="745"/>
      <c r="XJ171" s="747"/>
      <c r="ZF171" s="144"/>
      <c r="ZG171" s="144"/>
      <c r="ZH171" s="144"/>
      <c r="ZI171" s="144"/>
      <c r="ZJ171" s="144"/>
      <c r="ZM171" s="144"/>
      <c r="ZN171" s="144"/>
      <c r="ZO171" s="144"/>
      <c r="ZP171" s="144"/>
      <c r="ZQ171" s="144"/>
      <c r="ZR171" s="144"/>
      <c r="ZS171" s="144"/>
      <c r="ZT171" s="144"/>
      <c r="ZU171" s="144"/>
      <c r="ZV171" s="144"/>
      <c r="ZW171" s="144"/>
      <c r="ZX171" s="144"/>
      <c r="ZY171" s="144"/>
      <c r="ZZ171" s="144"/>
      <c r="AAA171" s="144"/>
      <c r="AAB171" s="144"/>
      <c r="AAC171" s="144"/>
      <c r="AIM171" s="827"/>
      <c r="AIN171" s="729"/>
      <c r="AIO171" s="729"/>
      <c r="AIP171" s="729"/>
      <c r="AIQ171" s="729"/>
      <c r="AIR171" s="729"/>
      <c r="AIS171" s="729"/>
      <c r="AIT171" s="729"/>
      <c r="AIU171" s="729"/>
      <c r="AIV171" s="729"/>
      <c r="AIW171" s="729"/>
      <c r="AIX171" s="729"/>
      <c r="AIY171" s="729"/>
      <c r="AIZ171" s="729"/>
      <c r="AJA171" s="765"/>
      <c r="AJB171" s="766"/>
      <c r="AJC171" s="706"/>
      <c r="AJD171" s="708"/>
      <c r="AJE171" s="713"/>
      <c r="AJF171" s="718"/>
      <c r="AJG171" s="719"/>
      <c r="AJH171" s="747"/>
    </row>
    <row r="172" spans="249:962" ht="48" customHeight="1" thickBot="1">
      <c r="NH172" s="144"/>
      <c r="PJ172" s="825"/>
      <c r="PK172" s="695" t="s">
        <v>442</v>
      </c>
      <c r="PL172" s="695"/>
      <c r="PM172" s="510"/>
      <c r="PN172" s="696" t="s">
        <v>1737</v>
      </c>
      <c r="PO172" s="697"/>
      <c r="PP172" s="698">
        <f>$AQ$4</f>
        <v>30000</v>
      </c>
      <c r="PQ172" s="699"/>
      <c r="PR172" s="726"/>
      <c r="PS172" s="87"/>
      <c r="PT172" s="510"/>
      <c r="PU172" s="85" t="s">
        <v>467</v>
      </c>
      <c r="PV172" s="757" t="s">
        <v>461</v>
      </c>
      <c r="PW172" s="758"/>
      <c r="PX172" s="819" t="s">
        <v>126</v>
      </c>
      <c r="PY172" s="820"/>
      <c r="PZ172" s="675" t="s">
        <v>731</v>
      </c>
      <c r="QA172" s="676"/>
      <c r="QB172" s="821" t="s">
        <v>473</v>
      </c>
      <c r="QC172" s="822"/>
      <c r="QD172" s="822"/>
      <c r="QE172" s="822"/>
      <c r="QF172" s="823"/>
      <c r="QG172" s="821" t="s">
        <v>462</v>
      </c>
      <c r="QH172" s="822"/>
      <c r="QI172" s="822"/>
      <c r="QJ172" s="822"/>
      <c r="QK172" s="822"/>
      <c r="QL172" s="822"/>
      <c r="QM172" s="823"/>
      <c r="QN172" s="144"/>
      <c r="QO172" s="144"/>
      <c r="QP172" s="144"/>
      <c r="QQ172" s="144"/>
      <c r="QR172" s="144"/>
      <c r="QS172" s="144"/>
      <c r="QT172" s="144"/>
      <c r="XF172" s="144"/>
      <c r="XG172" s="144"/>
      <c r="XH172" s="144"/>
      <c r="XI172" s="144"/>
      <c r="XJ172" s="144"/>
      <c r="XQ172" s="245"/>
      <c r="XR172" s="665" t="s">
        <v>936</v>
      </c>
      <c r="XS172" s="667"/>
      <c r="XT172" s="245"/>
      <c r="XU172" s="685" t="s">
        <v>1145</v>
      </c>
      <c r="XV172" s="686"/>
      <c r="XW172" s="686"/>
      <c r="XX172" s="686"/>
      <c r="XY172" s="686"/>
      <c r="XZ172" s="686"/>
      <c r="YA172" s="686"/>
      <c r="YB172" s="686"/>
      <c r="YC172" s="686"/>
      <c r="YD172" s="686"/>
      <c r="YE172" s="687"/>
      <c r="YF172" s="245"/>
      <c r="YR172" s="144"/>
      <c r="YS172" s="144"/>
      <c r="YT172" s="144"/>
      <c r="YU172" s="144"/>
      <c r="YV172" s="144"/>
      <c r="YW172" s="144"/>
      <c r="YX172" s="144"/>
      <c r="YY172" s="144"/>
      <c r="YZ172" s="144"/>
      <c r="ZA172" s="144"/>
      <c r="ZF172" s="144"/>
      <c r="ZG172" s="144"/>
      <c r="ZH172" s="144"/>
      <c r="ZI172" s="144"/>
      <c r="ZJ172" s="144"/>
      <c r="ZM172" s="144"/>
      <c r="ZN172" s="144"/>
      <c r="ZO172" s="144"/>
      <c r="ZP172" s="144"/>
      <c r="ZQ172" s="144"/>
      <c r="ZR172" s="144"/>
      <c r="ZS172" s="144"/>
      <c r="ZT172" s="144"/>
      <c r="ZU172" s="144"/>
      <c r="ZV172" s="144"/>
      <c r="ZW172" s="144"/>
      <c r="ZX172" s="144"/>
      <c r="ZY172" s="144"/>
      <c r="ZZ172" s="144"/>
      <c r="AAA172" s="144"/>
      <c r="AAB172" s="144"/>
      <c r="AAC172" s="144"/>
    </row>
    <row r="173" spans="249:962" ht="48" customHeight="1" thickBot="1">
      <c r="LZ173" s="792" t="s">
        <v>1079</v>
      </c>
      <c r="MA173" s="793"/>
      <c r="MB173" s="794"/>
      <c r="MC173" s="825"/>
      <c r="MD173" s="665" t="s">
        <v>442</v>
      </c>
      <c r="ME173" s="666"/>
      <c r="MF173" s="413"/>
      <c r="MG173" s="87"/>
      <c r="MH173" s="87"/>
      <c r="MI173" s="87"/>
      <c r="MJ173" s="87"/>
      <c r="MK173" s="87"/>
      <c r="ML173" s="84" t="s">
        <v>729</v>
      </c>
      <c r="MM173" s="413"/>
      <c r="MN173" s="85" t="s">
        <v>467</v>
      </c>
      <c r="MO173" s="757" t="s">
        <v>461</v>
      </c>
      <c r="MP173" s="758"/>
      <c r="MQ173" s="819" t="s">
        <v>126</v>
      </c>
      <c r="MR173" s="820"/>
      <c r="MS173" s="675" t="s">
        <v>731</v>
      </c>
      <c r="MT173" s="676"/>
      <c r="MU173" s="821" t="s">
        <v>473</v>
      </c>
      <c r="MV173" s="822"/>
      <c r="MW173" s="822"/>
      <c r="MX173" s="823"/>
      <c r="NF173" s="144"/>
      <c r="NH173" s="144"/>
      <c r="PJ173" s="826"/>
      <c r="PK173" s="508" t="s">
        <v>454</v>
      </c>
      <c r="PL173" s="677">
        <f>$AZ$46</f>
        <v>0.9</v>
      </c>
      <c r="PM173" s="677"/>
      <c r="PN173" s="700" t="s">
        <v>139</v>
      </c>
      <c r="PO173" s="701"/>
      <c r="PP173" s="701"/>
      <c r="PQ173" s="701"/>
      <c r="PR173" s="701"/>
      <c r="PS173" s="701"/>
      <c r="PT173" s="701"/>
      <c r="PU173" s="701"/>
      <c r="PV173" s="701"/>
      <c r="PW173" s="702"/>
      <c r="PX173" s="763">
        <f>0.005*(AQ4/PL173)</f>
        <v>166.66666666666669</v>
      </c>
      <c r="PY173" s="764"/>
      <c r="PZ173" s="759" t="s">
        <v>3</v>
      </c>
      <c r="QA173" s="760"/>
      <c r="QB173" s="712"/>
      <c r="QC173" s="952" t="s">
        <v>1679</v>
      </c>
      <c r="QD173" s="1151"/>
      <c r="QE173" s="953"/>
      <c r="QF173" s="746"/>
      <c r="QG173" s="919"/>
      <c r="QH173" s="840"/>
      <c r="QI173" s="840"/>
      <c r="QJ173" s="840"/>
      <c r="QK173" s="840"/>
      <c r="QL173" s="840"/>
      <c r="QM173" s="920"/>
      <c r="QN173" s="144"/>
      <c r="QO173" s="144"/>
      <c r="QP173" s="144"/>
      <c r="QQ173" s="144"/>
      <c r="QR173" s="144"/>
      <c r="QS173" s="144"/>
      <c r="QT173" s="144"/>
      <c r="WO173" s="825"/>
      <c r="WP173" s="147" t="s">
        <v>442</v>
      </c>
      <c r="WQ173" s="148"/>
      <c r="WR173" s="230"/>
      <c r="WS173" s="87"/>
      <c r="WT173" s="87"/>
      <c r="WU173" s="87"/>
      <c r="WV173" s="87"/>
      <c r="WW173" s="87"/>
      <c r="WX173" s="87"/>
      <c r="WY173" s="230"/>
      <c r="WZ173" s="85" t="s">
        <v>467</v>
      </c>
      <c r="XA173" s="757" t="s">
        <v>461</v>
      </c>
      <c r="XB173" s="899"/>
      <c r="XC173" s="1130" t="s">
        <v>126</v>
      </c>
      <c r="XD173" s="1131"/>
      <c r="XE173" s="675" t="s">
        <v>731</v>
      </c>
      <c r="XF173" s="676"/>
      <c r="XG173" s="821" t="s">
        <v>473</v>
      </c>
      <c r="XH173" s="822"/>
      <c r="XI173" s="822"/>
      <c r="XJ173" s="823"/>
      <c r="YV173" s="144"/>
      <c r="YW173" s="144"/>
      <c r="YX173" s="144"/>
      <c r="YY173" s="144"/>
      <c r="YZ173" s="144"/>
      <c r="ZA173" s="144"/>
      <c r="ZF173" s="144"/>
      <c r="ZG173" s="144"/>
      <c r="ZH173" s="144"/>
      <c r="ZI173" s="144"/>
      <c r="ZJ173" s="144"/>
      <c r="ZM173" s="144"/>
      <c r="ZN173" s="144"/>
      <c r="ZO173" s="144"/>
      <c r="ZP173" s="144"/>
      <c r="ZQ173" s="144"/>
      <c r="ZR173" s="144"/>
      <c r="ZS173" s="144"/>
      <c r="ZT173" s="144"/>
      <c r="ZU173" s="144"/>
      <c r="ZV173" s="144"/>
      <c r="ZW173" s="144"/>
      <c r="ZX173" s="144"/>
      <c r="ZY173" s="144"/>
      <c r="ZZ173" s="144"/>
      <c r="AAA173" s="144"/>
      <c r="AAB173" s="144"/>
      <c r="AAC173" s="144"/>
      <c r="AIM173" s="825"/>
      <c r="AIN173" s="665" t="s">
        <v>442</v>
      </c>
      <c r="AIO173" s="666"/>
      <c r="AIP173" s="216"/>
      <c r="AIQ173" s="87"/>
      <c r="AIR173" s="87"/>
      <c r="AIS173" s="87"/>
      <c r="AIT173" s="87"/>
      <c r="AIU173" s="87"/>
      <c r="AIV173" s="87"/>
      <c r="AIW173" s="216"/>
      <c r="AIX173" s="85" t="s">
        <v>467</v>
      </c>
      <c r="AIY173" s="757" t="s">
        <v>461</v>
      </c>
      <c r="AIZ173" s="899"/>
      <c r="AJA173" s="819" t="s">
        <v>126</v>
      </c>
      <c r="AJB173" s="820"/>
      <c r="AJC173" s="675" t="s">
        <v>731</v>
      </c>
      <c r="AJD173" s="676"/>
      <c r="AJE173" s="821" t="s">
        <v>473</v>
      </c>
      <c r="AJF173" s="822"/>
      <c r="AJG173" s="822"/>
      <c r="AJH173" s="823"/>
      <c r="AJI173" s="821" t="s">
        <v>921</v>
      </c>
      <c r="AJJ173" s="822"/>
      <c r="AJK173" s="823"/>
    </row>
    <row r="174" spans="249:962" ht="48" customHeight="1" thickBot="1">
      <c r="LZ174" s="795"/>
      <c r="MA174" s="796"/>
      <c r="MB174" s="797"/>
      <c r="MC174" s="826"/>
      <c r="MD174" s="696" t="s">
        <v>1437</v>
      </c>
      <c r="ME174" s="697"/>
      <c r="MF174" s="948">
        <f>$GT$32/$CL$40</f>
        <v>0.55562400380839561</v>
      </c>
      <c r="MG174" s="965"/>
      <c r="MH174" s="701" t="s">
        <v>1435</v>
      </c>
      <c r="MI174" s="701"/>
      <c r="MJ174" s="701"/>
      <c r="MK174" s="701"/>
      <c r="ML174" s="701"/>
      <c r="MM174" s="701"/>
      <c r="MN174" s="701"/>
      <c r="MO174" s="701"/>
      <c r="MP174" s="702"/>
      <c r="MQ174" s="923">
        <v>1.25</v>
      </c>
      <c r="MR174" s="924"/>
      <c r="MS174" s="849" t="s">
        <v>762</v>
      </c>
      <c r="MT174" s="850"/>
      <c r="MU174" s="714"/>
      <c r="MV174" s="716" t="s">
        <v>1445</v>
      </c>
      <c r="MW174" s="717"/>
      <c r="MX174" s="746"/>
      <c r="NF174" s="144"/>
      <c r="NH174" s="144"/>
      <c r="NI174" s="144"/>
      <c r="PJ174" s="826"/>
      <c r="PK174" s="509"/>
      <c r="PL174" s="739"/>
      <c r="PM174" s="739"/>
      <c r="PN174" s="703"/>
      <c r="PO174" s="704"/>
      <c r="PP174" s="704"/>
      <c r="PQ174" s="704"/>
      <c r="PR174" s="704"/>
      <c r="PS174" s="704"/>
      <c r="PT174" s="704"/>
      <c r="PU174" s="704"/>
      <c r="PV174" s="704"/>
      <c r="PW174" s="705"/>
      <c r="PX174" s="765"/>
      <c r="PY174" s="766"/>
      <c r="PZ174" s="761"/>
      <c r="QA174" s="762"/>
      <c r="QB174" s="713"/>
      <c r="QC174" s="954"/>
      <c r="QD174" s="1152"/>
      <c r="QE174" s="955"/>
      <c r="QF174" s="747"/>
      <c r="QG174" s="890"/>
      <c r="QH174" s="841"/>
      <c r="QI174" s="841"/>
      <c r="QJ174" s="841"/>
      <c r="QK174" s="841"/>
      <c r="QL174" s="841"/>
      <c r="QM174" s="891"/>
      <c r="QN174" s="144"/>
      <c r="QO174" s="144"/>
      <c r="QP174" s="144"/>
      <c r="QQ174" s="144"/>
      <c r="QR174" s="144"/>
      <c r="QS174" s="144"/>
      <c r="QT174" s="144"/>
      <c r="WO174" s="826"/>
      <c r="WP174" s="700"/>
      <c r="WQ174" s="701"/>
      <c r="WR174" s="701"/>
      <c r="WS174" s="701"/>
      <c r="WT174" s="701"/>
      <c r="WU174" s="701"/>
      <c r="WV174" s="701"/>
      <c r="WW174" s="701"/>
      <c r="WX174" s="701"/>
      <c r="WY174" s="701"/>
      <c r="WZ174" s="701"/>
      <c r="XA174" s="701"/>
      <c r="XB174" s="909"/>
      <c r="XC174" s="1292">
        <f>WR72</f>
        <v>1.0159256182286724</v>
      </c>
      <c r="XD174" s="1293"/>
      <c r="XE174" s="1062" t="s">
        <v>415</v>
      </c>
      <c r="XF174" s="1063"/>
      <c r="XG174" s="714"/>
      <c r="XH174" s="740" t="s">
        <v>1055</v>
      </c>
      <c r="XI174" s="742"/>
      <c r="XJ174" s="746"/>
      <c r="XO174" s="767"/>
      <c r="XP174" s="665" t="s">
        <v>442</v>
      </c>
      <c r="XQ174" s="666"/>
      <c r="XR174" s="450"/>
      <c r="XS174" s="87"/>
      <c r="XT174" s="87"/>
      <c r="XU174" s="87"/>
      <c r="XV174" s="87"/>
      <c r="XW174" s="87"/>
      <c r="XX174" s="87"/>
      <c r="XY174" s="450"/>
      <c r="XZ174" s="85" t="s">
        <v>467</v>
      </c>
      <c r="YA174" s="757" t="s">
        <v>461</v>
      </c>
      <c r="YB174" s="758"/>
      <c r="YC174" s="1130" t="s">
        <v>126</v>
      </c>
      <c r="YD174" s="1131"/>
      <c r="YE174" s="675" t="s">
        <v>731</v>
      </c>
      <c r="YF174" s="676"/>
      <c r="YG174" s="821" t="s">
        <v>473</v>
      </c>
      <c r="YH174" s="822"/>
      <c r="YI174" s="822"/>
      <c r="YJ174" s="822"/>
      <c r="YK174" s="769" t="s">
        <v>462</v>
      </c>
      <c r="YL174" s="769"/>
      <c r="YM174" s="769"/>
      <c r="YN174" s="769"/>
      <c r="YO174" s="769"/>
      <c r="YP174" s="769"/>
      <c r="YQ174" s="769"/>
      <c r="YR174" s="769"/>
      <c r="YY174" s="144"/>
      <c r="YZ174" s="144"/>
      <c r="ZA174" s="144"/>
      <c r="ZF174" s="144"/>
      <c r="ZG174" s="144"/>
      <c r="ZH174" s="144"/>
      <c r="ZI174" s="144"/>
      <c r="ZJ174" s="144"/>
      <c r="ZM174" s="144"/>
      <c r="ZN174" s="144"/>
      <c r="ZO174" s="144"/>
      <c r="ZP174" s="144"/>
      <c r="ZQ174" s="144"/>
      <c r="ZR174" s="144"/>
      <c r="ZS174" s="144"/>
      <c r="ZT174" s="144"/>
      <c r="ZU174" s="144"/>
      <c r="ZV174" s="144"/>
      <c r="ZW174" s="144"/>
      <c r="ZX174" s="144"/>
      <c r="ZY174" s="144"/>
      <c r="ZZ174" s="144"/>
      <c r="AAA174" s="144"/>
      <c r="AAB174" s="144"/>
      <c r="AAC174" s="144"/>
      <c r="AIM174" s="826"/>
      <c r="AIN174" s="700"/>
      <c r="AIO174" s="701"/>
      <c r="AIP174" s="701"/>
      <c r="AIQ174" s="701"/>
      <c r="AIR174" s="701"/>
      <c r="AIS174" s="701"/>
      <c r="AIT174" s="701"/>
      <c r="AIU174" s="701"/>
      <c r="AIV174" s="701"/>
      <c r="AIW174" s="701"/>
      <c r="AIX174" s="701"/>
      <c r="AIY174" s="701"/>
      <c r="AIZ174" s="701"/>
      <c r="AJA174" s="763"/>
      <c r="AJB174" s="764"/>
      <c r="AJC174" s="700"/>
      <c r="AJD174" s="701"/>
      <c r="AJE174" s="714"/>
      <c r="AJF174" s="716" t="s">
        <v>442</v>
      </c>
      <c r="AJG174" s="717"/>
      <c r="AJH174" s="746"/>
      <c r="AJI174" s="1066" t="s">
        <v>920</v>
      </c>
      <c r="AJJ174" s="1111"/>
      <c r="AJK174" s="1067"/>
    </row>
    <row r="175" spans="249:962" ht="48" customHeight="1" thickBot="1">
      <c r="IS175" s="144"/>
      <c r="IT175" s="144"/>
      <c r="IU175" s="144"/>
      <c r="IV175" s="144"/>
      <c r="IW175" s="144"/>
      <c r="IX175" s="144"/>
      <c r="IY175" s="144"/>
      <c r="IZ175" s="144"/>
      <c r="JA175" s="144"/>
      <c r="JB175" s="144"/>
      <c r="JC175" s="144"/>
      <c r="JD175" s="144"/>
      <c r="JE175" s="144"/>
      <c r="JF175" s="144"/>
      <c r="JG175" s="144"/>
      <c r="JH175" s="144"/>
      <c r="JI175" s="144"/>
      <c r="JJ175" s="144"/>
      <c r="JK175" s="144"/>
      <c r="JL175" s="144"/>
      <c r="LZ175" s="798"/>
      <c r="MA175" s="799"/>
      <c r="MB175" s="800"/>
      <c r="MC175" s="827"/>
      <c r="MD175" s="949" t="s">
        <v>1455</v>
      </c>
      <c r="ME175" s="962"/>
      <c r="MF175" s="1132">
        <f>$MQ$170</f>
        <v>1.5</v>
      </c>
      <c r="MG175" s="1133"/>
      <c r="MH175" s="707"/>
      <c r="MI175" s="707"/>
      <c r="MJ175" s="707"/>
      <c r="MK175" s="707"/>
      <c r="ML175" s="707"/>
      <c r="MM175" s="707"/>
      <c r="MN175" s="707"/>
      <c r="MO175" s="707"/>
      <c r="MP175" s="708"/>
      <c r="MQ175" s="925"/>
      <c r="MR175" s="926"/>
      <c r="MS175" s="851"/>
      <c r="MT175" s="852"/>
      <c r="MU175" s="715"/>
      <c r="MV175" s="718"/>
      <c r="MW175" s="719"/>
      <c r="MX175" s="747"/>
      <c r="NI175" s="144"/>
      <c r="NM175" s="144"/>
      <c r="PJ175" s="827"/>
      <c r="PK175" s="511"/>
      <c r="PL175" s="883"/>
      <c r="PM175" s="883"/>
      <c r="PN175" s="706"/>
      <c r="PO175" s="707"/>
      <c r="PP175" s="707"/>
      <c r="PQ175" s="707"/>
      <c r="PR175" s="707"/>
      <c r="PS175" s="707"/>
      <c r="PT175" s="707"/>
      <c r="PU175" s="707"/>
      <c r="PV175" s="707"/>
      <c r="PW175" s="708"/>
      <c r="PX175" s="1012"/>
      <c r="PY175" s="1013"/>
      <c r="PZ175" s="1013"/>
      <c r="QA175" s="1013"/>
      <c r="QB175" s="1013"/>
      <c r="QC175" s="1013"/>
      <c r="QD175" s="1013"/>
      <c r="QE175" s="1013"/>
      <c r="QF175" s="1014"/>
      <c r="QG175" s="892"/>
      <c r="QH175" s="893"/>
      <c r="QI175" s="893"/>
      <c r="QJ175" s="893"/>
      <c r="QK175" s="893"/>
      <c r="QL175" s="893"/>
      <c r="QM175" s="894"/>
      <c r="QN175" s="144"/>
      <c r="QO175" s="144"/>
      <c r="QP175" s="144"/>
      <c r="QQ175" s="144"/>
      <c r="QR175" s="144"/>
      <c r="QS175" s="144"/>
      <c r="QT175" s="144"/>
      <c r="WO175" s="827"/>
      <c r="WP175" s="706"/>
      <c r="WQ175" s="707"/>
      <c r="WR175" s="707"/>
      <c r="WS175" s="707"/>
      <c r="WT175" s="707"/>
      <c r="WU175" s="707"/>
      <c r="WV175" s="707"/>
      <c r="WW175" s="707"/>
      <c r="WX175" s="707"/>
      <c r="WY175" s="707"/>
      <c r="WZ175" s="707"/>
      <c r="XA175" s="707"/>
      <c r="XB175" s="1165"/>
      <c r="XC175" s="1294"/>
      <c r="XD175" s="1295"/>
      <c r="XE175" s="1064"/>
      <c r="XF175" s="1065"/>
      <c r="XG175" s="715"/>
      <c r="XH175" s="743"/>
      <c r="XI175" s="745"/>
      <c r="XJ175" s="747"/>
      <c r="XO175" s="767"/>
      <c r="XP175" s="816" t="s">
        <v>1526</v>
      </c>
      <c r="XQ175" s="816"/>
      <c r="XR175" s="816"/>
      <c r="XS175" s="816"/>
      <c r="XT175" s="816"/>
      <c r="XU175" s="816"/>
      <c r="XV175" s="816"/>
      <c r="XW175" s="816"/>
      <c r="XX175" s="816"/>
      <c r="XY175" s="816"/>
      <c r="XZ175" s="816"/>
      <c r="YA175" s="816"/>
      <c r="YB175" s="685"/>
      <c r="YC175" s="763">
        <f>(YC168/(1.6*GW12*YC180))/(10^3)</f>
        <v>0.10072261861867446</v>
      </c>
      <c r="YD175" s="764"/>
      <c r="YE175" s="1122" t="s">
        <v>18</v>
      </c>
      <c r="YF175" s="1123"/>
      <c r="YG175" s="714"/>
      <c r="YH175" s="716" t="s">
        <v>1650</v>
      </c>
      <c r="YI175" s="717"/>
      <c r="YJ175" s="1119"/>
      <c r="YK175" s="767"/>
      <c r="YL175" s="767"/>
      <c r="YM175" s="767"/>
      <c r="YN175" s="767"/>
      <c r="YO175" s="767"/>
      <c r="YP175" s="767"/>
      <c r="YQ175" s="767"/>
      <c r="YR175" s="767"/>
      <c r="ZF175" s="144"/>
      <c r="ZG175" s="144"/>
      <c r="ZH175" s="144"/>
      <c r="ZI175" s="144"/>
      <c r="ZJ175" s="144"/>
      <c r="ZM175" s="144"/>
      <c r="ZN175" s="144"/>
      <c r="ZO175" s="144"/>
      <c r="ZP175" s="144"/>
      <c r="ZQ175" s="144"/>
      <c r="ZR175" s="144"/>
      <c r="ZS175" s="144"/>
      <c r="ZT175" s="144"/>
      <c r="ZU175" s="144"/>
      <c r="ZV175" s="144"/>
      <c r="ZW175" s="144"/>
      <c r="ZX175" s="144"/>
      <c r="ZY175" s="144"/>
      <c r="ZZ175" s="144"/>
      <c r="AAA175" s="144"/>
      <c r="AAB175" s="144"/>
      <c r="AAC175" s="144"/>
      <c r="AIM175" s="827"/>
      <c r="AIN175" s="706"/>
      <c r="AIO175" s="707"/>
      <c r="AIP175" s="707"/>
      <c r="AIQ175" s="707"/>
      <c r="AIR175" s="707"/>
      <c r="AIS175" s="707"/>
      <c r="AIT175" s="707"/>
      <c r="AIU175" s="707"/>
      <c r="AIV175" s="707"/>
      <c r="AIW175" s="707"/>
      <c r="AIX175" s="707"/>
      <c r="AIY175" s="707"/>
      <c r="AIZ175" s="707"/>
      <c r="AJA175" s="765"/>
      <c r="AJB175" s="766"/>
      <c r="AJC175" s="706"/>
      <c r="AJD175" s="707"/>
      <c r="AJE175" s="715"/>
      <c r="AJF175" s="718"/>
      <c r="AJG175" s="719"/>
      <c r="AJH175" s="747"/>
      <c r="AJI175" s="1112"/>
      <c r="AJJ175" s="1113"/>
      <c r="AJK175" s="1114"/>
      <c r="AJQ175" s="144"/>
      <c r="AJR175" s="144"/>
      <c r="AJS175" s="144"/>
      <c r="AJT175" s="144"/>
      <c r="AJU175" s="144"/>
      <c r="AJV175" s="144"/>
      <c r="AJW175" s="144"/>
      <c r="AJX175" s="144"/>
      <c r="AJY175" s="144"/>
      <c r="AJZ175" s="144"/>
    </row>
    <row r="176" spans="249:962" ht="48" customHeight="1" thickBot="1">
      <c r="NI176" s="144"/>
      <c r="QN176" s="144"/>
      <c r="QO176" s="144"/>
      <c r="QP176" s="144"/>
      <c r="QQ176" s="144"/>
      <c r="QR176" s="144"/>
      <c r="QS176" s="144"/>
      <c r="QT176" s="144"/>
      <c r="XO176" s="767"/>
      <c r="XP176" s="816"/>
      <c r="XQ176" s="816"/>
      <c r="XR176" s="816"/>
      <c r="XS176" s="816"/>
      <c r="XT176" s="816"/>
      <c r="XU176" s="816"/>
      <c r="XV176" s="816"/>
      <c r="XW176" s="816"/>
      <c r="XX176" s="816"/>
      <c r="XY176" s="816"/>
      <c r="XZ176" s="816"/>
      <c r="YA176" s="816"/>
      <c r="YB176" s="685"/>
      <c r="YC176" s="765"/>
      <c r="YD176" s="766"/>
      <c r="YE176" s="1124"/>
      <c r="YF176" s="1125"/>
      <c r="YG176" s="715"/>
      <c r="YH176" s="718"/>
      <c r="YI176" s="719"/>
      <c r="YJ176" s="1120"/>
      <c r="YK176" s="767"/>
      <c r="YL176" s="767"/>
      <c r="YM176" s="767"/>
      <c r="YN176" s="767"/>
      <c r="YO176" s="767"/>
      <c r="YP176" s="767"/>
      <c r="YQ176" s="767"/>
      <c r="YR176" s="767"/>
      <c r="YY176" s="144"/>
      <c r="YZ176" s="144"/>
      <c r="ZA176" s="144"/>
      <c r="ZF176" s="144"/>
      <c r="ZG176" s="144"/>
      <c r="ZH176" s="144"/>
      <c r="ZI176" s="144"/>
      <c r="ZJ176" s="144"/>
      <c r="ZM176" s="144"/>
      <c r="ZN176" s="144"/>
      <c r="ZO176" s="144"/>
      <c r="ZP176" s="144"/>
      <c r="ZQ176" s="144"/>
      <c r="ZR176" s="144"/>
      <c r="ZS176" s="144"/>
      <c r="ZT176" s="144"/>
      <c r="ZU176" s="144"/>
      <c r="ZV176" s="144"/>
      <c r="ZW176" s="144"/>
      <c r="ZX176" s="144"/>
      <c r="ZY176" s="144"/>
      <c r="ZZ176" s="144"/>
      <c r="AAA176" s="144"/>
      <c r="AAB176" s="144"/>
      <c r="AAC176" s="144"/>
      <c r="AJQ176" s="144"/>
      <c r="AJR176" s="144"/>
      <c r="AJS176" s="144"/>
      <c r="AJT176" s="144"/>
      <c r="AJU176" s="144"/>
      <c r="AJV176" s="144"/>
      <c r="AJW176" s="144"/>
      <c r="AJX176" s="144"/>
      <c r="AJY176" s="144"/>
      <c r="AJZ176" s="144"/>
    </row>
    <row r="177" spans="338:962" ht="48" customHeight="1" thickBot="1">
      <c r="LZ177" s="792" t="s">
        <v>1079</v>
      </c>
      <c r="MA177" s="793"/>
      <c r="MB177" s="794"/>
      <c r="MC177" s="825"/>
      <c r="MD177" s="665" t="s">
        <v>442</v>
      </c>
      <c r="ME177" s="666"/>
      <c r="MF177" s="370"/>
      <c r="MG177" s="696" t="s">
        <v>1453</v>
      </c>
      <c r="MH177" s="720"/>
      <c r="MI177" s="697"/>
      <c r="MJ177" s="677">
        <f>$ER$45/$GW$12</f>
        <v>2</v>
      </c>
      <c r="MK177" s="677"/>
      <c r="ML177" s="84" t="s">
        <v>729</v>
      </c>
      <c r="MM177" s="370"/>
      <c r="MN177" s="85" t="s">
        <v>467</v>
      </c>
      <c r="MO177" s="757" t="s">
        <v>461</v>
      </c>
      <c r="MP177" s="758"/>
      <c r="MQ177" s="1130" t="s">
        <v>126</v>
      </c>
      <c r="MR177" s="1131"/>
      <c r="MS177" s="675" t="s">
        <v>731</v>
      </c>
      <c r="MT177" s="676"/>
      <c r="MU177" s="821" t="s">
        <v>473</v>
      </c>
      <c r="MV177" s="822"/>
      <c r="MW177" s="822"/>
      <c r="MX177" s="823"/>
      <c r="NI177" s="144"/>
      <c r="NJ177" s="144"/>
      <c r="NK177" s="144"/>
      <c r="NL177" s="144"/>
      <c r="NM177" s="144"/>
      <c r="NN177" s="144"/>
      <c r="NO177" s="144"/>
      <c r="NP177" s="144"/>
      <c r="NQ177" s="144"/>
      <c r="NR177" s="144"/>
      <c r="NS177" s="144"/>
      <c r="OW177" s="144"/>
      <c r="OX177" s="144"/>
      <c r="OY177" s="144"/>
      <c r="OZ177" s="144"/>
      <c r="PA177" s="144"/>
      <c r="PL177" s="504"/>
      <c r="PM177" s="665" t="s">
        <v>1663</v>
      </c>
      <c r="PN177" s="667"/>
      <c r="PO177" s="504"/>
      <c r="PP177" s="685" t="s">
        <v>140</v>
      </c>
      <c r="PQ177" s="686"/>
      <c r="PR177" s="686"/>
      <c r="PS177" s="686"/>
      <c r="PT177" s="686"/>
      <c r="PU177" s="686"/>
      <c r="PV177" s="686"/>
      <c r="PW177" s="686"/>
      <c r="PX177" s="686"/>
      <c r="PY177" s="686"/>
      <c r="PZ177" s="687"/>
      <c r="QA177" s="504"/>
      <c r="QN177" s="144"/>
      <c r="QO177" s="144"/>
      <c r="QP177" s="144"/>
      <c r="QQ177" s="144"/>
      <c r="QR177" s="144"/>
      <c r="QS177" s="144"/>
      <c r="QT177" s="144"/>
      <c r="WO177" s="825"/>
      <c r="WP177" s="147" t="s">
        <v>442</v>
      </c>
      <c r="WQ177" s="148"/>
      <c r="WR177" s="231"/>
      <c r="WS177" s="87"/>
      <c r="WT177" s="87"/>
      <c r="WU177" s="87"/>
      <c r="WV177" s="87"/>
      <c r="WW177" s="87"/>
      <c r="WX177" s="87"/>
      <c r="WY177" s="231"/>
      <c r="WZ177" s="85" t="s">
        <v>467</v>
      </c>
      <c r="XA177" s="757" t="s">
        <v>461</v>
      </c>
      <c r="XB177" s="899"/>
      <c r="XC177" s="1130" t="s">
        <v>126</v>
      </c>
      <c r="XD177" s="1131"/>
      <c r="XE177" s="675" t="s">
        <v>731</v>
      </c>
      <c r="XF177" s="676"/>
      <c r="XG177" s="821" t="s">
        <v>473</v>
      </c>
      <c r="XH177" s="822"/>
      <c r="XI177" s="822"/>
      <c r="XJ177" s="823"/>
      <c r="XO177" s="768"/>
      <c r="XP177" s="818"/>
      <c r="XQ177" s="818"/>
      <c r="XR177" s="818"/>
      <c r="XS177" s="818"/>
      <c r="XT177" s="818"/>
      <c r="XU177" s="818"/>
      <c r="XV177" s="818"/>
      <c r="XW177" s="818"/>
      <c r="XX177" s="818"/>
      <c r="XY177" s="818"/>
      <c r="XZ177" s="818"/>
      <c r="YA177" s="818"/>
      <c r="YB177" s="1106"/>
      <c r="YC177" s="1022"/>
      <c r="YD177" s="1023"/>
      <c r="YE177" s="1023"/>
      <c r="YF177" s="1023"/>
      <c r="YG177" s="1023"/>
      <c r="YH177" s="1023"/>
      <c r="YI177" s="1023"/>
      <c r="YJ177" s="1024"/>
      <c r="YK177" s="768"/>
      <c r="YL177" s="768"/>
      <c r="YM177" s="768"/>
      <c r="YN177" s="768"/>
      <c r="YO177" s="768"/>
      <c r="YP177" s="768"/>
      <c r="YQ177" s="768"/>
      <c r="YR177" s="768"/>
      <c r="YV177" s="144"/>
      <c r="YW177" s="144"/>
      <c r="YX177" s="144"/>
      <c r="YY177" s="144"/>
      <c r="YZ177" s="144"/>
      <c r="ZA177" s="144"/>
      <c r="ZF177" s="144"/>
      <c r="ZG177" s="144"/>
      <c r="ZH177" s="144"/>
      <c r="ZI177" s="144"/>
      <c r="ZJ177" s="144"/>
      <c r="ZM177" s="144"/>
      <c r="ZN177" s="144"/>
      <c r="ZO177" s="144"/>
      <c r="ZP177" s="144"/>
      <c r="ZQ177" s="144"/>
      <c r="ZR177" s="144"/>
      <c r="ZS177" s="144"/>
      <c r="ZT177" s="144"/>
      <c r="ZU177" s="144"/>
      <c r="ZV177" s="144"/>
      <c r="ZW177" s="144"/>
      <c r="ZX177" s="144"/>
      <c r="ZY177" s="144"/>
      <c r="ZZ177" s="144"/>
      <c r="AAA177" s="144"/>
      <c r="AAB177" s="144"/>
      <c r="AAC177" s="144"/>
      <c r="AIM177" s="214" t="s">
        <v>899</v>
      </c>
      <c r="AIN177" s="665" t="s">
        <v>442</v>
      </c>
      <c r="AIO177" s="666"/>
      <c r="AIP177" s="156"/>
      <c r="AIQ177" s="87"/>
      <c r="AIR177" s="87"/>
      <c r="AIS177" s="87"/>
      <c r="AIT177" s="87"/>
      <c r="AIU177" s="87"/>
      <c r="AIV177" s="87"/>
      <c r="AIW177" s="156"/>
      <c r="AIX177" s="85" t="s">
        <v>467</v>
      </c>
      <c r="AIY177" s="757" t="s">
        <v>461</v>
      </c>
      <c r="AIZ177" s="758"/>
      <c r="AJA177" s="1275" t="s">
        <v>994</v>
      </c>
      <c r="AJB177" s="1276"/>
      <c r="AJC177" s="1277"/>
      <c r="AJD177" s="821" t="s">
        <v>473</v>
      </c>
      <c r="AJE177" s="822"/>
      <c r="AJF177" s="822"/>
      <c r="AJG177" s="823"/>
      <c r="AJU177" s="144"/>
      <c r="AJV177" s="144"/>
      <c r="AJW177" s="144"/>
      <c r="AJX177" s="144"/>
      <c r="AJY177" s="144"/>
      <c r="AJZ177" s="144"/>
    </row>
    <row r="178" spans="338:962" ht="48" customHeight="1">
      <c r="LZ178" s="795"/>
      <c r="MA178" s="796"/>
      <c r="MB178" s="797"/>
      <c r="MC178" s="826"/>
      <c r="MD178" s="696" t="s">
        <v>1463</v>
      </c>
      <c r="ME178" s="720"/>
      <c r="MF178" s="697"/>
      <c r="MG178" s="698">
        <f>$ER$45/($CL$40*1000)</f>
        <v>0.24643559844364712</v>
      </c>
      <c r="MH178" s="726"/>
      <c r="MI178" s="701" t="s">
        <v>1449</v>
      </c>
      <c r="MJ178" s="701"/>
      <c r="MK178" s="701"/>
      <c r="ML178" s="701"/>
      <c r="MM178" s="701"/>
      <c r="MN178" s="701"/>
      <c r="MO178" s="701"/>
      <c r="MP178" s="702"/>
      <c r="MQ178" s="923">
        <v>0</v>
      </c>
      <c r="MR178" s="924"/>
      <c r="MS178" s="849" t="s">
        <v>762</v>
      </c>
      <c r="MT178" s="850"/>
      <c r="MU178" s="714"/>
      <c r="MV178" s="1187" t="s">
        <v>1447</v>
      </c>
      <c r="MW178" s="1188"/>
      <c r="MX178" s="746"/>
      <c r="MZ178" s="144"/>
      <c r="NA178" s="144"/>
      <c r="NB178" s="144"/>
      <c r="NC178" s="144"/>
      <c r="ND178" s="144"/>
      <c r="NE178" s="144"/>
      <c r="NF178" s="144"/>
      <c r="NG178" s="144"/>
      <c r="NH178" s="144"/>
      <c r="NJ178" s="144"/>
      <c r="NK178" s="144"/>
      <c r="NL178" s="144"/>
      <c r="NM178" s="144"/>
      <c r="NN178" s="144"/>
      <c r="NO178" s="144"/>
      <c r="NP178" s="144"/>
      <c r="NQ178" s="144"/>
      <c r="NR178" s="144"/>
      <c r="NS178" s="144"/>
      <c r="NT178" s="144"/>
      <c r="NU178" s="144"/>
      <c r="NV178" s="144"/>
      <c r="NW178" s="144"/>
      <c r="NX178" s="144"/>
      <c r="NY178" s="144"/>
      <c r="NZ178" s="144"/>
      <c r="OA178" s="144"/>
      <c r="OB178" s="144"/>
      <c r="OC178" s="144"/>
      <c r="OD178" s="144"/>
      <c r="OE178" s="144"/>
      <c r="OF178" s="144"/>
      <c r="OG178" s="144"/>
      <c r="OH178" s="144"/>
      <c r="OI178" s="144"/>
      <c r="OW178" s="144"/>
      <c r="OX178" s="144"/>
      <c r="OY178" s="144"/>
      <c r="OZ178" s="144"/>
      <c r="PB178" s="144"/>
      <c r="PC178" s="144"/>
      <c r="PD178" s="144"/>
      <c r="PE178" s="144"/>
      <c r="PF178" s="144"/>
      <c r="WO178" s="826"/>
      <c r="WP178" s="700"/>
      <c r="WQ178" s="701"/>
      <c r="WR178" s="701"/>
      <c r="WS178" s="701"/>
      <c r="WT178" s="701"/>
      <c r="WU178" s="701"/>
      <c r="WV178" s="701"/>
      <c r="WW178" s="701"/>
      <c r="WX178" s="701"/>
      <c r="WY178" s="701"/>
      <c r="WZ178" s="701"/>
      <c r="XA178" s="701"/>
      <c r="XB178" s="909"/>
      <c r="XC178" s="1292">
        <v>0.34</v>
      </c>
      <c r="XD178" s="1293"/>
      <c r="XE178" s="1062" t="s">
        <v>415</v>
      </c>
      <c r="XF178" s="1063"/>
      <c r="XG178" s="714"/>
      <c r="XH178" s="740" t="s">
        <v>774</v>
      </c>
      <c r="XI178" s="742"/>
      <c r="XJ178" s="746"/>
      <c r="YV178" s="144"/>
      <c r="YW178" s="144"/>
      <c r="YX178" s="144"/>
      <c r="YY178" s="144"/>
      <c r="YZ178" s="144"/>
      <c r="ZA178" s="144"/>
      <c r="ZF178" s="144"/>
      <c r="ZG178" s="144"/>
      <c r="ZH178" s="144"/>
      <c r="ZI178" s="144"/>
      <c r="ZJ178" s="144"/>
      <c r="AIM178" s="825"/>
      <c r="AIN178" s="940" t="s">
        <v>1005</v>
      </c>
      <c r="AIO178" s="940"/>
      <c r="AIP178" s="940"/>
      <c r="AIQ178" s="940"/>
      <c r="AIR178" s="940"/>
      <c r="AIS178" s="940"/>
      <c r="AIT178" s="940"/>
      <c r="AIU178" s="940"/>
      <c r="AIV178" s="940"/>
      <c r="AIW178" s="940"/>
      <c r="AIX178" s="940"/>
      <c r="AIY178" s="940"/>
      <c r="AIZ178" s="940"/>
      <c r="AJA178" s="1278"/>
      <c r="AJB178" s="1279"/>
      <c r="AJC178" s="1280"/>
      <c r="AJD178" s="712"/>
      <c r="AJE178" s="740" t="s">
        <v>1008</v>
      </c>
      <c r="AJF178" s="742"/>
      <c r="AJG178" s="746"/>
    </row>
    <row r="179" spans="338:962" ht="48" customHeight="1" thickBot="1">
      <c r="LZ179" s="798"/>
      <c r="MA179" s="799"/>
      <c r="MB179" s="800"/>
      <c r="MC179" s="827"/>
      <c r="MD179" s="949" t="s">
        <v>1464</v>
      </c>
      <c r="ME179" s="950"/>
      <c r="MF179" s="962"/>
      <c r="MG179" s="1132">
        <f>$ER$45/($GT$32*1000)</f>
        <v>0.4435294313321807</v>
      </c>
      <c r="MH179" s="1133"/>
      <c r="MI179" s="707"/>
      <c r="MJ179" s="707"/>
      <c r="MK179" s="707"/>
      <c r="ML179" s="707"/>
      <c r="MM179" s="707"/>
      <c r="MN179" s="707"/>
      <c r="MO179" s="707"/>
      <c r="MP179" s="708"/>
      <c r="MQ179" s="925"/>
      <c r="MR179" s="926"/>
      <c r="MS179" s="851"/>
      <c r="MT179" s="852"/>
      <c r="MU179" s="715"/>
      <c r="MV179" s="1189"/>
      <c r="MW179" s="1190"/>
      <c r="MX179" s="747"/>
      <c r="MZ179" s="144"/>
      <c r="NA179" s="144"/>
      <c r="NB179" s="144"/>
      <c r="NC179" s="144"/>
      <c r="ND179" s="144"/>
      <c r="NE179" s="144"/>
      <c r="NF179" s="144"/>
      <c r="NG179" s="144"/>
      <c r="NH179" s="144"/>
      <c r="NJ179" s="144"/>
      <c r="NK179" s="144"/>
      <c r="NL179" s="144"/>
      <c r="NM179" s="144"/>
      <c r="NN179" s="144"/>
      <c r="NO179" s="144"/>
      <c r="NP179" s="144"/>
      <c r="NQ179" s="144"/>
      <c r="NR179" s="144"/>
      <c r="NS179" s="144"/>
      <c r="NT179" s="144"/>
      <c r="NU179" s="144"/>
      <c r="NV179" s="144"/>
      <c r="NW179" s="144"/>
      <c r="NX179" s="144"/>
      <c r="NY179" s="144"/>
      <c r="NZ179" s="144"/>
      <c r="OA179" s="144"/>
      <c r="OB179" s="144"/>
      <c r="OC179" s="144"/>
      <c r="OD179" s="144"/>
      <c r="OE179" s="144"/>
      <c r="OF179" s="144"/>
      <c r="OG179" s="144"/>
      <c r="OH179" s="144"/>
      <c r="OI179" s="144"/>
      <c r="OW179" s="144"/>
      <c r="OX179" s="144"/>
      <c r="OY179" s="144"/>
      <c r="OZ179" s="144"/>
      <c r="PA179" s="144"/>
      <c r="PD179" s="144"/>
      <c r="PE179" s="144"/>
      <c r="PF179" s="144"/>
      <c r="PJ179" s="825"/>
      <c r="PK179" s="695" t="s">
        <v>442</v>
      </c>
      <c r="PL179" s="695"/>
      <c r="PM179" s="504"/>
      <c r="PN179" s="696" t="s">
        <v>1750</v>
      </c>
      <c r="PO179" s="697"/>
      <c r="PP179" s="698">
        <f>$PX$184</f>
        <v>1.1676798757864739</v>
      </c>
      <c r="PQ179" s="726"/>
      <c r="PR179" s="87"/>
      <c r="PS179" s="87"/>
      <c r="PT179" s="504"/>
      <c r="PU179" s="85" t="s">
        <v>467</v>
      </c>
      <c r="PV179" s="757" t="s">
        <v>461</v>
      </c>
      <c r="PW179" s="899"/>
      <c r="PX179" s="819" t="s">
        <v>126</v>
      </c>
      <c r="PY179" s="820"/>
      <c r="PZ179" s="675" t="s">
        <v>731</v>
      </c>
      <c r="QA179" s="676"/>
      <c r="QB179" s="821" t="s">
        <v>473</v>
      </c>
      <c r="QC179" s="822"/>
      <c r="QD179" s="822"/>
      <c r="QE179" s="823"/>
      <c r="QF179" s="769" t="s">
        <v>462</v>
      </c>
      <c r="QG179" s="769"/>
      <c r="QH179" s="769"/>
      <c r="QI179" s="769"/>
      <c r="QJ179" s="769"/>
      <c r="WO179" s="827"/>
      <c r="WP179" s="706"/>
      <c r="WQ179" s="707"/>
      <c r="WR179" s="707"/>
      <c r="WS179" s="707"/>
      <c r="WT179" s="707"/>
      <c r="WU179" s="707"/>
      <c r="WV179" s="707"/>
      <c r="WW179" s="707"/>
      <c r="WX179" s="707"/>
      <c r="WY179" s="707"/>
      <c r="WZ179" s="707"/>
      <c r="XA179" s="707"/>
      <c r="XB179" s="1165"/>
      <c r="XC179" s="1294"/>
      <c r="XD179" s="1295"/>
      <c r="XE179" s="1064"/>
      <c r="XF179" s="1065"/>
      <c r="XG179" s="715"/>
      <c r="XH179" s="743"/>
      <c r="XI179" s="745"/>
      <c r="XJ179" s="747"/>
      <c r="XO179" s="825"/>
      <c r="XP179" s="665" t="s">
        <v>442</v>
      </c>
      <c r="XQ179" s="666"/>
      <c r="XR179" s="450"/>
      <c r="XS179" s="87"/>
      <c r="XT179" s="87"/>
      <c r="XU179" s="87"/>
      <c r="XV179" s="87"/>
      <c r="XW179" s="87"/>
      <c r="XX179" s="87"/>
      <c r="XY179" s="450"/>
      <c r="XZ179" s="85" t="s">
        <v>467</v>
      </c>
      <c r="YA179" s="757" t="s">
        <v>461</v>
      </c>
      <c r="YB179" s="899"/>
      <c r="YC179" s="774" t="s">
        <v>126</v>
      </c>
      <c r="YD179" s="776"/>
      <c r="YE179" s="675" t="s">
        <v>731</v>
      </c>
      <c r="YF179" s="676"/>
      <c r="YG179" s="821" t="s">
        <v>473</v>
      </c>
      <c r="YH179" s="822"/>
      <c r="YI179" s="822"/>
      <c r="YJ179" s="823"/>
      <c r="YK179" s="769" t="s">
        <v>462</v>
      </c>
      <c r="YL179" s="769"/>
      <c r="YM179" s="769"/>
      <c r="YN179" s="769"/>
      <c r="YO179" s="769"/>
      <c r="YP179" s="769"/>
      <c r="YQ179" s="769"/>
      <c r="YR179" s="769"/>
      <c r="YV179" s="144"/>
      <c r="YW179" s="144"/>
      <c r="YX179" s="144"/>
      <c r="YY179" s="144"/>
      <c r="YZ179" s="144"/>
      <c r="AIM179" s="826"/>
      <c r="AIN179" s="942"/>
      <c r="AIO179" s="942"/>
      <c r="AIP179" s="942"/>
      <c r="AIQ179" s="942"/>
      <c r="AIR179" s="942"/>
      <c r="AIS179" s="942"/>
      <c r="AIT179" s="942"/>
      <c r="AIU179" s="942"/>
      <c r="AIV179" s="942"/>
      <c r="AIW179" s="942"/>
      <c r="AIX179" s="942"/>
      <c r="AIY179" s="942"/>
      <c r="AIZ179" s="942"/>
      <c r="AJA179" s="1278"/>
      <c r="AJB179" s="1279"/>
      <c r="AJC179" s="1280"/>
      <c r="AJD179" s="713"/>
      <c r="AJE179" s="743"/>
      <c r="AJF179" s="745"/>
      <c r="AJG179" s="747"/>
    </row>
    <row r="180" spans="338:962" ht="48" customHeight="1" thickBot="1">
      <c r="NJ180" s="144"/>
      <c r="NK180" s="144"/>
      <c r="NL180" s="144"/>
      <c r="NM180" s="144"/>
      <c r="NN180" s="144"/>
      <c r="NO180" s="144"/>
      <c r="NP180" s="144"/>
      <c r="NQ180" s="144"/>
      <c r="NR180" s="144"/>
      <c r="NS180" s="144"/>
      <c r="NT180" s="144"/>
      <c r="NU180" s="144"/>
      <c r="NV180" s="144"/>
      <c r="NW180" s="144"/>
      <c r="NX180" s="144"/>
      <c r="NY180" s="144"/>
      <c r="NZ180" s="144"/>
      <c r="OA180" s="144"/>
      <c r="OB180" s="144"/>
      <c r="OC180" s="144"/>
      <c r="OD180" s="144"/>
      <c r="OE180" s="144"/>
      <c r="OF180" s="144"/>
      <c r="OG180" s="144"/>
      <c r="OH180" s="144"/>
      <c r="OI180" s="144"/>
      <c r="OW180" s="144"/>
      <c r="OX180" s="144"/>
      <c r="OY180" s="144"/>
      <c r="OZ180" s="144"/>
      <c r="PB180" s="144"/>
      <c r="PC180" s="144"/>
      <c r="PD180" s="144"/>
      <c r="PE180" s="144"/>
      <c r="PF180" s="144"/>
      <c r="PJ180" s="826"/>
      <c r="PK180" s="548" t="s">
        <v>1301</v>
      </c>
      <c r="PL180" s="677">
        <f>$JF$159</f>
        <v>10.982076761995994</v>
      </c>
      <c r="PM180" s="677"/>
      <c r="PN180" s="700" t="s">
        <v>140</v>
      </c>
      <c r="PO180" s="701"/>
      <c r="PP180" s="701"/>
      <c r="PQ180" s="701"/>
      <c r="PR180" s="701"/>
      <c r="PS180" s="701"/>
      <c r="PT180" s="701"/>
      <c r="PU180" s="701"/>
      <c r="PV180" s="701"/>
      <c r="PW180" s="702"/>
      <c r="PX180" s="763">
        <f>(PP179^2+PL180^2)^0.5</f>
        <v>11.043979640450681</v>
      </c>
      <c r="PY180" s="764"/>
      <c r="PZ180" s="1649" t="s">
        <v>35</v>
      </c>
      <c r="QA180" s="1063"/>
      <c r="QB180" s="714"/>
      <c r="QC180" s="952" t="s">
        <v>1726</v>
      </c>
      <c r="QD180" s="953"/>
      <c r="QE180" s="746"/>
      <c r="QF180" s="767"/>
      <c r="QG180" s="767"/>
      <c r="QH180" s="767"/>
      <c r="QI180" s="767"/>
      <c r="QJ180" s="767"/>
      <c r="XO180" s="826"/>
      <c r="XP180" s="475" t="s">
        <v>757</v>
      </c>
      <c r="XQ180" s="677">
        <f>$GW$12</f>
        <v>2</v>
      </c>
      <c r="XR180" s="677"/>
      <c r="XS180" s="700" t="s">
        <v>1524</v>
      </c>
      <c r="XT180" s="701"/>
      <c r="XU180" s="701"/>
      <c r="XV180" s="701"/>
      <c r="XW180" s="701"/>
      <c r="XX180" s="701"/>
      <c r="XY180" s="701"/>
      <c r="XZ180" s="701"/>
      <c r="YA180" s="701"/>
      <c r="YB180" s="702"/>
      <c r="YC180" s="1087">
        <f>0.64+2.5*(GW12/((CL40+GT32)*1000))^0.5</f>
        <v>1.3435977056033903</v>
      </c>
      <c r="YD180" s="1006"/>
      <c r="YE180" s="1115" t="s">
        <v>762</v>
      </c>
      <c r="YF180" s="1116"/>
      <c r="YG180" s="714"/>
      <c r="YH180" s="716" t="s">
        <v>1525</v>
      </c>
      <c r="YI180" s="717"/>
      <c r="YJ180" s="746"/>
      <c r="YK180" s="767"/>
      <c r="YL180" s="767"/>
      <c r="YM180" s="767"/>
      <c r="YN180" s="767"/>
      <c r="YO180" s="767"/>
      <c r="YP180" s="767"/>
      <c r="YQ180" s="767"/>
      <c r="YR180" s="767"/>
      <c r="YV180" s="144"/>
      <c r="YW180" s="144"/>
      <c r="YX180" s="144"/>
      <c r="YY180" s="144"/>
      <c r="YZ180" s="144"/>
      <c r="AIM180" s="827"/>
      <c r="AIN180" s="944"/>
      <c r="AIO180" s="944"/>
      <c r="AIP180" s="944"/>
      <c r="AIQ180" s="944"/>
      <c r="AIR180" s="944"/>
      <c r="AIS180" s="944"/>
      <c r="AIT180" s="944"/>
      <c r="AIU180" s="944"/>
      <c r="AIV180" s="944"/>
      <c r="AIW180" s="944"/>
      <c r="AIX180" s="944"/>
      <c r="AIY180" s="944"/>
      <c r="AIZ180" s="944"/>
      <c r="AJA180" s="1281"/>
      <c r="AJB180" s="1282"/>
      <c r="AJC180" s="1283"/>
      <c r="AJD180" s="222"/>
      <c r="AJE180" s="222"/>
      <c r="AJF180" s="222"/>
      <c r="AJG180" s="223"/>
    </row>
    <row r="181" spans="338:962" ht="48" customHeight="1" thickBot="1">
      <c r="LZ181" s="792" t="s">
        <v>1079</v>
      </c>
      <c r="MA181" s="793"/>
      <c r="MB181" s="794"/>
      <c r="MC181" s="419" t="s">
        <v>1466</v>
      </c>
      <c r="MD181" s="665" t="s">
        <v>442</v>
      </c>
      <c r="ME181" s="666"/>
      <c r="MF181" s="370"/>
      <c r="MG181" s="87"/>
      <c r="MH181" s="87"/>
      <c r="MI181" s="87"/>
      <c r="MJ181" s="87"/>
      <c r="MK181" s="87"/>
      <c r="ML181" s="84" t="s">
        <v>729</v>
      </c>
      <c r="MM181" s="370"/>
      <c r="MN181" s="85" t="s">
        <v>467</v>
      </c>
      <c r="MO181" s="757" t="s">
        <v>461</v>
      </c>
      <c r="MP181" s="758"/>
      <c r="MQ181" s="1130" t="s">
        <v>126</v>
      </c>
      <c r="MR181" s="1131"/>
      <c r="MS181" s="675" t="s">
        <v>731</v>
      </c>
      <c r="MT181" s="676"/>
      <c r="MU181" s="821" t="s">
        <v>473</v>
      </c>
      <c r="MV181" s="822"/>
      <c r="MW181" s="822"/>
      <c r="MX181" s="823"/>
      <c r="NI181" s="144"/>
      <c r="NK181" s="144"/>
      <c r="NL181" s="144"/>
      <c r="NM181" s="144"/>
      <c r="NN181" s="144"/>
      <c r="NO181" s="144"/>
      <c r="NP181" s="144"/>
      <c r="NQ181" s="144"/>
      <c r="NR181" s="144"/>
      <c r="NS181" s="144"/>
      <c r="NT181" s="144"/>
      <c r="NU181" s="144"/>
      <c r="NV181" s="144"/>
      <c r="NW181" s="144"/>
      <c r="NX181" s="144"/>
      <c r="NY181" s="144"/>
      <c r="NZ181" s="144"/>
      <c r="OA181" s="144"/>
      <c r="OB181" s="144"/>
      <c r="OC181" s="144"/>
      <c r="OD181" s="144"/>
      <c r="OE181" s="144"/>
      <c r="OF181" s="144"/>
      <c r="OG181" s="144"/>
      <c r="OH181" s="144"/>
      <c r="OI181" s="144"/>
      <c r="OW181" s="144"/>
      <c r="OX181" s="144"/>
      <c r="OY181" s="144"/>
      <c r="OZ181" s="144"/>
      <c r="PA181" s="144"/>
      <c r="PE181" s="144"/>
      <c r="PF181" s="144"/>
      <c r="PJ181" s="827"/>
      <c r="PK181" s="930"/>
      <c r="PL181" s="931"/>
      <c r="PM181" s="931"/>
      <c r="PN181" s="706"/>
      <c r="PO181" s="707"/>
      <c r="PP181" s="707"/>
      <c r="PQ181" s="707"/>
      <c r="PR181" s="707"/>
      <c r="PS181" s="707"/>
      <c r="PT181" s="707"/>
      <c r="PU181" s="707"/>
      <c r="PV181" s="707"/>
      <c r="PW181" s="708"/>
      <c r="PX181" s="765"/>
      <c r="PY181" s="766"/>
      <c r="PZ181" s="1650"/>
      <c r="QA181" s="1065"/>
      <c r="QB181" s="715"/>
      <c r="QC181" s="954"/>
      <c r="QD181" s="955"/>
      <c r="QE181" s="747"/>
      <c r="QF181" s="768"/>
      <c r="QG181" s="768"/>
      <c r="QH181" s="768"/>
      <c r="QI181" s="768"/>
      <c r="QJ181" s="768"/>
      <c r="WO181" s="825"/>
      <c r="WP181" s="147" t="s">
        <v>442</v>
      </c>
      <c r="WQ181" s="148"/>
      <c r="WR181" s="230"/>
      <c r="WS181" s="87"/>
      <c r="WT181" s="87"/>
      <c r="WU181" s="87"/>
      <c r="WV181" s="87"/>
      <c r="WW181" s="87"/>
      <c r="WX181" s="87"/>
      <c r="WY181" s="230"/>
      <c r="WZ181" s="85" t="s">
        <v>467</v>
      </c>
      <c r="XA181" s="757" t="s">
        <v>461</v>
      </c>
      <c r="XB181" s="899"/>
      <c r="XC181" s="1130" t="s">
        <v>126</v>
      </c>
      <c r="XD181" s="1131"/>
      <c r="XE181" s="675" t="s">
        <v>731</v>
      </c>
      <c r="XF181" s="676"/>
      <c r="XG181" s="821" t="s">
        <v>473</v>
      </c>
      <c r="XH181" s="822"/>
      <c r="XI181" s="822"/>
      <c r="XJ181" s="823"/>
      <c r="XO181" s="826"/>
      <c r="XP181" s="473" t="s">
        <v>1125</v>
      </c>
      <c r="XQ181" s="739">
        <f>$CL$40</f>
        <v>1.6231421212121216E-2</v>
      </c>
      <c r="XR181" s="739"/>
      <c r="XS181" s="703"/>
      <c r="XT181" s="704"/>
      <c r="XU181" s="704"/>
      <c r="XV181" s="704"/>
      <c r="XW181" s="704"/>
      <c r="XX181" s="704"/>
      <c r="XY181" s="704"/>
      <c r="XZ181" s="704"/>
      <c r="YA181" s="704"/>
      <c r="YB181" s="705"/>
      <c r="YC181" s="1089"/>
      <c r="YD181" s="708"/>
      <c r="YE181" s="1117"/>
      <c r="YF181" s="1118"/>
      <c r="YG181" s="715"/>
      <c r="YH181" s="718"/>
      <c r="YI181" s="719"/>
      <c r="YJ181" s="747"/>
      <c r="YK181" s="767"/>
      <c r="YL181" s="767"/>
      <c r="YM181" s="767"/>
      <c r="YN181" s="767"/>
      <c r="YO181" s="767"/>
      <c r="YP181" s="767"/>
      <c r="YQ181" s="767"/>
      <c r="YR181" s="767"/>
      <c r="YV181" s="144"/>
      <c r="YW181" s="144"/>
      <c r="YX181" s="144"/>
      <c r="YY181" s="144"/>
      <c r="YZ181" s="144"/>
      <c r="AJE181" s="144"/>
      <c r="AJF181" s="144"/>
      <c r="AJG181" s="144"/>
      <c r="AJH181" s="144"/>
      <c r="AJI181" s="144"/>
      <c r="AJJ181" s="144"/>
      <c r="AJQ181" s="144"/>
      <c r="AJR181" s="144"/>
      <c r="AJS181" s="144"/>
      <c r="AJT181" s="144"/>
      <c r="AJX181" s="144"/>
      <c r="AJY181" s="144"/>
      <c r="AJZ181" s="144"/>
    </row>
    <row r="182" spans="338:962" ht="48" customHeight="1" thickBot="1">
      <c r="LZ182" s="795"/>
      <c r="MA182" s="796"/>
      <c r="MB182" s="797"/>
      <c r="MC182" s="825"/>
      <c r="MD182" s="473" t="s">
        <v>1125</v>
      </c>
      <c r="ME182" s="739">
        <f>$CL$40</f>
        <v>1.6231421212121216E-2</v>
      </c>
      <c r="MF182" s="739"/>
      <c r="MG182" s="701" t="s">
        <v>1450</v>
      </c>
      <c r="MH182" s="701"/>
      <c r="MI182" s="701"/>
      <c r="MJ182" s="701"/>
      <c r="MK182" s="701"/>
      <c r="ML182" s="701"/>
      <c r="MM182" s="701"/>
      <c r="MN182" s="701"/>
      <c r="MO182" s="701"/>
      <c r="MP182" s="702"/>
      <c r="MQ182" s="923">
        <v>0.04</v>
      </c>
      <c r="MR182" s="924"/>
      <c r="MS182" s="849" t="s">
        <v>762</v>
      </c>
      <c r="MT182" s="850"/>
      <c r="MU182" s="714"/>
      <c r="MV182" s="716" t="s">
        <v>1446</v>
      </c>
      <c r="MW182" s="717"/>
      <c r="MX182" s="746"/>
      <c r="NI182" s="144"/>
      <c r="NK182" s="144"/>
      <c r="NL182" s="144"/>
      <c r="NM182" s="144"/>
      <c r="NN182" s="144"/>
      <c r="NO182" s="144"/>
      <c r="NP182" s="144"/>
      <c r="NQ182" s="144"/>
      <c r="NR182" s="144"/>
      <c r="NS182" s="144"/>
      <c r="NT182" s="144"/>
      <c r="NU182" s="144"/>
      <c r="NV182" s="144"/>
      <c r="NW182" s="144"/>
      <c r="NX182" s="144"/>
      <c r="NY182" s="144"/>
      <c r="NZ182" s="144"/>
      <c r="OA182" s="144"/>
      <c r="OB182" s="144"/>
      <c r="OC182" s="144"/>
      <c r="OD182" s="144"/>
      <c r="OE182" s="144"/>
      <c r="OF182" s="144"/>
      <c r="OG182" s="144"/>
      <c r="OH182" s="144"/>
      <c r="OI182" s="144"/>
      <c r="OW182" s="144"/>
      <c r="OX182" s="144"/>
      <c r="OY182" s="144"/>
      <c r="OZ182" s="144"/>
      <c r="PA182" s="144"/>
      <c r="PB182" s="144"/>
      <c r="PC182" s="144"/>
      <c r="PD182" s="144"/>
      <c r="PE182" s="144"/>
      <c r="PF182" s="144"/>
      <c r="WO182" s="826"/>
      <c r="WP182" s="700"/>
      <c r="WQ182" s="701"/>
      <c r="WR182" s="701"/>
      <c r="WS182" s="701"/>
      <c r="WT182" s="701"/>
      <c r="WU182" s="701"/>
      <c r="WV182" s="701"/>
      <c r="WW182" s="701"/>
      <c r="WX182" s="701"/>
      <c r="WY182" s="701"/>
      <c r="WZ182" s="701"/>
      <c r="XA182" s="701"/>
      <c r="XB182" s="909"/>
      <c r="XC182" s="1175">
        <f>'Вывод расчетов'!WR80</f>
        <v>1.0321048617733104</v>
      </c>
      <c r="XD182" s="1176"/>
      <c r="XE182" s="1062" t="s">
        <v>415</v>
      </c>
      <c r="XF182" s="1063"/>
      <c r="XG182" s="714"/>
      <c r="XH182" s="740" t="s">
        <v>1056</v>
      </c>
      <c r="XI182" s="742"/>
      <c r="XJ182" s="746"/>
      <c r="XO182" s="827"/>
      <c r="XP182" s="474" t="s">
        <v>1129</v>
      </c>
      <c r="XQ182" s="828">
        <f>$GT$32</f>
        <v>9.0185672413793123E-3</v>
      </c>
      <c r="XR182" s="828"/>
      <c r="XS182" s="706"/>
      <c r="XT182" s="707"/>
      <c r="XU182" s="707"/>
      <c r="XV182" s="707"/>
      <c r="XW182" s="707"/>
      <c r="XX182" s="707"/>
      <c r="XY182" s="707"/>
      <c r="XZ182" s="707"/>
      <c r="YA182" s="707"/>
      <c r="YB182" s="708"/>
      <c r="YC182" s="1012"/>
      <c r="YD182" s="1013"/>
      <c r="YE182" s="1013"/>
      <c r="YF182" s="1013"/>
      <c r="YG182" s="1013"/>
      <c r="YH182" s="1013"/>
      <c r="YI182" s="1013"/>
      <c r="YJ182" s="1014"/>
      <c r="YK182" s="768"/>
      <c r="YL182" s="768"/>
      <c r="YM182" s="768"/>
      <c r="YN182" s="768"/>
      <c r="YO182" s="768"/>
      <c r="YP182" s="768"/>
      <c r="YQ182" s="768"/>
      <c r="YR182" s="768"/>
      <c r="YV182" s="144"/>
      <c r="YW182" s="144"/>
      <c r="YX182" s="144"/>
      <c r="YY182" s="144"/>
      <c r="YZ182" s="144"/>
      <c r="ZA182" s="144"/>
      <c r="AIM182" s="792" t="s">
        <v>1013</v>
      </c>
      <c r="AIN182" s="793"/>
      <c r="AIO182" s="794"/>
      <c r="AIP182" s="825"/>
      <c r="AIQ182" s="665" t="s">
        <v>442</v>
      </c>
      <c r="AIR182" s="666"/>
      <c r="AIS182" s="219"/>
      <c r="AIT182" s="87"/>
      <c r="AIU182" s="87"/>
      <c r="AIV182" s="87"/>
      <c r="AIW182" s="87"/>
      <c r="AIX182" s="87"/>
      <c r="AIY182" s="87"/>
      <c r="AIZ182" s="219"/>
      <c r="AJA182" s="85" t="s">
        <v>467</v>
      </c>
      <c r="AJB182" s="757" t="s">
        <v>461</v>
      </c>
      <c r="AJC182" s="899"/>
      <c r="AJD182" s="819" t="s">
        <v>126</v>
      </c>
      <c r="AJE182" s="820"/>
      <c r="AJF182" s="675" t="s">
        <v>731</v>
      </c>
      <c r="AJG182" s="676"/>
      <c r="AJH182" s="821" t="s">
        <v>473</v>
      </c>
      <c r="AJI182" s="822"/>
      <c r="AJJ182" s="822"/>
      <c r="AJK182" s="823"/>
      <c r="AJL182" s="821" t="s">
        <v>921</v>
      </c>
      <c r="AJM182" s="822"/>
      <c r="AJN182" s="823"/>
      <c r="AJQ182" s="144"/>
      <c r="AJR182" s="144"/>
      <c r="AJS182" s="144"/>
      <c r="AJT182" s="144"/>
      <c r="AJU182" s="144"/>
      <c r="AJV182" s="144"/>
      <c r="AJW182" s="144"/>
      <c r="AJX182" s="144"/>
      <c r="AJY182" s="144"/>
      <c r="AJZ182" s="144"/>
    </row>
    <row r="183" spans="338:962" ht="48" customHeight="1" thickBot="1">
      <c r="LZ183" s="798"/>
      <c r="MA183" s="799"/>
      <c r="MB183" s="800"/>
      <c r="MC183" s="827"/>
      <c r="MD183" s="474" t="s">
        <v>1129</v>
      </c>
      <c r="ME183" s="828">
        <f>$GT$32</f>
        <v>9.0185672413793123E-3</v>
      </c>
      <c r="MF183" s="828"/>
      <c r="MG183" s="707"/>
      <c r="MH183" s="707"/>
      <c r="MI183" s="707"/>
      <c r="MJ183" s="707"/>
      <c r="MK183" s="707"/>
      <c r="ML183" s="707"/>
      <c r="MM183" s="707"/>
      <c r="MN183" s="707"/>
      <c r="MO183" s="707"/>
      <c r="MP183" s="708"/>
      <c r="MQ183" s="925"/>
      <c r="MR183" s="926"/>
      <c r="MS183" s="851"/>
      <c r="MT183" s="852"/>
      <c r="MU183" s="715"/>
      <c r="MV183" s="718"/>
      <c r="MW183" s="719"/>
      <c r="MX183" s="747"/>
      <c r="MZ183" s="144"/>
      <c r="NA183" s="144"/>
      <c r="NB183" s="144"/>
      <c r="NC183" s="144"/>
      <c r="ND183" s="144"/>
      <c r="NE183" s="144"/>
      <c r="NK183" s="144"/>
      <c r="NL183" s="144"/>
      <c r="NM183" s="144"/>
      <c r="NN183" s="144"/>
      <c r="NO183" s="144"/>
      <c r="NP183" s="144"/>
      <c r="NQ183" s="144"/>
      <c r="NR183" s="144"/>
      <c r="NS183" s="144"/>
      <c r="NT183" s="144"/>
      <c r="NU183" s="144"/>
      <c r="NV183" s="144"/>
      <c r="NW183" s="144"/>
      <c r="NX183" s="144"/>
      <c r="NY183" s="144"/>
      <c r="NZ183" s="144"/>
      <c r="OA183" s="144"/>
      <c r="OB183" s="144"/>
      <c r="OC183" s="144"/>
      <c r="OD183" s="144"/>
      <c r="OE183" s="144"/>
      <c r="OF183" s="144"/>
      <c r="OG183" s="144"/>
      <c r="OH183" s="144"/>
      <c r="OI183" s="144"/>
      <c r="OW183" s="144"/>
      <c r="OX183" s="144"/>
      <c r="OY183" s="144"/>
      <c r="OZ183" s="144"/>
      <c r="PA183" s="144"/>
      <c r="PB183" s="144"/>
      <c r="PC183" s="144"/>
      <c r="PD183" s="144"/>
      <c r="PE183" s="144"/>
      <c r="PF183" s="144"/>
      <c r="PJ183" s="825"/>
      <c r="PK183" s="695" t="s">
        <v>442</v>
      </c>
      <c r="PL183" s="695"/>
      <c r="PM183" s="515"/>
      <c r="PN183" s="355" t="s">
        <v>863</v>
      </c>
      <c r="PO183" s="724">
        <f>$CM$32</f>
        <v>3</v>
      </c>
      <c r="PP183" s="724"/>
      <c r="PQ183" s="87"/>
      <c r="PR183" s="87"/>
      <c r="PS183" s="87"/>
      <c r="PT183" s="515"/>
      <c r="PU183" s="85" t="s">
        <v>467</v>
      </c>
      <c r="PV183" s="757" t="s">
        <v>461</v>
      </c>
      <c r="PW183" s="758"/>
      <c r="PX183" s="819" t="s">
        <v>126</v>
      </c>
      <c r="PY183" s="820"/>
      <c r="PZ183" s="675" t="s">
        <v>731</v>
      </c>
      <c r="QA183" s="676"/>
      <c r="QB183" s="821" t="s">
        <v>473</v>
      </c>
      <c r="QC183" s="822"/>
      <c r="QD183" s="822"/>
      <c r="QE183" s="823"/>
      <c r="QF183" s="769" t="s">
        <v>462</v>
      </c>
      <c r="QG183" s="769"/>
      <c r="QH183" s="769"/>
      <c r="QI183" s="769"/>
      <c r="QJ183" s="769"/>
      <c r="QK183" s="769"/>
      <c r="QL183" s="769"/>
      <c r="QM183" s="769"/>
      <c r="QN183" s="769"/>
      <c r="WO183" s="827"/>
      <c r="WP183" s="706"/>
      <c r="WQ183" s="707"/>
      <c r="WR183" s="707"/>
      <c r="WS183" s="707"/>
      <c r="WT183" s="707"/>
      <c r="WU183" s="707"/>
      <c r="WV183" s="707"/>
      <c r="WW183" s="707"/>
      <c r="WX183" s="707"/>
      <c r="WY183" s="707"/>
      <c r="WZ183" s="707"/>
      <c r="XA183" s="707"/>
      <c r="XB183" s="1165"/>
      <c r="XC183" s="1177"/>
      <c r="XD183" s="1178"/>
      <c r="XE183" s="1064"/>
      <c r="XF183" s="1065"/>
      <c r="XG183" s="715"/>
      <c r="XH183" s="743"/>
      <c r="XI183" s="745"/>
      <c r="XJ183" s="747"/>
      <c r="YV183" s="144"/>
      <c r="YW183" s="144"/>
      <c r="YX183" s="144"/>
      <c r="YY183" s="144"/>
      <c r="YZ183" s="144"/>
      <c r="ZA183" s="144"/>
      <c r="AIM183" s="795"/>
      <c r="AIN183" s="796"/>
      <c r="AIO183" s="797"/>
      <c r="AIP183" s="826"/>
      <c r="AIQ183" s="700" t="s">
        <v>1009</v>
      </c>
      <c r="AIR183" s="701"/>
      <c r="AIS183" s="701"/>
      <c r="AIT183" s="701"/>
      <c r="AIU183" s="701"/>
      <c r="AIV183" s="701"/>
      <c r="AIW183" s="701"/>
      <c r="AIX183" s="701"/>
      <c r="AIY183" s="701"/>
      <c r="AIZ183" s="701"/>
      <c r="AJA183" s="701"/>
      <c r="AJB183" s="701"/>
      <c r="AJC183" s="701"/>
      <c r="AJD183" s="1087">
        <v>2.5</v>
      </c>
      <c r="AJE183" s="1006"/>
      <c r="AJF183" s="849" t="s">
        <v>762</v>
      </c>
      <c r="AJG183" s="850"/>
      <c r="AJH183" s="714"/>
      <c r="AJI183" s="740" t="s">
        <v>1008</v>
      </c>
      <c r="AJJ183" s="742"/>
      <c r="AJK183" s="746"/>
      <c r="AJL183" s="1066" t="s">
        <v>920</v>
      </c>
      <c r="AJM183" s="1111"/>
      <c r="AJN183" s="1067"/>
    </row>
    <row r="184" spans="338:962" ht="48" customHeight="1" thickBot="1">
      <c r="NB184" s="144"/>
      <c r="NC184" s="144"/>
      <c r="ND184" s="144"/>
      <c r="NE184" s="144"/>
      <c r="NK184" s="144"/>
      <c r="NL184" s="144"/>
      <c r="NM184" s="144"/>
      <c r="NN184" s="144"/>
      <c r="NO184" s="144"/>
      <c r="NP184" s="144"/>
      <c r="NQ184" s="144"/>
      <c r="NR184" s="144"/>
      <c r="NS184" s="144"/>
      <c r="NT184" s="144"/>
      <c r="NU184" s="144"/>
      <c r="NV184" s="144"/>
      <c r="NW184" s="144"/>
      <c r="NX184" s="144"/>
      <c r="NY184" s="144"/>
      <c r="NZ184" s="144"/>
      <c r="OA184" s="144"/>
      <c r="OB184" s="144"/>
      <c r="OC184" s="144"/>
      <c r="OD184" s="144"/>
      <c r="OE184" s="144"/>
      <c r="OF184" s="144"/>
      <c r="OG184" s="144"/>
      <c r="OH184" s="144"/>
      <c r="OI184" s="144"/>
      <c r="OW184" s="144"/>
      <c r="OX184" s="144"/>
      <c r="OY184" s="144"/>
      <c r="OZ184" s="144"/>
      <c r="PA184" s="144"/>
      <c r="PB184" s="144"/>
      <c r="PC184" s="144"/>
      <c r="PD184" s="144"/>
      <c r="PE184" s="144"/>
      <c r="PF184" s="144"/>
      <c r="PJ184" s="826"/>
      <c r="PK184" s="863" t="s">
        <v>1752</v>
      </c>
      <c r="PL184" s="863"/>
      <c r="PM184" s="756">
        <f>$PX$126</f>
        <v>400.20783985168828</v>
      </c>
      <c r="PN184" s="756"/>
      <c r="PO184" s="701" t="s">
        <v>174</v>
      </c>
      <c r="PP184" s="701"/>
      <c r="PQ184" s="701"/>
      <c r="PR184" s="701"/>
      <c r="PS184" s="701"/>
      <c r="PT184" s="701"/>
      <c r="PU184" s="701"/>
      <c r="PV184" s="701"/>
      <c r="PW184" s="702"/>
      <c r="PX184" s="763">
        <f>((PM184+PM185+PM186)/(PO183*AQ6))</f>
        <v>1.1676798757864739</v>
      </c>
      <c r="PY184" s="764"/>
      <c r="PZ184" s="1649" t="s">
        <v>35</v>
      </c>
      <c r="QA184" s="1063"/>
      <c r="QB184" s="712"/>
      <c r="QC184" s="952" t="s">
        <v>1727</v>
      </c>
      <c r="QD184" s="953"/>
      <c r="QE184" s="746"/>
      <c r="QF184" s="767"/>
      <c r="QG184" s="767"/>
      <c r="QH184" s="767"/>
      <c r="QI184" s="767"/>
      <c r="QJ184" s="767"/>
      <c r="QK184" s="767"/>
      <c r="QL184" s="767"/>
      <c r="QM184" s="767"/>
      <c r="QN184" s="767"/>
      <c r="WU184" s="144"/>
      <c r="WV184" s="144"/>
      <c r="WW184" s="144"/>
      <c r="WX184" s="144"/>
      <c r="WY184" s="144"/>
      <c r="WZ184" s="144"/>
      <c r="XA184" s="144"/>
      <c r="XB184" s="144"/>
      <c r="XC184" s="144"/>
      <c r="XD184" s="144"/>
      <c r="XE184" s="144"/>
      <c r="XF184" s="144"/>
      <c r="XG184" s="144"/>
      <c r="XH184" s="144"/>
      <c r="XQ184" s="150"/>
      <c r="XR184" s="695" t="s">
        <v>937</v>
      </c>
      <c r="XS184" s="695"/>
      <c r="XT184" s="150"/>
      <c r="XU184" s="727" t="s">
        <v>1538</v>
      </c>
      <c r="XV184" s="727"/>
      <c r="XW184" s="727"/>
      <c r="XX184" s="727"/>
      <c r="XY184" s="727"/>
      <c r="XZ184" s="727"/>
      <c r="YA184" s="727"/>
      <c r="YB184" s="727"/>
      <c r="YC184" s="727"/>
      <c r="YD184" s="727"/>
      <c r="YE184" s="727"/>
      <c r="YF184" s="150"/>
      <c r="YV184" s="144"/>
      <c r="YW184" s="144"/>
      <c r="YX184" s="144"/>
      <c r="YY184" s="144"/>
      <c r="YZ184" s="144"/>
      <c r="ZA184" s="144"/>
      <c r="AIM184" s="798"/>
      <c r="AIN184" s="799"/>
      <c r="AIO184" s="800"/>
      <c r="AIP184" s="827"/>
      <c r="AIQ184" s="706"/>
      <c r="AIR184" s="707"/>
      <c r="AIS184" s="707"/>
      <c r="AIT184" s="707"/>
      <c r="AIU184" s="707"/>
      <c r="AIV184" s="707"/>
      <c r="AIW184" s="707"/>
      <c r="AIX184" s="707"/>
      <c r="AIY184" s="707"/>
      <c r="AIZ184" s="707"/>
      <c r="AJA184" s="707"/>
      <c r="AJB184" s="707"/>
      <c r="AJC184" s="707"/>
      <c r="AJD184" s="1089"/>
      <c r="AJE184" s="708"/>
      <c r="AJF184" s="851"/>
      <c r="AJG184" s="852"/>
      <c r="AJH184" s="715"/>
      <c r="AJI184" s="743"/>
      <c r="AJJ184" s="745"/>
      <c r="AJK184" s="747"/>
      <c r="AJL184" s="1112"/>
      <c r="AJM184" s="1113"/>
      <c r="AJN184" s="1114"/>
    </row>
    <row r="185" spans="338:962" ht="48" customHeight="1" thickBot="1">
      <c r="MB185" s="213"/>
      <c r="MC185" s="665" t="s">
        <v>912</v>
      </c>
      <c r="MD185" s="666"/>
      <c r="ME185" s="213"/>
      <c r="MF185" s="685" t="s">
        <v>916</v>
      </c>
      <c r="MG185" s="686"/>
      <c r="MH185" s="686"/>
      <c r="MI185" s="686"/>
      <c r="MJ185" s="686"/>
      <c r="MK185" s="686"/>
      <c r="ML185" s="686"/>
      <c r="MM185" s="686"/>
      <c r="MN185" s="686"/>
      <c r="MO185" s="686"/>
      <c r="MP185" s="687"/>
      <c r="MQ185" s="213"/>
      <c r="NA185" s="144"/>
      <c r="NB185" s="144"/>
      <c r="NC185" s="144"/>
      <c r="ND185" s="144"/>
      <c r="NE185" s="144"/>
      <c r="NF185" s="144"/>
      <c r="NG185" s="144"/>
      <c r="NH185" s="144"/>
      <c r="NK185" s="144"/>
      <c r="NL185" s="144"/>
      <c r="NM185" s="144"/>
      <c r="NN185" s="144"/>
      <c r="NO185" s="144"/>
      <c r="NP185" s="144"/>
      <c r="NQ185" s="144"/>
      <c r="NR185" s="144"/>
      <c r="NS185" s="144"/>
      <c r="NT185" s="144"/>
      <c r="NU185" s="144"/>
      <c r="NV185" s="144"/>
      <c r="NW185" s="144"/>
      <c r="NX185" s="144"/>
      <c r="NY185" s="144"/>
      <c r="NZ185" s="144"/>
      <c r="OA185" s="144"/>
      <c r="OB185" s="144"/>
      <c r="OC185" s="144"/>
      <c r="OD185" s="144"/>
      <c r="OE185" s="144"/>
      <c r="OF185" s="144"/>
      <c r="OG185" s="144"/>
      <c r="OH185" s="144"/>
      <c r="OI185" s="144"/>
      <c r="OW185" s="144"/>
      <c r="OX185" s="144"/>
      <c r="OY185" s="144"/>
      <c r="OZ185" s="144"/>
      <c r="PA185" s="144"/>
      <c r="PB185" s="144"/>
      <c r="PC185" s="144"/>
      <c r="PD185" s="144"/>
      <c r="PE185" s="144"/>
      <c r="PF185" s="144"/>
      <c r="PJ185" s="826"/>
      <c r="PK185" s="863" t="s">
        <v>1753</v>
      </c>
      <c r="PL185" s="863"/>
      <c r="PM185" s="756">
        <f>$PX$165</f>
        <v>863.8132464900001</v>
      </c>
      <c r="PN185" s="756"/>
      <c r="PO185" s="704"/>
      <c r="PP185" s="704"/>
      <c r="PQ185" s="704"/>
      <c r="PR185" s="704"/>
      <c r="PS185" s="704"/>
      <c r="PT185" s="704"/>
      <c r="PU185" s="704"/>
      <c r="PV185" s="704"/>
      <c r="PW185" s="705"/>
      <c r="PX185" s="765"/>
      <c r="PY185" s="766"/>
      <c r="PZ185" s="1650"/>
      <c r="QA185" s="1065"/>
      <c r="QB185" s="713"/>
      <c r="QC185" s="954"/>
      <c r="QD185" s="955"/>
      <c r="QE185" s="747"/>
      <c r="QF185" s="767"/>
      <c r="QG185" s="767"/>
      <c r="QH185" s="767"/>
      <c r="QI185" s="767"/>
      <c r="QJ185" s="767"/>
      <c r="QK185" s="767"/>
      <c r="QL185" s="767"/>
      <c r="QM185" s="767"/>
      <c r="QN185" s="767"/>
      <c r="WL185" s="144"/>
      <c r="WM185" s="144"/>
      <c r="WN185" s="144"/>
      <c r="WO185" s="144"/>
      <c r="WP185" s="144"/>
      <c r="WQ185" s="144"/>
      <c r="WR185" s="144"/>
      <c r="WS185" s="144"/>
      <c r="WT185" s="144"/>
      <c r="WU185" s="144"/>
      <c r="WV185" s="144"/>
      <c r="WW185" s="144"/>
      <c r="WX185" s="144"/>
      <c r="WY185" s="144"/>
      <c r="WZ185" s="144"/>
      <c r="XA185" s="144"/>
      <c r="XB185" s="144"/>
      <c r="XC185" s="144"/>
      <c r="XD185" s="144"/>
      <c r="XE185" s="144"/>
      <c r="XF185" s="144"/>
      <c r="XG185" s="144"/>
      <c r="XH185" s="144"/>
      <c r="XI185" s="144"/>
      <c r="XJ185" s="544"/>
      <c r="YV185" s="144"/>
      <c r="YW185" s="144"/>
      <c r="YX185" s="144"/>
      <c r="YY185" s="144"/>
      <c r="YZ185" s="144"/>
      <c r="ZA185" s="144"/>
    </row>
    <row r="186" spans="338:962" ht="48" customHeight="1" thickBot="1">
      <c r="NA186" s="144"/>
      <c r="NB186" s="144"/>
      <c r="NC186" s="144"/>
      <c r="ND186" s="144"/>
      <c r="NE186" s="144"/>
      <c r="NF186" s="144"/>
      <c r="NG186" s="144"/>
      <c r="NH186" s="144"/>
      <c r="NK186" s="144"/>
      <c r="NL186" s="144"/>
      <c r="NM186" s="144"/>
      <c r="NN186" s="144"/>
      <c r="NO186" s="144"/>
      <c r="NP186" s="144"/>
      <c r="NQ186" s="144"/>
      <c r="NR186" s="144"/>
      <c r="NS186" s="144"/>
      <c r="NT186" s="144"/>
      <c r="NU186" s="144"/>
      <c r="NV186" s="144"/>
      <c r="NW186" s="144"/>
      <c r="NX186" s="144"/>
      <c r="NY186" s="144"/>
      <c r="NZ186" s="144"/>
      <c r="OA186" s="144"/>
      <c r="OB186" s="144"/>
      <c r="OC186" s="144"/>
      <c r="OD186" s="144"/>
      <c r="OE186" s="144"/>
      <c r="OF186" s="144"/>
      <c r="OG186" s="144"/>
      <c r="OH186" s="144"/>
      <c r="OI186" s="144"/>
      <c r="OW186" s="144"/>
      <c r="OX186" s="144"/>
      <c r="OY186" s="144"/>
      <c r="OZ186" s="144"/>
      <c r="PA186" s="144"/>
      <c r="PB186" s="144"/>
      <c r="PC186" s="144"/>
      <c r="PD186" s="144"/>
      <c r="PE186" s="144"/>
      <c r="PF186" s="144"/>
      <c r="PJ186" s="827"/>
      <c r="PK186" s="709" t="s">
        <v>1754</v>
      </c>
      <c r="PL186" s="709"/>
      <c r="PM186" s="883">
        <f>$PX$189</f>
        <v>67.133972054891856</v>
      </c>
      <c r="PN186" s="883"/>
      <c r="PO186" s="707"/>
      <c r="PP186" s="707"/>
      <c r="PQ186" s="707"/>
      <c r="PR186" s="707"/>
      <c r="PS186" s="707"/>
      <c r="PT186" s="707"/>
      <c r="PU186" s="707"/>
      <c r="PV186" s="707"/>
      <c r="PW186" s="708"/>
      <c r="PX186" s="1012"/>
      <c r="PY186" s="1013"/>
      <c r="PZ186" s="1013"/>
      <c r="QA186" s="1013"/>
      <c r="QB186" s="1013"/>
      <c r="QC186" s="1013"/>
      <c r="QD186" s="1013"/>
      <c r="QE186" s="1013"/>
      <c r="QF186" s="768"/>
      <c r="QG186" s="768"/>
      <c r="QH186" s="768"/>
      <c r="QI186" s="768"/>
      <c r="QJ186" s="768"/>
      <c r="QK186" s="768"/>
      <c r="QL186" s="768"/>
      <c r="QM186" s="768"/>
      <c r="QN186" s="768"/>
      <c r="WL186" s="144"/>
      <c r="WM186" s="144"/>
      <c r="WN186" s="144"/>
      <c r="WO186" s="144"/>
      <c r="WP186" s="144"/>
      <c r="WQ186" s="144"/>
      <c r="WR186" s="144"/>
      <c r="WS186" s="144"/>
      <c r="WT186" s="144"/>
      <c r="WU186" s="144"/>
      <c r="WV186" s="144"/>
      <c r="WW186" s="144"/>
      <c r="WX186" s="144"/>
      <c r="WY186" s="144"/>
      <c r="WZ186" s="144"/>
      <c r="XA186" s="144"/>
      <c r="XB186" s="144"/>
      <c r="XC186" s="144"/>
      <c r="XD186" s="144"/>
      <c r="XE186" s="144"/>
      <c r="XF186" s="144"/>
      <c r="XG186" s="144"/>
      <c r="XH186" s="144"/>
      <c r="XI186" s="144"/>
      <c r="XJ186" s="544"/>
      <c r="YV186" s="144"/>
      <c r="YW186" s="144"/>
      <c r="YX186" s="144"/>
      <c r="YY186" s="144"/>
      <c r="YZ186" s="144"/>
      <c r="ZA186" s="144"/>
      <c r="AIM186" s="825"/>
      <c r="AIN186" s="665" t="s">
        <v>442</v>
      </c>
      <c r="AIO186" s="666"/>
      <c r="AIP186" s="156"/>
      <c r="AIQ186" s="87"/>
      <c r="AIR186" s="87"/>
      <c r="AIS186" s="87"/>
      <c r="AIT186" s="87"/>
      <c r="AIU186" s="87"/>
      <c r="AIV186" s="87"/>
      <c r="AIW186" s="156"/>
      <c r="AIX186" s="85" t="s">
        <v>467</v>
      </c>
      <c r="AIY186" s="757" t="s">
        <v>461</v>
      </c>
      <c r="AIZ186" s="899"/>
      <c r="AJA186" s="1130" t="s">
        <v>126</v>
      </c>
      <c r="AJB186" s="1131"/>
      <c r="AJC186" s="675" t="s">
        <v>731</v>
      </c>
      <c r="AJD186" s="676"/>
      <c r="AJE186" s="821" t="s">
        <v>473</v>
      </c>
      <c r="AJF186" s="822"/>
      <c r="AJG186" s="822"/>
      <c r="AJH186" s="823"/>
    </row>
    <row r="187" spans="338:962" ht="48" customHeight="1" thickBot="1">
      <c r="LZ187" s="825"/>
      <c r="MA187" s="665" t="s">
        <v>442</v>
      </c>
      <c r="MB187" s="666"/>
      <c r="MC187" s="370"/>
      <c r="MD187" s="420" t="s">
        <v>1468</v>
      </c>
      <c r="ME187" s="756">
        <f>$MN$98</f>
        <v>0.55105560251025065</v>
      </c>
      <c r="MF187" s="756"/>
      <c r="MG187" s="87"/>
      <c r="MH187" s="87"/>
      <c r="MI187" s="87"/>
      <c r="MJ187" s="370"/>
      <c r="MK187" s="85" t="s">
        <v>467</v>
      </c>
      <c r="ML187" s="757" t="s">
        <v>461</v>
      </c>
      <c r="MM187" s="758"/>
      <c r="MN187" s="819" t="s">
        <v>126</v>
      </c>
      <c r="MO187" s="820"/>
      <c r="MP187" s="675" t="s">
        <v>731</v>
      </c>
      <c r="MQ187" s="676"/>
      <c r="MR187" s="821" t="s">
        <v>473</v>
      </c>
      <c r="MS187" s="822"/>
      <c r="MT187" s="822"/>
      <c r="MU187" s="822"/>
      <c r="MV187" s="823"/>
      <c r="MW187" s="769" t="s">
        <v>462</v>
      </c>
      <c r="MX187" s="769"/>
      <c r="MY187" s="769"/>
      <c r="MZ187" s="769"/>
      <c r="NE187" s="144"/>
      <c r="NF187" s="144"/>
      <c r="NG187" s="144"/>
      <c r="NH187" s="144"/>
      <c r="NJ187" s="144"/>
      <c r="NK187" s="144"/>
      <c r="NL187" s="144"/>
      <c r="NM187" s="144"/>
      <c r="NN187" s="144"/>
      <c r="NO187" s="144"/>
      <c r="NP187" s="144"/>
      <c r="NQ187" s="144"/>
      <c r="NR187" s="144"/>
      <c r="NS187" s="144"/>
      <c r="NT187" s="144"/>
      <c r="NU187" s="144"/>
      <c r="NV187" s="144"/>
      <c r="NW187" s="144"/>
      <c r="NX187" s="144"/>
      <c r="NY187" s="144"/>
      <c r="NZ187" s="144"/>
      <c r="OA187" s="144"/>
      <c r="OB187" s="144"/>
      <c r="OC187" s="144"/>
      <c r="OD187" s="144"/>
      <c r="OE187" s="144"/>
      <c r="OF187" s="144"/>
      <c r="OG187" s="144"/>
      <c r="OH187" s="144"/>
      <c r="OI187" s="144"/>
      <c r="OW187" s="144"/>
      <c r="OX187" s="144"/>
      <c r="OY187" s="144"/>
      <c r="OZ187" s="144"/>
      <c r="PA187" s="144"/>
      <c r="PB187" s="144"/>
      <c r="PC187" s="144"/>
      <c r="PD187" s="144"/>
      <c r="PE187" s="144"/>
      <c r="PF187" s="144"/>
      <c r="WL187" s="144"/>
      <c r="WM187" s="144"/>
      <c r="WN187" s="144"/>
      <c r="WO187" s="144"/>
      <c r="WP187" s="144"/>
      <c r="WQ187" s="144"/>
      <c r="WR187" s="144"/>
      <c r="WS187" s="144"/>
      <c r="WT187" s="144"/>
      <c r="WU187" s="144"/>
      <c r="WV187" s="144"/>
      <c r="WW187" s="144"/>
      <c r="WX187" s="144"/>
      <c r="WY187" s="144"/>
      <c r="WZ187" s="144"/>
      <c r="XA187" s="144"/>
      <c r="XB187" s="144"/>
      <c r="XC187" s="144"/>
      <c r="XD187" s="144"/>
      <c r="XE187" s="144"/>
      <c r="XF187" s="144"/>
      <c r="XG187" s="144"/>
      <c r="XH187" s="144"/>
      <c r="XI187" s="144"/>
      <c r="XJ187" s="544"/>
      <c r="XO187" s="792" t="s">
        <v>1079</v>
      </c>
      <c r="XP187" s="793"/>
      <c r="XQ187" s="794"/>
      <c r="XR187" s="825"/>
      <c r="XS187" s="665" t="s">
        <v>442</v>
      </c>
      <c r="XT187" s="666"/>
      <c r="XU187" s="156"/>
      <c r="XV187" s="87"/>
      <c r="XW187" s="87"/>
      <c r="XX187" s="87"/>
      <c r="XY187" s="87"/>
      <c r="XZ187" s="87"/>
      <c r="YA187" s="84" t="s">
        <v>729</v>
      </c>
      <c r="YB187" s="156"/>
      <c r="YC187" s="85" t="s">
        <v>467</v>
      </c>
      <c r="YD187" s="757" t="s">
        <v>461</v>
      </c>
      <c r="YE187" s="758"/>
      <c r="YF187" s="819" t="s">
        <v>126</v>
      </c>
      <c r="YG187" s="820"/>
      <c r="YH187" s="675" t="s">
        <v>731</v>
      </c>
      <c r="YI187" s="676"/>
      <c r="YJ187" s="821" t="s">
        <v>473</v>
      </c>
      <c r="YK187" s="822"/>
      <c r="YL187" s="822"/>
      <c r="YM187" s="823"/>
      <c r="YY187" s="144"/>
      <c r="YZ187" s="144"/>
      <c r="ZA187" s="144"/>
      <c r="AIM187" s="826"/>
      <c r="AIN187" s="727" t="s">
        <v>1010</v>
      </c>
      <c r="AIO187" s="727"/>
      <c r="AIP187" s="727"/>
      <c r="AIQ187" s="727"/>
      <c r="AIR187" s="727"/>
      <c r="AIS187" s="727"/>
      <c r="AIT187" s="727"/>
      <c r="AIU187" s="727"/>
      <c r="AIV187" s="727"/>
      <c r="AIW187" s="727"/>
      <c r="AIX187" s="727"/>
      <c r="AIY187" s="727"/>
      <c r="AIZ187" s="727"/>
      <c r="AJA187" s="763">
        <f>AJD183*((AQ5/100)*AZ21)^0.5</f>
        <v>7.6607767230222814</v>
      </c>
      <c r="AJB187" s="764"/>
      <c r="AJC187" s="1005"/>
      <c r="AJD187" s="1006"/>
      <c r="AJE187" s="714"/>
      <c r="AJF187" s="716" t="s">
        <v>1004</v>
      </c>
      <c r="AJG187" s="717"/>
      <c r="AJH187" s="746"/>
    </row>
    <row r="188" spans="338:962" ht="48" customHeight="1" thickBot="1">
      <c r="LZ188" s="826"/>
      <c r="MA188" s="415" t="s">
        <v>1189</v>
      </c>
      <c r="MB188" s="677">
        <f>$CL$52</f>
        <v>32.488628979857047</v>
      </c>
      <c r="MC188" s="677"/>
      <c r="MD188" s="940" t="s">
        <v>1793</v>
      </c>
      <c r="ME188" s="701"/>
      <c r="MF188" s="701"/>
      <c r="MG188" s="701"/>
      <c r="MH188" s="701"/>
      <c r="MI188" s="701"/>
      <c r="MJ188" s="701"/>
      <c r="MK188" s="701"/>
      <c r="ML188" s="701"/>
      <c r="MM188" s="702"/>
      <c r="MN188" s="763">
        <f>MN98*(CL52/AQ6)</f>
        <v>4.7113265834808196E-2</v>
      </c>
      <c r="MO188" s="764"/>
      <c r="MP188" s="895" t="s">
        <v>415</v>
      </c>
      <c r="MQ188" s="896"/>
      <c r="MR188" s="714"/>
      <c r="MS188" s="952" t="s">
        <v>1755</v>
      </c>
      <c r="MT188" s="1151"/>
      <c r="MU188" s="953"/>
      <c r="MV188" s="746"/>
      <c r="MW188" s="890"/>
      <c r="MX188" s="841"/>
      <c r="MY188" s="841"/>
      <c r="MZ188" s="891"/>
      <c r="NE188" s="144"/>
      <c r="NF188" s="420" t="s">
        <v>1468</v>
      </c>
      <c r="NG188" s="756">
        <f>$MN$98</f>
        <v>0.55105560251025065</v>
      </c>
      <c r="NH188" s="756"/>
      <c r="NJ188" s="144"/>
      <c r="NK188" s="144"/>
      <c r="NL188" s="144"/>
      <c r="NM188" s="144"/>
      <c r="NN188" s="144"/>
      <c r="NO188" s="144"/>
      <c r="NP188" s="144"/>
      <c r="NQ188" s="144"/>
      <c r="NR188" s="144"/>
      <c r="NS188" s="144"/>
      <c r="NT188" s="144"/>
      <c r="NU188" s="144"/>
      <c r="NV188" s="144"/>
      <c r="NW188" s="144"/>
      <c r="NX188" s="144"/>
      <c r="NY188" s="144"/>
      <c r="NZ188" s="144"/>
      <c r="OA188" s="144"/>
      <c r="OB188" s="144"/>
      <c r="OC188" s="144"/>
      <c r="OD188" s="144"/>
      <c r="OE188" s="144"/>
      <c r="OF188" s="144"/>
      <c r="OG188" s="144"/>
      <c r="OH188" s="144"/>
      <c r="OI188" s="144"/>
      <c r="PB188" s="144"/>
      <c r="PC188" s="144"/>
      <c r="PD188" s="144"/>
      <c r="PE188" s="144"/>
      <c r="PF188" s="144"/>
      <c r="PJ188" s="825"/>
      <c r="PK188" s="695" t="s">
        <v>442</v>
      </c>
      <c r="PL188" s="695"/>
      <c r="PM188" s="504"/>
      <c r="PN188" s="548" t="s">
        <v>1593</v>
      </c>
      <c r="PO188" s="884">
        <f>$MN$23</f>
        <v>0.18554623176557763</v>
      </c>
      <c r="PP188" s="884"/>
      <c r="PQ188" s="87"/>
      <c r="PR188" s="87"/>
      <c r="PS188" s="87"/>
      <c r="PT188" s="504"/>
      <c r="PU188" s="85" t="s">
        <v>467</v>
      </c>
      <c r="PV188" s="757" t="s">
        <v>461</v>
      </c>
      <c r="PW188" s="899"/>
      <c r="PX188" s="819" t="s">
        <v>126</v>
      </c>
      <c r="PY188" s="820"/>
      <c r="PZ188" s="675" t="s">
        <v>731</v>
      </c>
      <c r="QA188" s="676"/>
      <c r="QB188" s="821" t="s">
        <v>473</v>
      </c>
      <c r="QC188" s="822"/>
      <c r="QD188" s="822"/>
      <c r="QE188" s="823"/>
      <c r="QF188" s="769" t="s">
        <v>462</v>
      </c>
      <c r="QG188" s="769"/>
      <c r="QH188" s="769"/>
      <c r="QI188" s="769"/>
      <c r="QJ188" s="769"/>
      <c r="QK188" s="769"/>
      <c r="XO188" s="795"/>
      <c r="XP188" s="796"/>
      <c r="XQ188" s="797"/>
      <c r="XR188" s="826"/>
      <c r="XS188" s="939" t="s">
        <v>1539</v>
      </c>
      <c r="XT188" s="940"/>
      <c r="XU188" s="940"/>
      <c r="XV188" s="940"/>
      <c r="XW188" s="940"/>
      <c r="XX188" s="940"/>
      <c r="XY188" s="940"/>
      <c r="XZ188" s="940"/>
      <c r="YA188" s="940"/>
      <c r="YB188" s="940"/>
      <c r="YC188" s="940"/>
      <c r="YD188" s="940"/>
      <c r="YE188" s="1003"/>
      <c r="YF188" s="974">
        <v>0.45</v>
      </c>
      <c r="YG188" s="975"/>
      <c r="YH188" s="1115" t="s">
        <v>762</v>
      </c>
      <c r="YI188" s="1116"/>
      <c r="YJ188" s="712"/>
      <c r="YK188" s="740" t="s">
        <v>1529</v>
      </c>
      <c r="YL188" s="742"/>
      <c r="YM188" s="746"/>
      <c r="YY188" s="144"/>
      <c r="YZ188" s="144"/>
      <c r="ZA188" s="144"/>
      <c r="AIM188" s="827"/>
      <c r="AIN188" s="729"/>
      <c r="AIO188" s="729"/>
      <c r="AIP188" s="729"/>
      <c r="AIQ188" s="729"/>
      <c r="AIR188" s="729"/>
      <c r="AIS188" s="729"/>
      <c r="AIT188" s="729"/>
      <c r="AIU188" s="729"/>
      <c r="AIV188" s="729"/>
      <c r="AIW188" s="729"/>
      <c r="AIX188" s="729"/>
      <c r="AIY188" s="729"/>
      <c r="AIZ188" s="729"/>
      <c r="AJA188" s="765"/>
      <c r="AJB188" s="766"/>
      <c r="AJC188" s="706"/>
      <c r="AJD188" s="708"/>
      <c r="AJE188" s="715"/>
      <c r="AJF188" s="718"/>
      <c r="AJG188" s="719"/>
      <c r="AJH188" s="747"/>
    </row>
    <row r="189" spans="338:962" ht="48" customHeight="1" thickBot="1">
      <c r="LZ189" s="827"/>
      <c r="MA189" s="416" t="s">
        <v>1340</v>
      </c>
      <c r="MB189" s="738">
        <f>$AQ$6</f>
        <v>380</v>
      </c>
      <c r="MC189" s="738"/>
      <c r="MD189" s="707"/>
      <c r="ME189" s="707"/>
      <c r="MF189" s="707"/>
      <c r="MG189" s="707"/>
      <c r="MH189" s="707"/>
      <c r="MI189" s="707"/>
      <c r="MJ189" s="707"/>
      <c r="MK189" s="707"/>
      <c r="ML189" s="707"/>
      <c r="MM189" s="708"/>
      <c r="MN189" s="765"/>
      <c r="MO189" s="766"/>
      <c r="MP189" s="897"/>
      <c r="MQ189" s="898"/>
      <c r="MR189" s="715"/>
      <c r="MS189" s="954"/>
      <c r="MT189" s="1152"/>
      <c r="MU189" s="955"/>
      <c r="MV189" s="747"/>
      <c r="MW189" s="892"/>
      <c r="MX189" s="893"/>
      <c r="MY189" s="893"/>
      <c r="MZ189" s="894"/>
      <c r="NE189" s="144"/>
      <c r="NF189" s="420" t="s">
        <v>1468</v>
      </c>
      <c r="NG189" s="756">
        <f>$MN$98</f>
        <v>0.55105560251025065</v>
      </c>
      <c r="NH189" s="756"/>
      <c r="NI189" s="144"/>
      <c r="NJ189" s="144"/>
      <c r="NK189" s="144"/>
      <c r="NL189" s="144"/>
      <c r="NM189" s="144"/>
      <c r="NN189" s="144"/>
      <c r="NO189" s="144"/>
      <c r="NP189" s="144"/>
      <c r="NQ189" s="144"/>
      <c r="NR189" s="144"/>
      <c r="NS189" s="144"/>
      <c r="NT189" s="144"/>
      <c r="NU189" s="144"/>
      <c r="NV189" s="144"/>
      <c r="NW189" s="144"/>
      <c r="NX189" s="144"/>
      <c r="NY189" s="144"/>
      <c r="NZ189" s="144"/>
      <c r="OA189" s="144"/>
      <c r="OB189" s="144"/>
      <c r="OC189" s="144"/>
      <c r="OD189" s="144"/>
      <c r="OE189" s="144"/>
      <c r="OF189" s="144"/>
      <c r="OG189" s="144"/>
      <c r="OH189" s="144"/>
      <c r="OI189" s="144"/>
      <c r="PJ189" s="826"/>
      <c r="PK189" s="548" t="s">
        <v>1301</v>
      </c>
      <c r="PL189" s="677">
        <f>$JF$159</f>
        <v>10.982076761995994</v>
      </c>
      <c r="PM189" s="677"/>
      <c r="PN189" s="700" t="s">
        <v>175</v>
      </c>
      <c r="PO189" s="701"/>
      <c r="PP189" s="701"/>
      <c r="PQ189" s="701"/>
      <c r="PR189" s="701"/>
      <c r="PS189" s="701"/>
      <c r="PT189" s="701"/>
      <c r="PU189" s="701"/>
      <c r="PV189" s="701"/>
      <c r="PW189" s="702"/>
      <c r="PX189" s="763">
        <f>PL190*(PL189^2)*PO188</f>
        <v>67.133972054891856</v>
      </c>
      <c r="PY189" s="764"/>
      <c r="PZ189" s="759" t="s">
        <v>3</v>
      </c>
      <c r="QA189" s="760"/>
      <c r="QB189" s="714"/>
      <c r="QC189" s="952" t="s">
        <v>1728</v>
      </c>
      <c r="QD189" s="953"/>
      <c r="QE189" s="746"/>
      <c r="QF189" s="767"/>
      <c r="QG189" s="767"/>
      <c r="QH189" s="767"/>
      <c r="QI189" s="767"/>
      <c r="QJ189" s="767"/>
      <c r="QK189" s="767"/>
      <c r="WO189" s="825"/>
      <c r="WP189" s="147" t="s">
        <v>442</v>
      </c>
      <c r="WQ189" s="148"/>
      <c r="WR189" s="230"/>
      <c r="WS189" s="87"/>
      <c r="WT189" s="87"/>
      <c r="WU189" s="87"/>
      <c r="WV189" s="87"/>
      <c r="WW189" s="87"/>
      <c r="WX189" s="87"/>
      <c r="WY189" s="230"/>
      <c r="WZ189" s="85" t="s">
        <v>467</v>
      </c>
      <c r="XA189" s="757" t="s">
        <v>461</v>
      </c>
      <c r="XB189" s="899"/>
      <c r="XC189" s="1130" t="s">
        <v>126</v>
      </c>
      <c r="XD189" s="1131"/>
      <c r="XE189" s="675" t="s">
        <v>731</v>
      </c>
      <c r="XF189" s="676"/>
      <c r="XG189" s="821" t="s">
        <v>473</v>
      </c>
      <c r="XH189" s="822"/>
      <c r="XI189" s="822"/>
      <c r="XJ189" s="823"/>
      <c r="XO189" s="798"/>
      <c r="XP189" s="799"/>
      <c r="XQ189" s="800"/>
      <c r="XR189" s="827"/>
      <c r="XS189" s="943"/>
      <c r="XT189" s="944"/>
      <c r="XU189" s="944"/>
      <c r="XV189" s="944"/>
      <c r="XW189" s="944"/>
      <c r="XX189" s="944"/>
      <c r="XY189" s="944"/>
      <c r="XZ189" s="944"/>
      <c r="YA189" s="944"/>
      <c r="YB189" s="944"/>
      <c r="YC189" s="944"/>
      <c r="YD189" s="944"/>
      <c r="YE189" s="1004"/>
      <c r="YF189" s="976"/>
      <c r="YG189" s="977"/>
      <c r="YH189" s="1117"/>
      <c r="YI189" s="1118"/>
      <c r="YJ189" s="713"/>
      <c r="YK189" s="743"/>
      <c r="YL189" s="745"/>
      <c r="YM189" s="747"/>
      <c r="YY189" s="144"/>
      <c r="YZ189" s="144"/>
      <c r="ZA189" s="144"/>
    </row>
    <row r="190" spans="338:962" ht="48" customHeight="1" thickBot="1">
      <c r="NA190" s="144"/>
      <c r="NB190" s="144"/>
      <c r="NC190" s="144"/>
      <c r="ND190" s="144"/>
      <c r="NE190" s="144"/>
      <c r="NI190" s="144"/>
      <c r="NJ190" s="144"/>
      <c r="NK190" s="144"/>
      <c r="NL190" s="144"/>
      <c r="NM190" s="144"/>
      <c r="NN190" s="144"/>
      <c r="NO190" s="144"/>
      <c r="NP190" s="144"/>
      <c r="NQ190" s="144"/>
      <c r="NR190" s="144"/>
      <c r="NS190" s="144"/>
      <c r="NT190" s="144"/>
      <c r="NU190" s="144"/>
      <c r="NV190" s="144"/>
      <c r="NW190" s="144"/>
      <c r="NX190" s="144"/>
      <c r="NY190" s="144"/>
      <c r="NZ190" s="144"/>
      <c r="OA190" s="144"/>
      <c r="OB190" s="144"/>
      <c r="OC190" s="144"/>
      <c r="OD190" s="144"/>
      <c r="OE190" s="144"/>
      <c r="OF190" s="144"/>
      <c r="OG190" s="144"/>
      <c r="OH190" s="144"/>
      <c r="OI190" s="144"/>
      <c r="PJ190" s="827"/>
      <c r="PK190" s="551" t="s">
        <v>863</v>
      </c>
      <c r="PL190" s="738">
        <f>$CM$32</f>
        <v>3</v>
      </c>
      <c r="PM190" s="738"/>
      <c r="PN190" s="706"/>
      <c r="PO190" s="707"/>
      <c r="PP190" s="707"/>
      <c r="PQ190" s="707"/>
      <c r="PR190" s="707"/>
      <c r="PS190" s="707"/>
      <c r="PT190" s="707"/>
      <c r="PU190" s="707"/>
      <c r="PV190" s="707"/>
      <c r="PW190" s="708"/>
      <c r="PX190" s="765"/>
      <c r="PY190" s="766"/>
      <c r="PZ190" s="761"/>
      <c r="QA190" s="762"/>
      <c r="QB190" s="715"/>
      <c r="QC190" s="954"/>
      <c r="QD190" s="955"/>
      <c r="QE190" s="747"/>
      <c r="QF190" s="768"/>
      <c r="QG190" s="768"/>
      <c r="QH190" s="768"/>
      <c r="QI190" s="768"/>
      <c r="QJ190" s="768"/>
      <c r="QK190" s="768"/>
      <c r="WO190" s="826"/>
      <c r="WP190" s="1662" t="s">
        <v>1058</v>
      </c>
      <c r="WQ190" s="1663"/>
      <c r="WR190" s="1663"/>
      <c r="WS190" s="1663"/>
      <c r="WT190" s="1663"/>
      <c r="WU190" s="1663"/>
      <c r="WV190" s="1663"/>
      <c r="WW190" s="1663"/>
      <c r="WX190" s="1663"/>
      <c r="WY190" s="1663"/>
      <c r="WZ190" s="1663"/>
      <c r="XA190" s="1663"/>
      <c r="XB190" s="1664"/>
      <c r="XC190" s="752">
        <f>JF159</f>
        <v>10.982076761995994</v>
      </c>
      <c r="XD190" s="753"/>
      <c r="XE190" s="1062" t="s">
        <v>35</v>
      </c>
      <c r="XF190" s="1063"/>
      <c r="XG190" s="714"/>
      <c r="XH190" s="740" t="s">
        <v>1057</v>
      </c>
      <c r="XI190" s="742"/>
      <c r="XJ190" s="746"/>
      <c r="AIO190" s="216"/>
      <c r="AIP190" s="665" t="s">
        <v>956</v>
      </c>
      <c r="AIQ190" s="667"/>
      <c r="AIR190" s="216"/>
      <c r="AIS190" s="728" t="s">
        <v>972</v>
      </c>
      <c r="AIT190" s="1053"/>
      <c r="AIU190" s="1053"/>
      <c r="AIV190" s="1053"/>
      <c r="AIW190" s="1053"/>
      <c r="AIX190" s="1053"/>
      <c r="AIY190" s="1053"/>
      <c r="AIZ190" s="1053"/>
      <c r="AJA190" s="1053"/>
      <c r="AJB190" s="1053"/>
      <c r="AJC190" s="1054"/>
      <c r="AJD190" s="216"/>
    </row>
    <row r="191" spans="338:962" ht="48" customHeight="1" thickBot="1">
      <c r="MB191" s="213"/>
      <c r="MC191" s="665" t="s">
        <v>913</v>
      </c>
      <c r="MD191" s="666"/>
      <c r="ME191" s="213"/>
      <c r="MF191" s="685" t="s">
        <v>97</v>
      </c>
      <c r="MG191" s="686"/>
      <c r="MH191" s="686"/>
      <c r="MI191" s="686"/>
      <c r="MJ191" s="686"/>
      <c r="MK191" s="686"/>
      <c r="ML191" s="686"/>
      <c r="MM191" s="686"/>
      <c r="MN191" s="686"/>
      <c r="MO191" s="686"/>
      <c r="MP191" s="687"/>
      <c r="MQ191" s="213"/>
      <c r="NI191" s="144"/>
      <c r="NJ191" s="144"/>
      <c r="NK191" s="144"/>
      <c r="NL191" s="144"/>
      <c r="NM191" s="144"/>
      <c r="NN191" s="144"/>
      <c r="NO191" s="144"/>
      <c r="NP191" s="144"/>
      <c r="NQ191" s="144"/>
      <c r="NR191" s="144"/>
      <c r="NS191" s="144"/>
      <c r="NT191" s="144"/>
      <c r="QJ191" s="144"/>
      <c r="QK191" s="144"/>
      <c r="QL191" s="144"/>
      <c r="QM191" s="144"/>
      <c r="QN191" s="144"/>
      <c r="QO191" s="144"/>
      <c r="WO191" s="827"/>
      <c r="WP191" s="1665"/>
      <c r="WQ191" s="1666"/>
      <c r="WR191" s="1666"/>
      <c r="WS191" s="1666"/>
      <c r="WT191" s="1666"/>
      <c r="WU191" s="1666"/>
      <c r="WV191" s="1666"/>
      <c r="WW191" s="1666"/>
      <c r="WX191" s="1666"/>
      <c r="WY191" s="1666"/>
      <c r="WZ191" s="1666"/>
      <c r="XA191" s="1666"/>
      <c r="XB191" s="1667"/>
      <c r="XC191" s="754"/>
      <c r="XD191" s="755"/>
      <c r="XE191" s="1064"/>
      <c r="XF191" s="1065"/>
      <c r="XG191" s="715"/>
      <c r="XH191" s="743"/>
      <c r="XI191" s="745"/>
      <c r="XJ191" s="747"/>
      <c r="XO191" s="825"/>
      <c r="XP191" s="665" t="s">
        <v>442</v>
      </c>
      <c r="XQ191" s="666"/>
      <c r="XR191" s="156"/>
      <c r="XS191" s="87"/>
      <c r="XT191" s="87"/>
      <c r="XU191" s="87"/>
      <c r="XV191" s="87"/>
      <c r="XW191" s="87"/>
      <c r="XX191" s="87"/>
      <c r="XY191" s="156"/>
      <c r="XZ191" s="85" t="s">
        <v>467</v>
      </c>
      <c r="YA191" s="757" t="s">
        <v>461</v>
      </c>
      <c r="YB191" s="758"/>
      <c r="YC191" s="819" t="s">
        <v>126</v>
      </c>
      <c r="YD191" s="820"/>
      <c r="YE191" s="675" t="s">
        <v>731</v>
      </c>
      <c r="YF191" s="1094"/>
      <c r="YG191" s="769" t="s">
        <v>473</v>
      </c>
      <c r="YH191" s="769"/>
      <c r="YI191" s="769"/>
      <c r="YJ191" s="769"/>
      <c r="YK191" s="769"/>
      <c r="YL191" s="769" t="s">
        <v>462</v>
      </c>
      <c r="YM191" s="769"/>
      <c r="YN191" s="769"/>
      <c r="YO191" s="769"/>
      <c r="YP191" s="769"/>
      <c r="YQ191" s="769"/>
      <c r="YR191" s="769"/>
    </row>
    <row r="192" spans="338:962" ht="48" customHeight="1" thickBot="1">
      <c r="NI192" s="144"/>
      <c r="NJ192" s="144"/>
      <c r="NK192" s="144"/>
      <c r="NL192" s="144"/>
      <c r="NM192" s="144"/>
      <c r="NN192" s="144"/>
      <c r="NO192" s="144"/>
      <c r="NP192" s="144"/>
      <c r="NQ192" s="144"/>
      <c r="NR192" s="144"/>
      <c r="NS192" s="144"/>
      <c r="NT192" s="144"/>
      <c r="PL192" s="504"/>
      <c r="PM192" s="665" t="s">
        <v>1664</v>
      </c>
      <c r="PN192" s="667"/>
      <c r="PO192" s="504"/>
      <c r="PP192" s="685" t="s">
        <v>141</v>
      </c>
      <c r="PQ192" s="686"/>
      <c r="PR192" s="686"/>
      <c r="PS192" s="686"/>
      <c r="PT192" s="686"/>
      <c r="PU192" s="686"/>
      <c r="PV192" s="686"/>
      <c r="PW192" s="686"/>
      <c r="PX192" s="686"/>
      <c r="PY192" s="686"/>
      <c r="PZ192" s="687"/>
      <c r="QA192" s="504"/>
      <c r="QJ192" s="144"/>
      <c r="QK192" s="144"/>
      <c r="QL192" s="144"/>
      <c r="QM192" s="144"/>
      <c r="QN192" s="144"/>
      <c r="QO192" s="144"/>
      <c r="WS192" s="144"/>
      <c r="WT192" s="144"/>
      <c r="WU192" s="144"/>
      <c r="WV192" s="144"/>
      <c r="WW192" s="144"/>
      <c r="WX192" s="144"/>
      <c r="WY192" s="144"/>
      <c r="WZ192" s="144"/>
      <c r="XO192" s="826"/>
      <c r="XP192" s="816" t="s">
        <v>152</v>
      </c>
      <c r="XQ192" s="816"/>
      <c r="XR192" s="816"/>
      <c r="XS192" s="816"/>
      <c r="XT192" s="816"/>
      <c r="XU192" s="816"/>
      <c r="XV192" s="816"/>
      <c r="XW192" s="816"/>
      <c r="XX192" s="816"/>
      <c r="XY192" s="816"/>
      <c r="XZ192" s="816"/>
      <c r="YA192" s="816"/>
      <c r="YB192" s="816"/>
      <c r="YC192" s="763">
        <f>MQ164-YC198</f>
        <v>1.0464319088365164</v>
      </c>
      <c r="YD192" s="764"/>
      <c r="YE192" s="1046" t="s">
        <v>762</v>
      </c>
      <c r="YF192" s="1047"/>
      <c r="YG192" s="978"/>
      <c r="YH192" s="1083" t="s">
        <v>1571</v>
      </c>
      <c r="YI192" s="1083"/>
      <c r="YJ192" s="1083"/>
      <c r="YK192" s="1085"/>
      <c r="YL192" s="767"/>
      <c r="YM192" s="767"/>
      <c r="YN192" s="767"/>
      <c r="YO192" s="767"/>
      <c r="YP192" s="767"/>
      <c r="YQ192" s="767"/>
      <c r="YR192" s="767"/>
      <c r="AIM192" s="214" t="s">
        <v>899</v>
      </c>
      <c r="AIN192" s="665" t="s">
        <v>442</v>
      </c>
      <c r="AIO192" s="666"/>
      <c r="AIP192" s="156"/>
      <c r="AIQ192" s="87"/>
      <c r="AIR192" s="87"/>
      <c r="AIS192" s="87"/>
      <c r="AIT192" s="87"/>
      <c r="AIU192" s="87"/>
      <c r="AIV192" s="87"/>
      <c r="AIW192" s="156"/>
      <c r="AIX192" s="85" t="s">
        <v>467</v>
      </c>
      <c r="AIY192" s="757" t="s">
        <v>461</v>
      </c>
      <c r="AIZ192" s="899"/>
      <c r="AJA192" s="1130" t="s">
        <v>126</v>
      </c>
      <c r="AJB192" s="1131"/>
      <c r="AJC192" s="675" t="s">
        <v>731</v>
      </c>
      <c r="AJD192" s="676"/>
      <c r="AJE192" s="821" t="s">
        <v>473</v>
      </c>
      <c r="AJF192" s="822"/>
      <c r="AJG192" s="822"/>
      <c r="AJH192" s="823"/>
    </row>
    <row r="193" spans="338:947" ht="48" customHeight="1" thickBot="1">
      <c r="LZ193" s="825"/>
      <c r="MA193" s="665" t="s">
        <v>442</v>
      </c>
      <c r="MB193" s="666"/>
      <c r="MC193" s="370"/>
      <c r="MD193" s="863" t="s">
        <v>1391</v>
      </c>
      <c r="ME193" s="863"/>
      <c r="MF193" s="756">
        <f>$MQ$200</f>
        <v>4.8197321291167521</v>
      </c>
      <c r="MG193" s="756"/>
      <c r="MH193" s="87"/>
      <c r="MI193" s="87"/>
      <c r="MJ193" s="370"/>
      <c r="MK193" s="85" t="s">
        <v>467</v>
      </c>
      <c r="ML193" s="757" t="s">
        <v>461</v>
      </c>
      <c r="MM193" s="758"/>
      <c r="MN193" s="1130" t="s">
        <v>126</v>
      </c>
      <c r="MO193" s="1131"/>
      <c r="MP193" s="675" t="s">
        <v>731</v>
      </c>
      <c r="MQ193" s="676"/>
      <c r="MR193" s="821" t="s">
        <v>473</v>
      </c>
      <c r="MS193" s="822"/>
      <c r="MT193" s="822"/>
      <c r="MU193" s="823"/>
      <c r="MV193" s="769" t="s">
        <v>462</v>
      </c>
      <c r="MW193" s="769"/>
      <c r="MX193" s="769"/>
      <c r="MY193" s="769"/>
      <c r="MZ193" s="769"/>
      <c r="NA193" s="769"/>
      <c r="NB193" s="769"/>
      <c r="NC193" s="769"/>
      <c r="ND193" s="769"/>
      <c r="NE193" s="769"/>
      <c r="PD193" s="144"/>
      <c r="PE193" s="144"/>
      <c r="PF193" s="144"/>
      <c r="PG193" s="144"/>
      <c r="PH193" s="144"/>
      <c r="QJ193" s="144"/>
      <c r="QK193" s="144"/>
      <c r="QL193" s="144"/>
      <c r="QM193" s="144"/>
      <c r="QN193" s="144"/>
      <c r="QO193" s="144"/>
      <c r="WO193" s="825"/>
      <c r="WP193" s="147" t="s">
        <v>442</v>
      </c>
      <c r="WQ193" s="148"/>
      <c r="WR193" s="231"/>
      <c r="WS193" s="87"/>
      <c r="WT193" s="87"/>
      <c r="WU193" s="87"/>
      <c r="WV193" s="87"/>
      <c r="WW193" s="87"/>
      <c r="WX193" s="87"/>
      <c r="WY193" s="231"/>
      <c r="WZ193" s="85" t="s">
        <v>467</v>
      </c>
      <c r="XA193" s="757" t="s">
        <v>461</v>
      </c>
      <c r="XB193" s="899"/>
      <c r="XC193" s="1130" t="s">
        <v>126</v>
      </c>
      <c r="XD193" s="1131"/>
      <c r="XE193" s="675" t="s">
        <v>731</v>
      </c>
      <c r="XF193" s="676"/>
      <c r="XG193" s="821" t="s">
        <v>473</v>
      </c>
      <c r="XH193" s="822"/>
      <c r="XI193" s="822"/>
      <c r="XJ193" s="823"/>
      <c r="XO193" s="827"/>
      <c r="XP193" s="818"/>
      <c r="XQ193" s="818"/>
      <c r="XR193" s="818"/>
      <c r="XS193" s="818"/>
      <c r="XT193" s="818"/>
      <c r="XU193" s="818"/>
      <c r="XV193" s="818"/>
      <c r="XW193" s="818"/>
      <c r="XX193" s="818"/>
      <c r="XY193" s="818"/>
      <c r="XZ193" s="818"/>
      <c r="YA193" s="818"/>
      <c r="YB193" s="818"/>
      <c r="YC193" s="765"/>
      <c r="YD193" s="766"/>
      <c r="YE193" s="1048"/>
      <c r="YF193" s="1004"/>
      <c r="YG193" s="979"/>
      <c r="YH193" s="1084"/>
      <c r="YI193" s="1084"/>
      <c r="YJ193" s="1084"/>
      <c r="YK193" s="1086"/>
      <c r="YL193" s="768"/>
      <c r="YM193" s="768"/>
      <c r="YN193" s="768"/>
      <c r="YO193" s="768"/>
      <c r="YP193" s="768"/>
      <c r="YQ193" s="768"/>
      <c r="YR193" s="768"/>
      <c r="AIM193" s="825"/>
      <c r="AIN193" s="727" t="s">
        <v>1075</v>
      </c>
      <c r="AIO193" s="727"/>
      <c r="AIP193" s="727"/>
      <c r="AIQ193" s="727"/>
      <c r="AIR193" s="727"/>
      <c r="AIS193" s="727"/>
      <c r="AIT193" s="727"/>
      <c r="AIU193" s="727"/>
      <c r="AIV193" s="727"/>
      <c r="AIW193" s="727"/>
      <c r="AIX193" s="727"/>
      <c r="AIY193" s="727"/>
      <c r="AIZ193" s="727"/>
      <c r="AJA193" s="763">
        <f>AJA205*(AJA209*AJA213+0.1)*((AQ5/100)*AZ21^2)</f>
        <v>1.9646648092424568</v>
      </c>
      <c r="AJB193" s="764"/>
      <c r="AJC193" s="1062" t="s">
        <v>1003</v>
      </c>
      <c r="AJD193" s="1063"/>
      <c r="AJE193" s="714"/>
      <c r="AJF193" s="716" t="s">
        <v>442</v>
      </c>
      <c r="AJG193" s="717"/>
      <c r="AJH193" s="746"/>
    </row>
    <row r="194" spans="338:947" ht="48" customHeight="1" thickBot="1">
      <c r="LZ194" s="826"/>
      <c r="MA194" s="414" t="s">
        <v>1370</v>
      </c>
      <c r="MB194" s="724">
        <f>$AQ$7</f>
        <v>50</v>
      </c>
      <c r="MC194" s="724"/>
      <c r="MD194" s="863" t="s">
        <v>1392</v>
      </c>
      <c r="ME194" s="863"/>
      <c r="MF194" s="756">
        <f>$MN$222</f>
        <v>3.9395141989168017</v>
      </c>
      <c r="MG194" s="756"/>
      <c r="MH194" s="940" t="s">
        <v>97</v>
      </c>
      <c r="MI194" s="940"/>
      <c r="MJ194" s="940"/>
      <c r="MK194" s="940"/>
      <c r="ML194" s="940"/>
      <c r="MM194" s="1003"/>
      <c r="MN194" s="1175">
        <f>7.9*MB194*MB195*10^(-6)*(MQ200+MN222+MN204)</f>
        <v>4.6771549414188464E-4</v>
      </c>
      <c r="MO194" s="1176"/>
      <c r="MP194" s="895" t="s">
        <v>415</v>
      </c>
      <c r="MQ194" s="896"/>
      <c r="MR194" s="714"/>
      <c r="MS194" s="952" t="s">
        <v>1475</v>
      </c>
      <c r="MT194" s="953"/>
      <c r="MU194" s="746"/>
      <c r="MV194" s="767"/>
      <c r="MW194" s="767"/>
      <c r="MX194" s="767"/>
      <c r="MY194" s="767"/>
      <c r="MZ194" s="767"/>
      <c r="NA194" s="767"/>
      <c r="NB194" s="767"/>
      <c r="NC194" s="767"/>
      <c r="ND194" s="767"/>
      <c r="NE194" s="767"/>
      <c r="PD194" s="144"/>
      <c r="PE194" s="144"/>
      <c r="PF194" s="144"/>
      <c r="PG194" s="144"/>
      <c r="PH194" s="144"/>
      <c r="PJ194" s="825"/>
      <c r="PK194" s="695" t="s">
        <v>442</v>
      </c>
      <c r="PL194" s="695"/>
      <c r="PM194" s="510"/>
      <c r="PN194" s="87"/>
      <c r="PO194" s="87"/>
      <c r="PP194" s="87"/>
      <c r="PQ194" s="87"/>
      <c r="PR194" s="87"/>
      <c r="PS194" s="87"/>
      <c r="PT194" s="510"/>
      <c r="PU194" s="85" t="s">
        <v>467</v>
      </c>
      <c r="PV194" s="757" t="s">
        <v>461</v>
      </c>
      <c r="PW194" s="899"/>
      <c r="PX194" s="774" t="s">
        <v>126</v>
      </c>
      <c r="PY194" s="776"/>
      <c r="PZ194" s="675" t="s">
        <v>731</v>
      </c>
      <c r="QA194" s="676"/>
      <c r="QB194" s="821" t="s">
        <v>473</v>
      </c>
      <c r="QC194" s="822"/>
      <c r="QD194" s="822"/>
      <c r="QE194" s="823"/>
      <c r="QF194" s="769" t="s">
        <v>462</v>
      </c>
      <c r="QG194" s="769"/>
      <c r="QH194" s="769"/>
      <c r="QI194" s="769"/>
      <c r="QJ194" s="769"/>
      <c r="QK194" s="144"/>
      <c r="QL194" s="144"/>
      <c r="QM194" s="144"/>
      <c r="QN194" s="144"/>
      <c r="QO194" s="144"/>
      <c r="WO194" s="826"/>
      <c r="WP194" s="700" t="s">
        <v>1042</v>
      </c>
      <c r="WQ194" s="701"/>
      <c r="WR194" s="701"/>
      <c r="WS194" s="701"/>
      <c r="WT194" s="701"/>
      <c r="WU194" s="701"/>
      <c r="WV194" s="701"/>
      <c r="WW194" s="701"/>
      <c r="WX194" s="701"/>
      <c r="WY194" s="701"/>
      <c r="WZ194" s="701"/>
      <c r="XA194" s="701"/>
      <c r="XB194" s="909"/>
      <c r="XC194" s="704">
        <f>WR92</f>
        <v>1.560804663639157</v>
      </c>
      <c r="XD194" s="705"/>
      <c r="XE194" s="1062" t="s">
        <v>415</v>
      </c>
      <c r="XF194" s="1063"/>
      <c r="XG194" s="714"/>
      <c r="XH194" s="740" t="s">
        <v>877</v>
      </c>
      <c r="XI194" s="742"/>
      <c r="XJ194" s="746"/>
      <c r="AIM194" s="827"/>
      <c r="AIN194" s="729"/>
      <c r="AIO194" s="729"/>
      <c r="AIP194" s="729"/>
      <c r="AIQ194" s="729"/>
      <c r="AIR194" s="729"/>
      <c r="AIS194" s="729"/>
      <c r="AIT194" s="729"/>
      <c r="AIU194" s="729"/>
      <c r="AIV194" s="729"/>
      <c r="AIW194" s="729"/>
      <c r="AIX194" s="729"/>
      <c r="AIY194" s="729"/>
      <c r="AIZ194" s="729"/>
      <c r="AJA194" s="765"/>
      <c r="AJB194" s="766"/>
      <c r="AJC194" s="1064"/>
      <c r="AJD194" s="1065"/>
      <c r="AJE194" s="715"/>
      <c r="AJF194" s="718"/>
      <c r="AJG194" s="719"/>
      <c r="AJH194" s="747"/>
    </row>
    <row r="195" spans="338:947" ht="48" customHeight="1" thickBot="1">
      <c r="LZ195" s="827"/>
      <c r="MA195" s="412" t="s">
        <v>1128</v>
      </c>
      <c r="MB195" s="828">
        <f>$AZ$86</f>
        <v>0.13</v>
      </c>
      <c r="MC195" s="828"/>
      <c r="MD195" s="709" t="s">
        <v>1393</v>
      </c>
      <c r="ME195" s="709"/>
      <c r="MF195" s="883">
        <f>$MN$204</f>
        <v>0.34913719955913641</v>
      </c>
      <c r="MG195" s="883"/>
      <c r="MH195" s="944"/>
      <c r="MI195" s="944"/>
      <c r="MJ195" s="944"/>
      <c r="MK195" s="944"/>
      <c r="ML195" s="944"/>
      <c r="MM195" s="1004"/>
      <c r="MN195" s="1177"/>
      <c r="MO195" s="1178"/>
      <c r="MP195" s="897"/>
      <c r="MQ195" s="898"/>
      <c r="MR195" s="715"/>
      <c r="MS195" s="954"/>
      <c r="MT195" s="955"/>
      <c r="MU195" s="747"/>
      <c r="MV195" s="768"/>
      <c r="MW195" s="768"/>
      <c r="MX195" s="768"/>
      <c r="MY195" s="768"/>
      <c r="MZ195" s="768"/>
      <c r="NA195" s="768"/>
      <c r="NB195" s="768"/>
      <c r="NC195" s="768"/>
      <c r="ND195" s="768"/>
      <c r="NE195" s="768"/>
      <c r="NO195" s="144"/>
      <c r="NP195" s="144"/>
      <c r="NQ195" s="144"/>
      <c r="NR195" s="144"/>
      <c r="NS195" s="144"/>
      <c r="NT195" s="144"/>
      <c r="NU195" s="144"/>
      <c r="NV195" s="144"/>
      <c r="NW195" s="144"/>
      <c r="PD195" s="144"/>
      <c r="PE195" s="144"/>
      <c r="PF195" s="144"/>
      <c r="PG195" s="144"/>
      <c r="PH195" s="144"/>
      <c r="PJ195" s="826"/>
      <c r="PK195" s="696" t="s">
        <v>1750</v>
      </c>
      <c r="PL195" s="697"/>
      <c r="PM195" s="698">
        <f>$PX$184</f>
        <v>1.1676798757864739</v>
      </c>
      <c r="PN195" s="726"/>
      <c r="PO195" s="700" t="s">
        <v>141</v>
      </c>
      <c r="PP195" s="701"/>
      <c r="PQ195" s="701"/>
      <c r="PR195" s="701"/>
      <c r="PS195" s="701"/>
      <c r="PT195" s="701"/>
      <c r="PU195" s="701"/>
      <c r="PV195" s="701"/>
      <c r="PW195" s="702"/>
      <c r="PX195" s="1087">
        <f>PX184/PX180</f>
        <v>0.10572999170603536</v>
      </c>
      <c r="PY195" s="1006"/>
      <c r="PZ195" s="759"/>
      <c r="QA195" s="760"/>
      <c r="QB195" s="714"/>
      <c r="QC195" s="952" t="s">
        <v>1729</v>
      </c>
      <c r="QD195" s="953"/>
      <c r="QE195" s="746"/>
      <c r="QF195" s="767"/>
      <c r="QG195" s="767"/>
      <c r="QH195" s="767"/>
      <c r="QI195" s="767"/>
      <c r="QJ195" s="767"/>
      <c r="QK195" s="144"/>
      <c r="QL195" s="144"/>
      <c r="QM195" s="144"/>
      <c r="QN195" s="144"/>
      <c r="QO195" s="144"/>
      <c r="WO195" s="827"/>
      <c r="WP195" s="706"/>
      <c r="WQ195" s="707"/>
      <c r="WR195" s="707"/>
      <c r="WS195" s="707"/>
      <c r="WT195" s="707"/>
      <c r="WU195" s="707"/>
      <c r="WV195" s="707"/>
      <c r="WW195" s="707"/>
      <c r="WX195" s="707"/>
      <c r="WY195" s="707"/>
      <c r="WZ195" s="707"/>
      <c r="XA195" s="707"/>
      <c r="XB195" s="1165"/>
      <c r="XC195" s="707"/>
      <c r="XD195" s="708"/>
      <c r="XE195" s="1064"/>
      <c r="XF195" s="1065"/>
      <c r="XG195" s="715"/>
      <c r="XH195" s="743"/>
      <c r="XI195" s="745"/>
      <c r="XJ195" s="747"/>
      <c r="XQ195" s="216"/>
      <c r="XR195" s="665" t="s">
        <v>938</v>
      </c>
      <c r="XS195" s="667"/>
      <c r="XT195" s="216"/>
      <c r="XU195" s="728" t="s">
        <v>1146</v>
      </c>
      <c r="XV195" s="1053"/>
      <c r="XW195" s="1053"/>
      <c r="XX195" s="1053"/>
      <c r="XY195" s="1053"/>
      <c r="XZ195" s="1053"/>
      <c r="YA195" s="1053"/>
      <c r="YB195" s="1053"/>
      <c r="YC195" s="1053"/>
      <c r="YD195" s="1053"/>
      <c r="YE195" s="1054"/>
      <c r="YF195" s="216"/>
    </row>
    <row r="196" spans="338:947" ht="48" customHeight="1" thickBot="1">
      <c r="NO196" s="144"/>
      <c r="NP196" s="144"/>
      <c r="NQ196" s="144"/>
      <c r="NR196" s="144"/>
      <c r="NS196" s="144"/>
      <c r="NT196" s="144"/>
      <c r="NU196" s="144"/>
      <c r="NV196" s="144"/>
      <c r="NW196" s="144"/>
      <c r="PA196" s="144"/>
      <c r="PD196" s="144"/>
      <c r="PE196" s="144"/>
      <c r="PF196" s="144"/>
      <c r="PG196" s="144"/>
      <c r="PH196" s="144"/>
      <c r="PJ196" s="826"/>
      <c r="PK196" s="696" t="s">
        <v>1751</v>
      </c>
      <c r="PL196" s="697"/>
      <c r="PM196" s="948">
        <f>$PX$180</f>
        <v>11.043979640450681</v>
      </c>
      <c r="PN196" s="965"/>
      <c r="PO196" s="703"/>
      <c r="PP196" s="704"/>
      <c r="PQ196" s="704"/>
      <c r="PR196" s="704"/>
      <c r="PS196" s="704"/>
      <c r="PT196" s="704"/>
      <c r="PU196" s="704"/>
      <c r="PV196" s="704"/>
      <c r="PW196" s="705"/>
      <c r="PX196" s="1089"/>
      <c r="PY196" s="708"/>
      <c r="PZ196" s="761"/>
      <c r="QA196" s="762"/>
      <c r="QB196" s="715"/>
      <c r="QC196" s="954"/>
      <c r="QD196" s="955"/>
      <c r="QE196" s="747"/>
      <c r="QF196" s="767"/>
      <c r="QG196" s="767"/>
      <c r="QH196" s="767"/>
      <c r="QI196" s="767"/>
      <c r="QJ196" s="767"/>
      <c r="QK196" s="144"/>
      <c r="QL196" s="144"/>
      <c r="QM196" s="144"/>
      <c r="QN196" s="144"/>
      <c r="QO196" s="144"/>
      <c r="XB196" s="15"/>
      <c r="XC196" s="15"/>
      <c r="XD196" s="15"/>
      <c r="XE196" s="15"/>
      <c r="XF196" s="15"/>
      <c r="XG196" s="15"/>
      <c r="XH196" s="15"/>
      <c r="XI196" s="15"/>
      <c r="XJ196" s="15"/>
      <c r="YZ196" s="144"/>
      <c r="ZA196" s="144"/>
      <c r="ZB196" s="144"/>
      <c r="ZC196" s="144"/>
      <c r="ZD196" s="144"/>
      <c r="AIM196" s="214" t="s">
        <v>899</v>
      </c>
      <c r="AIN196" s="665" t="s">
        <v>442</v>
      </c>
      <c r="AIO196" s="666"/>
      <c r="AIP196" s="156"/>
      <c r="AIQ196" s="87"/>
      <c r="AIR196" s="87"/>
      <c r="AIS196" s="87"/>
      <c r="AIT196" s="87"/>
      <c r="AIU196" s="87"/>
      <c r="AIV196" s="87"/>
      <c r="AIW196" s="156"/>
      <c r="AIX196" s="85" t="s">
        <v>467</v>
      </c>
      <c r="AIY196" s="757" t="s">
        <v>461</v>
      </c>
      <c r="AIZ196" s="758"/>
      <c r="AJA196" s="819" t="s">
        <v>126</v>
      </c>
      <c r="AJB196" s="820"/>
      <c r="AJC196" s="675" t="s">
        <v>731</v>
      </c>
      <c r="AJD196" s="676"/>
      <c r="AJE196" s="821" t="s">
        <v>473</v>
      </c>
      <c r="AJF196" s="822"/>
      <c r="AJG196" s="822"/>
      <c r="AJH196" s="823"/>
    </row>
    <row r="197" spans="338:947" ht="48" customHeight="1" thickBot="1">
      <c r="LZ197" s="902"/>
      <c r="MA197" s="904"/>
      <c r="MB197" s="939" t="s">
        <v>1381</v>
      </c>
      <c r="MC197" s="940"/>
      <c r="MD197" s="940"/>
      <c r="ME197" s="940"/>
      <c r="MF197" s="940"/>
      <c r="MG197" s="940"/>
      <c r="MH197" s="940"/>
      <c r="MI197" s="384" t="s">
        <v>1383</v>
      </c>
      <c r="MJ197" s="384" t="s">
        <v>1384</v>
      </c>
      <c r="MK197" s="384" t="s">
        <v>1385</v>
      </c>
      <c r="ML197" s="384" t="s">
        <v>1386</v>
      </c>
      <c r="MM197" s="384" t="s">
        <v>1387</v>
      </c>
      <c r="MN197" s="384" t="s">
        <v>1388</v>
      </c>
      <c r="MO197" s="1161" t="str">
        <f>MI197</f>
        <v>[А]</v>
      </c>
      <c r="MP197" s="1162"/>
      <c r="MQ197" s="902"/>
      <c r="MR197" s="903"/>
      <c r="MS197" s="903"/>
      <c r="MT197" s="903"/>
      <c r="MU197" s="903"/>
      <c r="MV197" s="903"/>
      <c r="MW197" s="903"/>
      <c r="MX197" s="903"/>
      <c r="MY197" s="903"/>
      <c r="MZ197" s="903"/>
      <c r="NA197" s="904"/>
      <c r="PA197" s="144"/>
      <c r="PB197" s="144"/>
      <c r="PC197" s="144"/>
      <c r="PD197" s="144"/>
      <c r="PE197" s="144"/>
      <c r="PF197" s="144"/>
      <c r="PG197" s="144"/>
      <c r="PH197" s="144"/>
      <c r="PJ197" s="827"/>
      <c r="PK197" s="930"/>
      <c r="PL197" s="931"/>
      <c r="PM197" s="931"/>
      <c r="PN197" s="951"/>
      <c r="PO197" s="706"/>
      <c r="PP197" s="707"/>
      <c r="PQ197" s="707"/>
      <c r="PR197" s="707"/>
      <c r="PS197" s="707"/>
      <c r="PT197" s="707"/>
      <c r="PU197" s="707"/>
      <c r="PV197" s="707"/>
      <c r="PW197" s="708"/>
      <c r="PX197" s="1012"/>
      <c r="PY197" s="1013"/>
      <c r="PZ197" s="1013"/>
      <c r="QA197" s="1013"/>
      <c r="QB197" s="1013"/>
      <c r="QC197" s="1013"/>
      <c r="QD197" s="1013"/>
      <c r="QE197" s="1013"/>
      <c r="QF197" s="768"/>
      <c r="QG197" s="768"/>
      <c r="QH197" s="768"/>
      <c r="QI197" s="768"/>
      <c r="QJ197" s="768"/>
      <c r="QK197" s="144"/>
      <c r="QL197" s="144"/>
      <c r="QM197" s="144"/>
      <c r="QN197" s="144"/>
      <c r="QO197" s="144"/>
      <c r="WO197" s="825"/>
      <c r="WP197" s="147" t="s">
        <v>442</v>
      </c>
      <c r="WQ197" s="148"/>
      <c r="WR197" s="231"/>
      <c r="WS197" s="87"/>
      <c r="WT197" s="87"/>
      <c r="WU197" s="87"/>
      <c r="WV197" s="87"/>
      <c r="WW197" s="87"/>
      <c r="WX197" s="87"/>
      <c r="WY197" s="231"/>
      <c r="WZ197" s="85" t="s">
        <v>467</v>
      </c>
      <c r="XA197" s="757" t="s">
        <v>461</v>
      </c>
      <c r="XB197" s="899"/>
      <c r="XC197" s="1130" t="s">
        <v>126</v>
      </c>
      <c r="XD197" s="1131"/>
      <c r="XE197" s="675" t="s">
        <v>731</v>
      </c>
      <c r="XF197" s="676"/>
      <c r="XG197" s="821" t="s">
        <v>473</v>
      </c>
      <c r="XH197" s="822"/>
      <c r="XI197" s="822"/>
      <c r="XJ197" s="823"/>
      <c r="XO197" s="825"/>
      <c r="XP197" s="665" t="s">
        <v>442</v>
      </c>
      <c r="XQ197" s="666"/>
      <c r="XR197" s="456"/>
      <c r="XS197" s="477" t="s">
        <v>1630</v>
      </c>
      <c r="XT197" s="948">
        <f>$YC$223</f>
        <v>6.727281666666669</v>
      </c>
      <c r="XU197" s="965"/>
      <c r="XV197" s="87"/>
      <c r="XW197" s="87"/>
      <c r="XX197" s="87"/>
      <c r="XY197" s="456"/>
      <c r="XZ197" s="85" t="s">
        <v>467</v>
      </c>
      <c r="YA197" s="757" t="s">
        <v>461</v>
      </c>
      <c r="YB197" s="899"/>
      <c r="YC197" s="819" t="s">
        <v>126</v>
      </c>
      <c r="YD197" s="820"/>
      <c r="YE197" s="675" t="s">
        <v>731</v>
      </c>
      <c r="YF197" s="1094"/>
      <c r="YG197" s="769" t="s">
        <v>473</v>
      </c>
      <c r="YH197" s="769"/>
      <c r="YI197" s="769"/>
      <c r="YJ197" s="769"/>
      <c r="YK197" s="769"/>
      <c r="YL197" s="769" t="s">
        <v>462</v>
      </c>
      <c r="YM197" s="769"/>
      <c r="YN197" s="769"/>
      <c r="YO197" s="769"/>
      <c r="YP197" s="769"/>
      <c r="YQ197" s="769"/>
      <c r="YR197" s="769"/>
      <c r="YS197" s="769"/>
      <c r="YT197" s="769"/>
      <c r="YU197" s="769"/>
      <c r="YV197" s="769"/>
      <c r="YW197" s="769"/>
      <c r="YY197" s="144"/>
      <c r="YZ197" s="144"/>
      <c r="AIM197" s="825"/>
      <c r="AIN197" s="727" t="s">
        <v>1074</v>
      </c>
      <c r="AIO197" s="727"/>
      <c r="AIP197" s="727"/>
      <c r="AIQ197" s="727"/>
      <c r="AIR197" s="727"/>
      <c r="AIS197" s="727"/>
      <c r="AIT197" s="727"/>
      <c r="AIU197" s="727"/>
      <c r="AIV197" s="727"/>
      <c r="AIW197" s="727"/>
      <c r="AIX197" s="727"/>
      <c r="AIY197" s="727"/>
      <c r="AIZ197" s="727"/>
      <c r="AJA197" s="763">
        <f>0.6*AZ21^3*(AQ5/100)</f>
        <v>0.5519573459999999</v>
      </c>
      <c r="AJB197" s="764"/>
      <c r="AJC197" s="1062" t="s">
        <v>1003</v>
      </c>
      <c r="AJD197" s="1063"/>
      <c r="AJE197" s="712"/>
      <c r="AJF197" s="716" t="s">
        <v>442</v>
      </c>
      <c r="AJG197" s="717"/>
      <c r="AJH197" s="746"/>
    </row>
    <row r="198" spans="338:947" ht="48" customHeight="1" thickBot="1">
      <c r="LZ198" s="907"/>
      <c r="MA198" s="908"/>
      <c r="MB198" s="967"/>
      <c r="MC198" s="968"/>
      <c r="MD198" s="968"/>
      <c r="ME198" s="968"/>
      <c r="MF198" s="968"/>
      <c r="MG198" s="968"/>
      <c r="MH198" s="969"/>
      <c r="MI198" s="1197" t="s">
        <v>1718</v>
      </c>
      <c r="MJ198" s="1001"/>
      <c r="MK198" s="1001"/>
      <c r="ML198" s="1001"/>
      <c r="MM198" s="1001"/>
      <c r="MN198" s="1002"/>
      <c r="MO198" s="1163"/>
      <c r="MP198" s="1164"/>
      <c r="MQ198" s="907"/>
      <c r="MR198" s="901"/>
      <c r="MS198" s="901"/>
      <c r="MT198" s="901"/>
      <c r="MU198" s="901"/>
      <c r="MV198" s="901"/>
      <c r="MW198" s="901"/>
      <c r="MX198" s="901"/>
      <c r="MY198" s="901"/>
      <c r="MZ198" s="901"/>
      <c r="NA198" s="908"/>
      <c r="PA198" s="144"/>
      <c r="PB198" s="144"/>
      <c r="PC198" s="144"/>
      <c r="PD198" s="144"/>
      <c r="PE198" s="144"/>
      <c r="PF198" s="144"/>
      <c r="PG198" s="144"/>
      <c r="PH198" s="144"/>
      <c r="WO198" s="826"/>
      <c r="WP198" s="700" t="s">
        <v>1048</v>
      </c>
      <c r="WQ198" s="701"/>
      <c r="WR198" s="701"/>
      <c r="WS198" s="701"/>
      <c r="WT198" s="701"/>
      <c r="WU198" s="701"/>
      <c r="WV198" s="701"/>
      <c r="WW198" s="701"/>
      <c r="WX198" s="701"/>
      <c r="WY198" s="701"/>
      <c r="WZ198" s="701"/>
      <c r="XA198" s="701"/>
      <c r="XB198" s="909"/>
      <c r="XC198" s="1668">
        <v>1.2</v>
      </c>
      <c r="XD198" s="1669"/>
      <c r="XE198" s="1062" t="s">
        <v>416</v>
      </c>
      <c r="XF198" s="1063"/>
      <c r="XG198" s="714"/>
      <c r="XH198" s="1249" t="s">
        <v>1049</v>
      </c>
      <c r="XI198" s="1250"/>
      <c r="XJ198" s="746"/>
      <c r="XO198" s="826"/>
      <c r="XP198" s="696" t="s">
        <v>1171</v>
      </c>
      <c r="XQ198" s="697"/>
      <c r="XR198" s="677">
        <f>$ER$45</f>
        <v>4</v>
      </c>
      <c r="XS198" s="677"/>
      <c r="XT198" s="939" t="s">
        <v>1510</v>
      </c>
      <c r="XU198" s="940"/>
      <c r="XV198" s="940"/>
      <c r="XW198" s="940"/>
      <c r="XX198" s="940"/>
      <c r="XY198" s="940"/>
      <c r="XZ198" s="940"/>
      <c r="YA198" s="940"/>
      <c r="YB198" s="1003"/>
      <c r="YC198" s="763">
        <f>((XR199+0.58*XR200)/XR198)*(XT197/(XT197+1.5*XR198))</f>
        <v>0.37356809116348361</v>
      </c>
      <c r="YD198" s="764"/>
      <c r="YE198" s="1087"/>
      <c r="YF198" s="1006"/>
      <c r="YG198" s="978"/>
      <c r="YH198" s="1083" t="s">
        <v>1570</v>
      </c>
      <c r="YI198" s="1083"/>
      <c r="YJ198" s="1083"/>
      <c r="YK198" s="1085"/>
      <c r="YL198" s="767"/>
      <c r="YM198" s="767"/>
      <c r="YN198" s="767"/>
      <c r="YO198" s="767"/>
      <c r="YP198" s="767"/>
      <c r="YQ198" s="767"/>
      <c r="YR198" s="767"/>
      <c r="YS198" s="767"/>
      <c r="YT198" s="767"/>
      <c r="YU198" s="767"/>
      <c r="YV198" s="767"/>
      <c r="YW198" s="767"/>
      <c r="AIM198" s="827"/>
      <c r="AIN198" s="729"/>
      <c r="AIO198" s="729"/>
      <c r="AIP198" s="729"/>
      <c r="AIQ198" s="729"/>
      <c r="AIR198" s="729"/>
      <c r="AIS198" s="729"/>
      <c r="AIT198" s="729"/>
      <c r="AIU198" s="729"/>
      <c r="AIV198" s="729"/>
      <c r="AIW198" s="729"/>
      <c r="AIX198" s="729"/>
      <c r="AIY198" s="729"/>
      <c r="AIZ198" s="729"/>
      <c r="AJA198" s="765"/>
      <c r="AJB198" s="766"/>
      <c r="AJC198" s="1064"/>
      <c r="AJD198" s="1065"/>
      <c r="AJE198" s="713"/>
      <c r="AJF198" s="718"/>
      <c r="AJG198" s="719"/>
      <c r="AJH198" s="747"/>
    </row>
    <row r="199" spans="338:947" ht="48" customHeight="1" thickBot="1">
      <c r="LZ199" s="792" t="s">
        <v>1078</v>
      </c>
      <c r="MA199" s="793"/>
      <c r="MB199" s="794"/>
      <c r="MC199" s="214" t="s">
        <v>899</v>
      </c>
      <c r="MD199" s="665" t="s">
        <v>442</v>
      </c>
      <c r="ME199" s="666"/>
      <c r="MF199" s="370"/>
      <c r="MG199" s="87"/>
      <c r="MH199" s="87"/>
      <c r="MI199" s="87"/>
      <c r="MJ199" s="87"/>
      <c r="MK199" s="87"/>
      <c r="ML199" s="85" t="s">
        <v>477</v>
      </c>
      <c r="MM199" s="370"/>
      <c r="MN199" s="85" t="s">
        <v>467</v>
      </c>
      <c r="MO199" s="757" t="s">
        <v>461</v>
      </c>
      <c r="MP199" s="758"/>
      <c r="MQ199" s="819" t="s">
        <v>126</v>
      </c>
      <c r="MR199" s="820"/>
      <c r="MS199" s="675" t="s">
        <v>731</v>
      </c>
      <c r="MT199" s="676"/>
      <c r="MU199" s="821" t="s">
        <v>473</v>
      </c>
      <c r="MV199" s="822"/>
      <c r="MW199" s="822"/>
      <c r="MX199" s="823"/>
      <c r="MY199" s="821" t="s">
        <v>462</v>
      </c>
      <c r="MZ199" s="822"/>
      <c r="NA199" s="823"/>
      <c r="PA199" s="144"/>
      <c r="PB199" s="144"/>
      <c r="PC199" s="144"/>
      <c r="PD199" s="144"/>
      <c r="PE199" s="144"/>
      <c r="PF199" s="144"/>
      <c r="PG199" s="144"/>
      <c r="PH199" s="144"/>
      <c r="PJ199" s="825"/>
      <c r="PK199" s="695" t="s">
        <v>442</v>
      </c>
      <c r="PL199" s="695"/>
      <c r="PM199" s="555"/>
      <c r="PN199" s="87"/>
      <c r="PO199" s="87"/>
      <c r="PP199" s="87"/>
      <c r="PQ199" s="87"/>
      <c r="PR199" s="87"/>
      <c r="PS199" s="87"/>
      <c r="PT199" s="555"/>
      <c r="PU199" s="85" t="s">
        <v>467</v>
      </c>
      <c r="PV199" s="757" t="s">
        <v>461</v>
      </c>
      <c r="PW199" s="899"/>
      <c r="PX199" s="819" t="s">
        <v>126</v>
      </c>
      <c r="PY199" s="820"/>
      <c r="PZ199" s="675" t="s">
        <v>731</v>
      </c>
      <c r="QA199" s="676"/>
      <c r="QB199" s="821" t="s">
        <v>473</v>
      </c>
      <c r="QC199" s="822"/>
      <c r="QD199" s="822"/>
      <c r="QE199" s="823"/>
      <c r="QF199" s="769" t="s">
        <v>462</v>
      </c>
      <c r="QG199" s="769"/>
      <c r="QH199" s="769"/>
      <c r="QI199" s="769"/>
      <c r="QJ199" s="769"/>
      <c r="QK199" s="769"/>
      <c r="WO199" s="827"/>
      <c r="WP199" s="706"/>
      <c r="WQ199" s="707"/>
      <c r="WR199" s="707"/>
      <c r="WS199" s="707"/>
      <c r="WT199" s="707"/>
      <c r="WU199" s="707"/>
      <c r="WV199" s="707"/>
      <c r="WW199" s="707"/>
      <c r="WX199" s="707"/>
      <c r="WY199" s="707"/>
      <c r="WZ199" s="707"/>
      <c r="XA199" s="707"/>
      <c r="XB199" s="1165"/>
      <c r="XC199" s="1670"/>
      <c r="XD199" s="1364"/>
      <c r="XE199" s="1064"/>
      <c r="XF199" s="1065"/>
      <c r="XG199" s="715"/>
      <c r="XH199" s="1251"/>
      <c r="XI199" s="1252"/>
      <c r="XJ199" s="747"/>
      <c r="XO199" s="826"/>
      <c r="XP199" s="696" t="s">
        <v>1649</v>
      </c>
      <c r="XQ199" s="697"/>
      <c r="XR199" s="677">
        <f>$ER$41</f>
        <v>1</v>
      </c>
      <c r="XS199" s="677"/>
      <c r="XT199" s="941"/>
      <c r="XU199" s="942"/>
      <c r="XV199" s="942"/>
      <c r="XW199" s="942"/>
      <c r="XX199" s="942"/>
      <c r="XY199" s="942"/>
      <c r="XZ199" s="942"/>
      <c r="YA199" s="942"/>
      <c r="YB199" s="1011"/>
      <c r="YC199" s="765"/>
      <c r="YD199" s="766"/>
      <c r="YE199" s="1089"/>
      <c r="YF199" s="708"/>
      <c r="YG199" s="979"/>
      <c r="YH199" s="1084"/>
      <c r="YI199" s="1084"/>
      <c r="YJ199" s="1084"/>
      <c r="YK199" s="1086"/>
      <c r="YL199" s="767"/>
      <c r="YM199" s="767"/>
      <c r="YN199" s="767"/>
      <c r="YO199" s="767"/>
      <c r="YP199" s="767"/>
      <c r="YQ199" s="767"/>
      <c r="YR199" s="767"/>
      <c r="YS199" s="767"/>
      <c r="YT199" s="767"/>
      <c r="YU199" s="767"/>
      <c r="YV199" s="767"/>
      <c r="YW199" s="767"/>
    </row>
    <row r="200" spans="338:947" ht="48" customHeight="1" thickBot="1">
      <c r="LZ200" s="795"/>
      <c r="MA200" s="796"/>
      <c r="MB200" s="797"/>
      <c r="MC200" s="825"/>
      <c r="MD200" s="700" t="s">
        <v>1434</v>
      </c>
      <c r="ME200" s="701"/>
      <c r="MF200" s="701"/>
      <c r="MG200" s="701"/>
      <c r="MH200" s="701"/>
      <c r="MI200" s="701"/>
      <c r="MJ200" s="701"/>
      <c r="MK200" s="701"/>
      <c r="ML200" s="701"/>
      <c r="MM200" s="701"/>
      <c r="MN200" s="701"/>
      <c r="MO200" s="701"/>
      <c r="MP200" s="702"/>
      <c r="MQ200" s="763">
        <f>'Программные таблицы'!AF348</f>
        <v>4.8197321291167521</v>
      </c>
      <c r="MR200" s="764"/>
      <c r="MS200" s="849" t="s">
        <v>762</v>
      </c>
      <c r="MT200" s="850"/>
      <c r="MU200" s="714"/>
      <c r="MV200" s="740" t="s">
        <v>1397</v>
      </c>
      <c r="MW200" s="742"/>
      <c r="MX200" s="746"/>
      <c r="MY200" s="1066" t="s">
        <v>1389</v>
      </c>
      <c r="MZ200" s="1111"/>
      <c r="NA200" s="1067"/>
      <c r="PA200" s="144"/>
      <c r="PB200" s="144"/>
      <c r="PC200" s="144"/>
      <c r="PD200" s="144"/>
      <c r="PE200" s="144"/>
      <c r="PF200" s="144"/>
      <c r="PG200" s="144"/>
      <c r="PH200" s="144"/>
      <c r="PJ200" s="826"/>
      <c r="PK200" s="863" t="s">
        <v>1752</v>
      </c>
      <c r="PL200" s="863"/>
      <c r="PM200" s="756">
        <f>$PX$126</f>
        <v>400.20783985168828</v>
      </c>
      <c r="PN200" s="756"/>
      <c r="PO200" s="700" t="s">
        <v>175</v>
      </c>
      <c r="PP200" s="701"/>
      <c r="PQ200" s="701"/>
      <c r="PR200" s="701"/>
      <c r="PS200" s="701"/>
      <c r="PT200" s="701"/>
      <c r="PU200" s="701"/>
      <c r="PV200" s="701"/>
      <c r="PW200" s="702"/>
      <c r="PX200" s="763">
        <f>PM200+PM201</f>
        <v>1264.0210863416883</v>
      </c>
      <c r="PY200" s="764"/>
      <c r="PZ200" s="759" t="s">
        <v>3</v>
      </c>
      <c r="QA200" s="760"/>
      <c r="QB200" s="714"/>
      <c r="QC200" s="952" t="s">
        <v>1728</v>
      </c>
      <c r="QD200" s="953"/>
      <c r="QE200" s="746"/>
      <c r="QF200" s="767"/>
      <c r="QG200" s="767"/>
      <c r="QH200" s="767"/>
      <c r="QI200" s="767"/>
      <c r="QJ200" s="767"/>
      <c r="QK200" s="767"/>
      <c r="XO200" s="827"/>
      <c r="XP200" s="709" t="s">
        <v>1648</v>
      </c>
      <c r="XQ200" s="709"/>
      <c r="XR200" s="828">
        <f>$YC$203</f>
        <v>3.1500000000000004</v>
      </c>
      <c r="XS200" s="828"/>
      <c r="XT200" s="943"/>
      <c r="XU200" s="944"/>
      <c r="XV200" s="944"/>
      <c r="XW200" s="944"/>
      <c r="XX200" s="944"/>
      <c r="XY200" s="944"/>
      <c r="XZ200" s="944"/>
      <c r="YA200" s="944"/>
      <c r="YB200" s="1004"/>
      <c r="YC200" s="1012"/>
      <c r="YD200" s="1013"/>
      <c r="YE200" s="1013"/>
      <c r="YF200" s="1013"/>
      <c r="YG200" s="1013"/>
      <c r="YH200" s="1013"/>
      <c r="YI200" s="1013"/>
      <c r="YJ200" s="1013"/>
      <c r="YK200" s="1014"/>
      <c r="YL200" s="768"/>
      <c r="YM200" s="768"/>
      <c r="YN200" s="768"/>
      <c r="YO200" s="768"/>
      <c r="YP200" s="768"/>
      <c r="YQ200" s="768"/>
      <c r="YR200" s="768"/>
      <c r="YS200" s="768"/>
      <c r="YT200" s="768"/>
      <c r="YU200" s="768"/>
      <c r="YV200" s="768"/>
      <c r="YW200" s="768"/>
      <c r="AIM200" s="825"/>
      <c r="AIN200" s="665" t="s">
        <v>442</v>
      </c>
      <c r="AIO200" s="666"/>
      <c r="AIP200" s="171"/>
      <c r="AIQ200" s="87"/>
      <c r="AIR200" s="87"/>
      <c r="AIS200" s="87"/>
      <c r="AIT200" s="87"/>
      <c r="AIU200" s="87"/>
      <c r="AIV200" s="87"/>
      <c r="AIW200" s="171"/>
      <c r="AIX200" s="85" t="s">
        <v>467</v>
      </c>
      <c r="AIY200" s="757" t="s">
        <v>461</v>
      </c>
      <c r="AIZ200" s="899"/>
      <c r="AJA200" s="819" t="s">
        <v>126</v>
      </c>
      <c r="AJB200" s="820"/>
      <c r="AJC200" s="675" t="s">
        <v>731</v>
      </c>
      <c r="AJD200" s="676"/>
      <c r="AJE200" s="821" t="s">
        <v>473</v>
      </c>
      <c r="AJF200" s="822"/>
      <c r="AJG200" s="822"/>
      <c r="AJH200" s="823"/>
      <c r="AJI200" s="821" t="s">
        <v>921</v>
      </c>
      <c r="AJJ200" s="822"/>
      <c r="AJK200" s="823"/>
    </row>
    <row r="201" spans="338:947" ht="48" customHeight="1" thickBot="1">
      <c r="LZ201" s="798"/>
      <c r="MA201" s="799"/>
      <c r="MB201" s="800"/>
      <c r="MC201" s="827"/>
      <c r="MD201" s="706"/>
      <c r="ME201" s="707"/>
      <c r="MF201" s="707"/>
      <c r="MG201" s="707"/>
      <c r="MH201" s="707"/>
      <c r="MI201" s="707"/>
      <c r="MJ201" s="707"/>
      <c r="MK201" s="707"/>
      <c r="ML201" s="707"/>
      <c r="MM201" s="707"/>
      <c r="MN201" s="707"/>
      <c r="MO201" s="707"/>
      <c r="MP201" s="708"/>
      <c r="MQ201" s="765"/>
      <c r="MR201" s="766"/>
      <c r="MS201" s="851"/>
      <c r="MT201" s="852"/>
      <c r="MU201" s="715"/>
      <c r="MV201" s="743"/>
      <c r="MW201" s="745"/>
      <c r="MX201" s="747"/>
      <c r="MY201" s="1112"/>
      <c r="MZ201" s="1113"/>
      <c r="NA201" s="1114"/>
      <c r="PA201" s="144"/>
      <c r="PB201" s="144"/>
      <c r="PC201" s="144"/>
      <c r="PD201" s="144"/>
      <c r="PE201" s="144"/>
      <c r="PF201" s="144"/>
      <c r="PG201" s="144"/>
      <c r="PH201" s="144"/>
      <c r="PJ201" s="827"/>
      <c r="PK201" s="709" t="s">
        <v>1753</v>
      </c>
      <c r="PL201" s="709"/>
      <c r="PM201" s="883">
        <f>$PX$165</f>
        <v>863.8132464900001</v>
      </c>
      <c r="PN201" s="883"/>
      <c r="PO201" s="706"/>
      <c r="PP201" s="707"/>
      <c r="PQ201" s="707"/>
      <c r="PR201" s="707"/>
      <c r="PS201" s="707"/>
      <c r="PT201" s="707"/>
      <c r="PU201" s="707"/>
      <c r="PV201" s="707"/>
      <c r="PW201" s="708"/>
      <c r="PX201" s="765"/>
      <c r="PY201" s="766"/>
      <c r="PZ201" s="761"/>
      <c r="QA201" s="762"/>
      <c r="QB201" s="715"/>
      <c r="QC201" s="954"/>
      <c r="QD201" s="955"/>
      <c r="QE201" s="747"/>
      <c r="QF201" s="768"/>
      <c r="QG201" s="768"/>
      <c r="QH201" s="768"/>
      <c r="QI201" s="768"/>
      <c r="QJ201" s="768"/>
      <c r="QK201" s="768"/>
      <c r="AIM201" s="826"/>
      <c r="AIN201" s="700"/>
      <c r="AIO201" s="701"/>
      <c r="AIP201" s="701"/>
      <c r="AIQ201" s="701"/>
      <c r="AIR201" s="701"/>
      <c r="AIS201" s="701"/>
      <c r="AIT201" s="701"/>
      <c r="AIU201" s="701"/>
      <c r="AIV201" s="701"/>
      <c r="AIW201" s="701"/>
      <c r="AIX201" s="701"/>
      <c r="AIY201" s="701"/>
      <c r="AIZ201" s="701"/>
      <c r="AJA201" s="763"/>
      <c r="AJB201" s="764"/>
      <c r="AJC201" s="1088"/>
      <c r="AJD201" s="1006"/>
      <c r="AJE201" s="714"/>
      <c r="AJF201" s="716" t="s">
        <v>442</v>
      </c>
      <c r="AJG201" s="717"/>
      <c r="AJH201" s="746"/>
      <c r="AJI201" s="1066" t="s">
        <v>920</v>
      </c>
      <c r="AJJ201" s="1111"/>
      <c r="AJK201" s="1067"/>
    </row>
    <row r="202" spans="338:947" ht="48" customHeight="1" thickBot="1">
      <c r="PA202" s="144"/>
      <c r="PB202" s="144"/>
      <c r="PC202" s="144"/>
      <c r="PD202" s="144"/>
      <c r="PE202" s="144"/>
      <c r="PF202" s="144"/>
      <c r="PG202" s="144"/>
      <c r="PH202" s="144"/>
      <c r="XO202" s="825"/>
      <c r="XP202" s="665" t="s">
        <v>442</v>
      </c>
      <c r="XQ202" s="666"/>
      <c r="XR202" s="488"/>
      <c r="XS202" s="87"/>
      <c r="XT202" s="87"/>
      <c r="XU202" s="87"/>
      <c r="XV202" s="87"/>
      <c r="XW202" s="87"/>
      <c r="XX202" s="87"/>
      <c r="XY202" s="488"/>
      <c r="XZ202" s="85" t="s">
        <v>467</v>
      </c>
      <c r="YA202" s="757" t="s">
        <v>461</v>
      </c>
      <c r="YB202" s="758"/>
      <c r="YC202" s="819" t="s">
        <v>126</v>
      </c>
      <c r="YD202" s="820"/>
      <c r="YE202" s="675" t="s">
        <v>731</v>
      </c>
      <c r="YF202" s="676"/>
      <c r="YG202" s="821" t="s">
        <v>473</v>
      </c>
      <c r="YH202" s="822"/>
      <c r="YI202" s="822"/>
      <c r="YJ202" s="823"/>
      <c r="YK202" s="769" t="s">
        <v>462</v>
      </c>
      <c r="YL202" s="769"/>
      <c r="YM202" s="769"/>
      <c r="YN202" s="769"/>
      <c r="YO202" s="769"/>
      <c r="AIM202" s="827"/>
      <c r="AIN202" s="706"/>
      <c r="AIO202" s="707"/>
      <c r="AIP202" s="707"/>
      <c r="AIQ202" s="707"/>
      <c r="AIR202" s="707"/>
      <c r="AIS202" s="707"/>
      <c r="AIT202" s="707"/>
      <c r="AIU202" s="707"/>
      <c r="AIV202" s="707"/>
      <c r="AIW202" s="707"/>
      <c r="AIX202" s="707"/>
      <c r="AIY202" s="707"/>
      <c r="AIZ202" s="707"/>
      <c r="AJA202" s="765"/>
      <c r="AJB202" s="766"/>
      <c r="AJC202" s="707"/>
      <c r="AJD202" s="708"/>
      <c r="AJE202" s="715"/>
      <c r="AJF202" s="718"/>
      <c r="AJG202" s="719"/>
      <c r="AJH202" s="747"/>
      <c r="AJI202" s="1112"/>
      <c r="AJJ202" s="1113"/>
      <c r="AJK202" s="1114"/>
    </row>
    <row r="203" spans="338:947" ht="48" customHeight="1" thickBot="1">
      <c r="LZ203" s="767"/>
      <c r="MA203" s="665" t="s">
        <v>442</v>
      </c>
      <c r="MB203" s="666"/>
      <c r="MC203" s="370"/>
      <c r="MD203" s="863" t="s">
        <v>1441</v>
      </c>
      <c r="ME203" s="863"/>
      <c r="MF203" s="756">
        <f>$MN$217</f>
        <v>1.0005861831153389</v>
      </c>
      <c r="MG203" s="756"/>
      <c r="MH203" s="87"/>
      <c r="MI203" s="87"/>
      <c r="MJ203" s="370"/>
      <c r="MK203" s="85" t="s">
        <v>467</v>
      </c>
      <c r="ML203" s="757" t="s">
        <v>461</v>
      </c>
      <c r="MM203" s="758"/>
      <c r="MN203" s="819" t="s">
        <v>126</v>
      </c>
      <c r="MO203" s="820"/>
      <c r="MP203" s="675" t="s">
        <v>731</v>
      </c>
      <c r="MQ203" s="676"/>
      <c r="MR203" s="821" t="s">
        <v>473</v>
      </c>
      <c r="MS203" s="822"/>
      <c r="MT203" s="822"/>
      <c r="MU203" s="823"/>
      <c r="MV203" s="769" t="s">
        <v>462</v>
      </c>
      <c r="MW203" s="769"/>
      <c r="MX203" s="769"/>
      <c r="MY203" s="769"/>
      <c r="MZ203" s="769"/>
      <c r="NA203" s="769"/>
      <c r="NB203" s="769"/>
      <c r="PA203" s="144"/>
      <c r="PB203" s="144"/>
      <c r="PC203" s="144"/>
      <c r="PD203" s="144"/>
      <c r="PE203" s="144"/>
      <c r="PF203" s="144"/>
      <c r="PG203" s="144"/>
      <c r="PH203" s="144"/>
      <c r="XO203" s="826"/>
      <c r="XP203" s="696" t="s">
        <v>1171</v>
      </c>
      <c r="XQ203" s="697"/>
      <c r="XR203" s="677">
        <f>$ER$45</f>
        <v>4</v>
      </c>
      <c r="XS203" s="677"/>
      <c r="XT203" s="1121" t="s">
        <v>1647</v>
      </c>
      <c r="XU203" s="701"/>
      <c r="XV203" s="701"/>
      <c r="XW203" s="701"/>
      <c r="XX203" s="701"/>
      <c r="XY203" s="701"/>
      <c r="XZ203" s="701"/>
      <c r="YA203" s="701"/>
      <c r="YB203" s="702"/>
      <c r="YC203" s="763">
        <f>(XR204-XR203)/2</f>
        <v>3.1500000000000004</v>
      </c>
      <c r="YD203" s="764"/>
      <c r="YE203" s="1088"/>
      <c r="YF203" s="1006"/>
      <c r="YG203" s="714"/>
      <c r="YH203" s="740" t="s">
        <v>1646</v>
      </c>
      <c r="YI203" s="742"/>
      <c r="YJ203" s="746"/>
      <c r="YK203" s="767"/>
      <c r="YL203" s="767"/>
      <c r="YM203" s="767"/>
      <c r="YN203" s="767"/>
      <c r="YO203" s="767"/>
    </row>
    <row r="204" spans="338:947" ht="48" customHeight="1" thickBot="1">
      <c r="LZ204" s="767"/>
      <c r="MA204" s="414" t="s">
        <v>757</v>
      </c>
      <c r="MB204" s="677">
        <f>$GW$12</f>
        <v>2</v>
      </c>
      <c r="MC204" s="677"/>
      <c r="MD204" s="700" t="s">
        <v>127</v>
      </c>
      <c r="ME204" s="701"/>
      <c r="MF204" s="701"/>
      <c r="MG204" s="701"/>
      <c r="MH204" s="701"/>
      <c r="MI204" s="701"/>
      <c r="MJ204" s="701"/>
      <c r="MK204" s="701"/>
      <c r="ML204" s="701"/>
      <c r="MM204" s="702"/>
      <c r="MN204" s="1087">
        <f>(MB205*1000)/(12*MB204*MB206)*MF203</f>
        <v>0.34913719955913641</v>
      </c>
      <c r="MO204" s="1006"/>
      <c r="MP204" s="849" t="s">
        <v>762</v>
      </c>
      <c r="MQ204" s="850"/>
      <c r="MR204" s="714"/>
      <c r="MS204" s="740" t="s">
        <v>1399</v>
      </c>
      <c r="MT204" s="742"/>
      <c r="MU204" s="746"/>
      <c r="MV204" s="767"/>
      <c r="MW204" s="767"/>
      <c r="MX204" s="767"/>
      <c r="MY204" s="767"/>
      <c r="MZ204" s="767"/>
      <c r="NA204" s="767"/>
      <c r="NB204" s="767"/>
      <c r="PA204" s="144"/>
      <c r="PB204" s="144"/>
      <c r="PC204" s="144"/>
      <c r="PD204" s="144"/>
      <c r="PE204" s="144"/>
      <c r="PF204" s="144"/>
      <c r="PG204" s="144"/>
      <c r="PH204" s="144"/>
      <c r="XO204" s="827"/>
      <c r="XP204" s="949" t="s">
        <v>1164</v>
      </c>
      <c r="XQ204" s="962"/>
      <c r="XR204" s="1132">
        <f>$EQ$67</f>
        <v>10.3</v>
      </c>
      <c r="XS204" s="1133"/>
      <c r="XT204" s="707"/>
      <c r="XU204" s="707"/>
      <c r="XV204" s="707"/>
      <c r="XW204" s="707"/>
      <c r="XX204" s="707"/>
      <c r="XY204" s="707"/>
      <c r="XZ204" s="707"/>
      <c r="YA204" s="707"/>
      <c r="YB204" s="708"/>
      <c r="YC204" s="765"/>
      <c r="YD204" s="766"/>
      <c r="YE204" s="707"/>
      <c r="YF204" s="708"/>
      <c r="YG204" s="715"/>
      <c r="YH204" s="743"/>
      <c r="YI204" s="745"/>
      <c r="YJ204" s="747"/>
      <c r="YK204" s="768"/>
      <c r="YL204" s="768"/>
      <c r="YM204" s="768"/>
      <c r="YN204" s="768"/>
      <c r="YO204" s="768"/>
      <c r="AIM204" s="825"/>
      <c r="AIN204" s="665" t="s">
        <v>442</v>
      </c>
      <c r="AIO204" s="666"/>
      <c r="AIP204" s="156"/>
      <c r="AIQ204" s="87"/>
      <c r="AIR204" s="87"/>
      <c r="AIS204" s="87"/>
      <c r="AIT204" s="87"/>
      <c r="AIU204" s="87"/>
      <c r="AIV204" s="87"/>
      <c r="AIW204" s="156"/>
      <c r="AIX204" s="85" t="s">
        <v>467</v>
      </c>
      <c r="AIY204" s="757" t="s">
        <v>461</v>
      </c>
      <c r="AIZ204" s="899"/>
      <c r="AJA204" s="1130" t="s">
        <v>126</v>
      </c>
      <c r="AJB204" s="1131"/>
      <c r="AJC204" s="675" t="s">
        <v>731</v>
      </c>
      <c r="AJD204" s="676"/>
      <c r="AJE204" s="821" t="s">
        <v>473</v>
      </c>
      <c r="AJF204" s="822"/>
      <c r="AJG204" s="822"/>
      <c r="AJH204" s="823"/>
    </row>
    <row r="205" spans="338:947" ht="48" customHeight="1" thickBot="1">
      <c r="LZ205" s="767"/>
      <c r="MA205" s="415" t="s">
        <v>1129</v>
      </c>
      <c r="MB205" s="739">
        <f>$GT$32</f>
        <v>9.0185672413793123E-3</v>
      </c>
      <c r="MC205" s="739"/>
      <c r="MD205" s="703"/>
      <c r="ME205" s="704"/>
      <c r="MF205" s="704"/>
      <c r="MG205" s="704"/>
      <c r="MH205" s="704"/>
      <c r="MI205" s="704"/>
      <c r="MJ205" s="704"/>
      <c r="MK205" s="704"/>
      <c r="ML205" s="704"/>
      <c r="MM205" s="705"/>
      <c r="MN205" s="1089"/>
      <c r="MO205" s="708"/>
      <c r="MP205" s="851"/>
      <c r="MQ205" s="852"/>
      <c r="MR205" s="715"/>
      <c r="MS205" s="743"/>
      <c r="MT205" s="745"/>
      <c r="MU205" s="747"/>
      <c r="MV205" s="767"/>
      <c r="MW205" s="767"/>
      <c r="MX205" s="767"/>
      <c r="MY205" s="767"/>
      <c r="MZ205" s="767"/>
      <c r="NA205" s="767"/>
      <c r="NB205" s="767"/>
      <c r="PA205" s="144"/>
      <c r="PB205" s="144"/>
      <c r="PC205" s="144"/>
      <c r="PD205" s="144"/>
      <c r="PE205" s="144"/>
      <c r="PF205" s="144"/>
      <c r="PG205" s="144"/>
      <c r="AIM205" s="826"/>
      <c r="AIN205" s="727" t="s">
        <v>1076</v>
      </c>
      <c r="AIO205" s="727"/>
      <c r="AIP205" s="727"/>
      <c r="AIQ205" s="727"/>
      <c r="AIR205" s="727"/>
      <c r="AIS205" s="727"/>
      <c r="AIT205" s="727"/>
      <c r="AIU205" s="727"/>
      <c r="AIV205" s="727"/>
      <c r="AIW205" s="727"/>
      <c r="AIX205" s="727"/>
      <c r="AIY205" s="727"/>
      <c r="AIZ205" s="727"/>
      <c r="AJA205" s="763">
        <v>2.6</v>
      </c>
      <c r="AJB205" s="764"/>
      <c r="AJC205" s="1005"/>
      <c r="AJD205" s="1006"/>
      <c r="AJE205" s="714"/>
      <c r="AJF205" s="716" t="s">
        <v>442</v>
      </c>
      <c r="AJG205" s="717"/>
      <c r="AJH205" s="746"/>
    </row>
    <row r="206" spans="338:947" ht="48" customHeight="1" thickBot="1">
      <c r="LZ206" s="768"/>
      <c r="MA206" s="416" t="s">
        <v>1170</v>
      </c>
      <c r="MB206" s="883">
        <f>$JF$114</f>
        <v>1.0769230769230769</v>
      </c>
      <c r="MC206" s="883"/>
      <c r="MD206" s="706"/>
      <c r="ME206" s="707"/>
      <c r="MF206" s="707"/>
      <c r="MG206" s="707"/>
      <c r="MH206" s="707"/>
      <c r="MI206" s="707"/>
      <c r="MJ206" s="707"/>
      <c r="MK206" s="707"/>
      <c r="ML206" s="707"/>
      <c r="MM206" s="708"/>
      <c r="MN206" s="1012"/>
      <c r="MO206" s="1013"/>
      <c r="MP206" s="1013"/>
      <c r="MQ206" s="1013"/>
      <c r="MR206" s="1013"/>
      <c r="MS206" s="1013"/>
      <c r="MT206" s="1013"/>
      <c r="MU206" s="1014"/>
      <c r="MV206" s="768"/>
      <c r="MW206" s="768"/>
      <c r="MX206" s="768"/>
      <c r="MY206" s="768"/>
      <c r="MZ206" s="768"/>
      <c r="NA206" s="768"/>
      <c r="NB206" s="768"/>
      <c r="AIM206" s="827"/>
      <c r="AIN206" s="729"/>
      <c r="AIO206" s="729"/>
      <c r="AIP206" s="729"/>
      <c r="AIQ206" s="729"/>
      <c r="AIR206" s="729"/>
      <c r="AIS206" s="729"/>
      <c r="AIT206" s="729"/>
      <c r="AIU206" s="729"/>
      <c r="AIV206" s="729"/>
      <c r="AIW206" s="729"/>
      <c r="AIX206" s="729"/>
      <c r="AIY206" s="729"/>
      <c r="AIZ206" s="729"/>
      <c r="AJA206" s="765"/>
      <c r="AJB206" s="766"/>
      <c r="AJC206" s="706"/>
      <c r="AJD206" s="708"/>
      <c r="AJE206" s="715"/>
      <c r="AJF206" s="718"/>
      <c r="AJG206" s="719"/>
      <c r="AJH206" s="747"/>
    </row>
    <row r="208" spans="338:947" ht="48" customHeight="1" thickBot="1">
      <c r="LZ208" s="85" t="s">
        <v>839</v>
      </c>
      <c r="MA208" s="665" t="s">
        <v>442</v>
      </c>
      <c r="MB208" s="666"/>
      <c r="MC208" s="370"/>
      <c r="MD208" s="87"/>
      <c r="ME208" s="87"/>
      <c r="MF208" s="87"/>
      <c r="MG208" s="87"/>
      <c r="MH208" s="87"/>
      <c r="MI208" s="87"/>
      <c r="MJ208" s="370"/>
      <c r="MK208" s="85" t="s">
        <v>467</v>
      </c>
      <c r="ML208" s="757" t="s">
        <v>461</v>
      </c>
      <c r="MM208" s="758"/>
      <c r="MN208" s="819" t="s">
        <v>126</v>
      </c>
      <c r="MO208" s="820"/>
      <c r="MP208" s="675" t="s">
        <v>731</v>
      </c>
      <c r="MQ208" s="676"/>
      <c r="MR208" s="821" t="s">
        <v>473</v>
      </c>
      <c r="MS208" s="822"/>
      <c r="MT208" s="822"/>
      <c r="MU208" s="823"/>
      <c r="AIM208" s="825"/>
      <c r="AIN208" s="665" t="s">
        <v>442</v>
      </c>
      <c r="AIO208" s="666"/>
      <c r="AIP208" s="156"/>
      <c r="AIQ208" s="87"/>
      <c r="AIR208" s="87"/>
      <c r="AIS208" s="87"/>
      <c r="AIT208" s="87"/>
      <c r="AIU208" s="87"/>
      <c r="AIV208" s="87"/>
      <c r="AIW208" s="156"/>
      <c r="AIX208" s="85" t="s">
        <v>467</v>
      </c>
      <c r="AIY208" s="757" t="s">
        <v>461</v>
      </c>
      <c r="AIZ208" s="899"/>
      <c r="AJA208" s="1130" t="s">
        <v>126</v>
      </c>
      <c r="AJB208" s="1131"/>
      <c r="AJC208" s="675" t="s">
        <v>731</v>
      </c>
      <c r="AJD208" s="676"/>
      <c r="AJE208" s="821" t="s">
        <v>473</v>
      </c>
      <c r="AJF208" s="822"/>
      <c r="AJG208" s="822"/>
      <c r="AJH208" s="823"/>
    </row>
    <row r="209" spans="338:980" ht="48" customHeight="1">
      <c r="LZ209" s="825"/>
      <c r="MA209" s="863" t="s">
        <v>1201</v>
      </c>
      <c r="MB209" s="863"/>
      <c r="MC209" s="677">
        <f>'Вывод расчетов'!$IH$92</f>
        <v>4.3</v>
      </c>
      <c r="MD209" s="677"/>
      <c r="ME209" s="1174" t="s">
        <v>1479</v>
      </c>
      <c r="MF209" s="701"/>
      <c r="MG209" s="701"/>
      <c r="MH209" s="701"/>
      <c r="MI209" s="701"/>
      <c r="MJ209" s="701"/>
      <c r="MK209" s="701"/>
      <c r="ML209" s="701"/>
      <c r="MM209" s="702"/>
      <c r="MN209" s="1179">
        <f>MC210+0.4*MC209</f>
        <v>6.3199999999999994</v>
      </c>
      <c r="MO209" s="1180"/>
      <c r="MP209" s="1183" t="s">
        <v>50</v>
      </c>
      <c r="MQ209" s="1184"/>
      <c r="MR209" s="714"/>
      <c r="MS209" s="952" t="s">
        <v>1759</v>
      </c>
      <c r="MT209" s="953"/>
      <c r="MU209" s="746"/>
      <c r="XQ209" s="216"/>
      <c r="XR209" s="665" t="s">
        <v>939</v>
      </c>
      <c r="XS209" s="667"/>
      <c r="XT209" s="216"/>
      <c r="XU209" s="728" t="s">
        <v>1147</v>
      </c>
      <c r="XV209" s="1053"/>
      <c r="XW209" s="1053"/>
      <c r="XX209" s="1053"/>
      <c r="XY209" s="1053"/>
      <c r="XZ209" s="1053"/>
      <c r="YA209" s="1053"/>
      <c r="YB209" s="1053"/>
      <c r="YC209" s="1053"/>
      <c r="YD209" s="1053"/>
      <c r="YE209" s="1054"/>
      <c r="YF209" s="216"/>
      <c r="AIM209" s="826"/>
      <c r="AIN209" s="727" t="s">
        <v>410</v>
      </c>
      <c r="AIO209" s="727"/>
      <c r="AIP209" s="727"/>
      <c r="AIQ209" s="727"/>
      <c r="AIR209" s="727"/>
      <c r="AIS209" s="727"/>
      <c r="AIT209" s="727"/>
      <c r="AIU209" s="727"/>
      <c r="AIV209" s="727"/>
      <c r="AIW209" s="727"/>
      <c r="AIX209" s="727"/>
      <c r="AIY209" s="727"/>
      <c r="AIZ209" s="727"/>
      <c r="AJA209" s="763">
        <f>AJA229/AJD217</f>
        <v>1.5710184216337095</v>
      </c>
      <c r="AJB209" s="764"/>
      <c r="AJC209" s="1005"/>
      <c r="AJD209" s="1006"/>
      <c r="AJE209" s="714"/>
      <c r="AJF209" s="716" t="s">
        <v>442</v>
      </c>
      <c r="AJG209" s="717"/>
      <c r="AJH209" s="746"/>
    </row>
    <row r="210" spans="338:980" ht="48" customHeight="1" thickBot="1">
      <c r="LZ210" s="827"/>
      <c r="MA210" s="709" t="s">
        <v>1219</v>
      </c>
      <c r="MB210" s="709"/>
      <c r="MC210" s="672">
        <f>'Вывод расчетов'!$IH$96</f>
        <v>4.5999999999999996</v>
      </c>
      <c r="MD210" s="672"/>
      <c r="ME210" s="706"/>
      <c r="MF210" s="707"/>
      <c r="MG210" s="707"/>
      <c r="MH210" s="707"/>
      <c r="MI210" s="707"/>
      <c r="MJ210" s="707"/>
      <c r="MK210" s="707"/>
      <c r="ML210" s="707"/>
      <c r="MM210" s="708"/>
      <c r="MN210" s="1181"/>
      <c r="MO210" s="1182"/>
      <c r="MP210" s="1185"/>
      <c r="MQ210" s="1186"/>
      <c r="MR210" s="715"/>
      <c r="MS210" s="954"/>
      <c r="MT210" s="955"/>
      <c r="MU210" s="747"/>
      <c r="AIM210" s="827"/>
      <c r="AIN210" s="729"/>
      <c r="AIO210" s="729"/>
      <c r="AIP210" s="729"/>
      <c r="AIQ210" s="729"/>
      <c r="AIR210" s="729"/>
      <c r="AIS210" s="729"/>
      <c r="AIT210" s="729"/>
      <c r="AIU210" s="729"/>
      <c r="AIV210" s="729"/>
      <c r="AIW210" s="729"/>
      <c r="AIX210" s="729"/>
      <c r="AIY210" s="729"/>
      <c r="AIZ210" s="729"/>
      <c r="AJA210" s="765"/>
      <c r="AJB210" s="766"/>
      <c r="AJC210" s="706"/>
      <c r="AJD210" s="708"/>
      <c r="AJE210" s="715"/>
      <c r="AJF210" s="718"/>
      <c r="AJG210" s="719"/>
      <c r="AJH210" s="747"/>
    </row>
    <row r="211" spans="338:980" ht="48" customHeight="1" thickBot="1">
      <c r="XO211" s="825"/>
      <c r="XP211" s="665" t="s">
        <v>442</v>
      </c>
      <c r="XQ211" s="666"/>
      <c r="XR211" s="156"/>
      <c r="XS211" s="87"/>
      <c r="XT211" s="87"/>
      <c r="XU211" s="87"/>
      <c r="XV211" s="87"/>
      <c r="XW211" s="87"/>
      <c r="XX211" s="87"/>
      <c r="XY211" s="156"/>
      <c r="XZ211" s="85" t="s">
        <v>467</v>
      </c>
      <c r="YA211" s="757" t="s">
        <v>461</v>
      </c>
      <c r="YB211" s="758"/>
      <c r="YC211" s="819" t="s">
        <v>126</v>
      </c>
      <c r="YD211" s="820"/>
      <c r="YE211" s="675" t="s">
        <v>731</v>
      </c>
      <c r="YF211" s="1094"/>
      <c r="YG211" s="769" t="s">
        <v>473</v>
      </c>
      <c r="YH211" s="769"/>
      <c r="YI211" s="769"/>
      <c r="YJ211" s="769"/>
      <c r="YK211" s="769"/>
      <c r="YL211" s="769" t="s">
        <v>462</v>
      </c>
      <c r="YM211" s="769"/>
      <c r="YN211" s="769"/>
      <c r="YO211" s="769"/>
      <c r="YP211" s="769"/>
      <c r="YQ211" s="769"/>
    </row>
    <row r="212" spans="338:980" ht="48" customHeight="1" thickBot="1">
      <c r="LZ212" s="825"/>
      <c r="MA212" s="665" t="s">
        <v>442</v>
      </c>
      <c r="MB212" s="666"/>
      <c r="MC212" s="152"/>
      <c r="MD212" s="87"/>
      <c r="ME212" s="87"/>
      <c r="MF212" s="87"/>
      <c r="MG212" s="87"/>
      <c r="MH212" s="87"/>
      <c r="MI212" s="87"/>
      <c r="MJ212" s="152"/>
      <c r="MK212" s="85" t="s">
        <v>467</v>
      </c>
      <c r="ML212" s="757" t="s">
        <v>461</v>
      </c>
      <c r="MM212" s="899"/>
      <c r="MN212" s="1130" t="s">
        <v>126</v>
      </c>
      <c r="MO212" s="1131"/>
      <c r="MP212" s="675" t="s">
        <v>731</v>
      </c>
      <c r="MQ212" s="676"/>
      <c r="MR212" s="821" t="s">
        <v>473</v>
      </c>
      <c r="MS212" s="822"/>
      <c r="MT212" s="822"/>
      <c r="MU212" s="823"/>
      <c r="XO212" s="826"/>
      <c r="XP212" s="939" t="s">
        <v>1519</v>
      </c>
      <c r="XQ212" s="940"/>
      <c r="XR212" s="940"/>
      <c r="XS212" s="940"/>
      <c r="XT212" s="940"/>
      <c r="XU212" s="940"/>
      <c r="XV212" s="940"/>
      <c r="XW212" s="940"/>
      <c r="XX212" s="940"/>
      <c r="XY212" s="940"/>
      <c r="XZ212" s="940"/>
      <c r="YA212" s="940"/>
      <c r="YB212" s="1003"/>
      <c r="YC212" s="763">
        <f>MN142*YF188</f>
        <v>5.7322912742625375E-2</v>
      </c>
      <c r="YD212" s="764"/>
      <c r="YE212" s="1087"/>
      <c r="YF212" s="1006"/>
      <c r="YG212" s="978"/>
      <c r="YH212" s="1083" t="s">
        <v>1518</v>
      </c>
      <c r="YI212" s="1083"/>
      <c r="YJ212" s="1083"/>
      <c r="YK212" s="1085"/>
      <c r="YL212" s="767"/>
      <c r="YM212" s="767"/>
      <c r="YN212" s="767"/>
      <c r="YO212" s="767"/>
      <c r="YP212" s="767"/>
      <c r="YQ212" s="767"/>
      <c r="AIM212" s="825"/>
      <c r="AIN212" s="665" t="s">
        <v>442</v>
      </c>
      <c r="AIO212" s="666"/>
      <c r="AIP212" s="156"/>
      <c r="AIQ212" s="87"/>
      <c r="AIR212" s="87"/>
      <c r="AIS212" s="87"/>
      <c r="AIT212" s="87"/>
      <c r="AIU212" s="87"/>
      <c r="AIV212" s="87"/>
      <c r="AIW212" s="156"/>
      <c r="AIX212" s="85" t="s">
        <v>467</v>
      </c>
      <c r="AIY212" s="757" t="s">
        <v>461</v>
      </c>
      <c r="AIZ212" s="899"/>
      <c r="AJA212" s="1130" t="s">
        <v>126</v>
      </c>
      <c r="AJB212" s="1131"/>
      <c r="AJC212" s="675" t="s">
        <v>731</v>
      </c>
      <c r="AJD212" s="676"/>
      <c r="AJE212" s="821" t="s">
        <v>473</v>
      </c>
      <c r="AJF212" s="822"/>
      <c r="AJG212" s="822"/>
      <c r="AJH212" s="823"/>
    </row>
    <row r="213" spans="338:980" ht="48" customHeight="1" thickBot="1">
      <c r="LZ213" s="826"/>
      <c r="MA213" s="700" t="s">
        <v>1758</v>
      </c>
      <c r="MB213" s="701"/>
      <c r="MC213" s="701"/>
      <c r="MD213" s="701"/>
      <c r="ME213" s="701"/>
      <c r="MF213" s="701"/>
      <c r="MG213" s="701"/>
      <c r="MH213" s="701"/>
      <c r="MI213" s="701"/>
      <c r="MJ213" s="701"/>
      <c r="MK213" s="701"/>
      <c r="ML213" s="701"/>
      <c r="MM213" s="909"/>
      <c r="MN213" s="1170">
        <v>1</v>
      </c>
      <c r="MO213" s="1171"/>
      <c r="MP213" s="1005"/>
      <c r="MQ213" s="1006"/>
      <c r="MR213" s="714"/>
      <c r="MS213" s="716" t="s">
        <v>1757</v>
      </c>
      <c r="MT213" s="717"/>
      <c r="MU213" s="746"/>
      <c r="XO213" s="827"/>
      <c r="XP213" s="943"/>
      <c r="XQ213" s="944"/>
      <c r="XR213" s="944"/>
      <c r="XS213" s="944"/>
      <c r="XT213" s="944"/>
      <c r="XU213" s="944"/>
      <c r="XV213" s="944"/>
      <c r="XW213" s="944"/>
      <c r="XX213" s="944"/>
      <c r="XY213" s="944"/>
      <c r="XZ213" s="944"/>
      <c r="YA213" s="944"/>
      <c r="YB213" s="1004"/>
      <c r="YC213" s="765"/>
      <c r="YD213" s="766"/>
      <c r="YE213" s="1089"/>
      <c r="YF213" s="708"/>
      <c r="YG213" s="979"/>
      <c r="YH213" s="1084"/>
      <c r="YI213" s="1084"/>
      <c r="YJ213" s="1084"/>
      <c r="YK213" s="1086"/>
      <c r="YL213" s="768"/>
      <c r="YM213" s="768"/>
      <c r="YN213" s="768"/>
      <c r="YO213" s="768"/>
      <c r="YP213" s="768"/>
      <c r="YQ213" s="768"/>
      <c r="ZI213" s="144"/>
      <c r="ZJ213" s="144"/>
      <c r="ZK213" s="144"/>
      <c r="ZL213" s="144"/>
      <c r="ZM213" s="144"/>
      <c r="ZN213" s="144"/>
      <c r="ZO213" s="144"/>
      <c r="AIM213" s="826"/>
      <c r="AIN213" s="727" t="s">
        <v>411</v>
      </c>
      <c r="AIO213" s="727"/>
      <c r="AIP213" s="727"/>
      <c r="AIQ213" s="727"/>
      <c r="AIR213" s="727"/>
      <c r="AIS213" s="727"/>
      <c r="AIT213" s="727"/>
      <c r="AIU213" s="727"/>
      <c r="AIV213" s="727"/>
      <c r="AIW213" s="727"/>
      <c r="AIX213" s="727"/>
      <c r="AIY213" s="727"/>
      <c r="AIZ213" s="727"/>
      <c r="AJA213" s="763">
        <f>0.1</f>
        <v>0.1</v>
      </c>
      <c r="AJB213" s="764"/>
      <c r="AJC213" s="1005"/>
      <c r="AJD213" s="1006"/>
      <c r="AJE213" s="714"/>
      <c r="AJF213" s="716" t="s">
        <v>442</v>
      </c>
      <c r="AJG213" s="717"/>
      <c r="AJH213" s="746"/>
    </row>
    <row r="214" spans="338:980" ht="48" customHeight="1" thickBot="1">
      <c r="LZ214" s="827"/>
      <c r="MA214" s="706"/>
      <c r="MB214" s="707"/>
      <c r="MC214" s="707"/>
      <c r="MD214" s="707"/>
      <c r="ME214" s="707"/>
      <c r="MF214" s="707"/>
      <c r="MG214" s="707"/>
      <c r="MH214" s="707"/>
      <c r="MI214" s="707"/>
      <c r="MJ214" s="707"/>
      <c r="MK214" s="707"/>
      <c r="ML214" s="707"/>
      <c r="MM214" s="1165"/>
      <c r="MN214" s="1172"/>
      <c r="MO214" s="1173"/>
      <c r="MP214" s="706"/>
      <c r="MQ214" s="708"/>
      <c r="MR214" s="715"/>
      <c r="MS214" s="718"/>
      <c r="MT214" s="719"/>
      <c r="MU214" s="747"/>
      <c r="AIM214" s="827"/>
      <c r="AIN214" s="729"/>
      <c r="AIO214" s="729"/>
      <c r="AIP214" s="729"/>
      <c r="AIQ214" s="729"/>
      <c r="AIR214" s="729"/>
      <c r="AIS214" s="729"/>
      <c r="AIT214" s="729"/>
      <c r="AIU214" s="729"/>
      <c r="AIV214" s="729"/>
      <c r="AIW214" s="729"/>
      <c r="AIX214" s="729"/>
      <c r="AIY214" s="729"/>
      <c r="AIZ214" s="729"/>
      <c r="AJA214" s="765"/>
      <c r="AJB214" s="766"/>
      <c r="AJC214" s="706"/>
      <c r="AJD214" s="708"/>
      <c r="AJE214" s="715"/>
      <c r="AJF214" s="718"/>
      <c r="AJG214" s="719"/>
      <c r="AJH214" s="747"/>
    </row>
    <row r="215" spans="338:980" ht="48" customHeight="1">
      <c r="XQ215" s="216"/>
      <c r="XR215" s="665" t="s">
        <v>940</v>
      </c>
      <c r="XS215" s="667"/>
      <c r="XT215" s="216"/>
      <c r="XU215" s="728" t="s">
        <v>153</v>
      </c>
      <c r="XV215" s="1053"/>
      <c r="XW215" s="1053"/>
      <c r="XX215" s="1053"/>
      <c r="XY215" s="1053"/>
      <c r="XZ215" s="1053"/>
      <c r="YA215" s="1053"/>
      <c r="YB215" s="1053"/>
      <c r="YC215" s="1053"/>
      <c r="YD215" s="1053"/>
      <c r="YE215" s="1054"/>
      <c r="YF215" s="216"/>
      <c r="AAE215" s="144"/>
    </row>
    <row r="216" spans="338:980" ht="48" customHeight="1" thickBot="1">
      <c r="LZ216" s="825"/>
      <c r="MA216" s="665" t="s">
        <v>442</v>
      </c>
      <c r="MB216" s="666"/>
      <c r="MC216" s="413"/>
      <c r="MD216" s="87"/>
      <c r="ME216" s="87"/>
      <c r="MF216" s="87"/>
      <c r="MG216" s="87"/>
      <c r="MH216" s="87"/>
      <c r="MI216" s="87"/>
      <c r="MJ216" s="413"/>
      <c r="MK216" s="85" t="s">
        <v>467</v>
      </c>
      <c r="ML216" s="757" t="s">
        <v>461</v>
      </c>
      <c r="MM216" s="899"/>
      <c r="MN216" s="819" t="s">
        <v>126</v>
      </c>
      <c r="MO216" s="820"/>
      <c r="MP216" s="675" t="s">
        <v>731</v>
      </c>
      <c r="MQ216" s="676"/>
      <c r="MR216" s="821" t="s">
        <v>473</v>
      </c>
      <c r="MS216" s="822"/>
      <c r="MT216" s="822"/>
      <c r="MU216" s="822"/>
      <c r="MV216" s="822"/>
      <c r="MW216" s="769" t="s">
        <v>462</v>
      </c>
      <c r="MX216" s="769"/>
      <c r="MY216" s="769"/>
      <c r="MZ216" s="769"/>
      <c r="NA216" s="769"/>
      <c r="NB216" s="769"/>
      <c r="NC216" s="769"/>
      <c r="ND216" s="769"/>
      <c r="NE216" s="769"/>
      <c r="NF216" s="769"/>
      <c r="AAE216" s="144"/>
      <c r="AAF216" s="144"/>
      <c r="AAG216" s="144"/>
      <c r="AAH216" s="144"/>
      <c r="AIM216" s="792" t="s">
        <v>1013</v>
      </c>
      <c r="AIN216" s="793"/>
      <c r="AIO216" s="794"/>
      <c r="AIP216" s="825"/>
      <c r="AIQ216" s="147" t="s">
        <v>442</v>
      </c>
      <c r="AIR216" s="148"/>
      <c r="AIS216" s="156"/>
      <c r="AIT216" s="87"/>
      <c r="AIU216" s="87"/>
      <c r="AIV216" s="87"/>
      <c r="AIW216" s="87"/>
      <c r="AIX216" s="87"/>
      <c r="AIY216" s="87"/>
      <c r="AIZ216" s="156"/>
      <c r="AJA216" s="85" t="s">
        <v>467</v>
      </c>
      <c r="AJB216" s="757" t="s">
        <v>461</v>
      </c>
      <c r="AJC216" s="758"/>
      <c r="AJD216" s="819" t="s">
        <v>126</v>
      </c>
      <c r="AJE216" s="820"/>
      <c r="AJF216" s="675" t="s">
        <v>731</v>
      </c>
      <c r="AJG216" s="676"/>
      <c r="AJH216" s="821" t="s">
        <v>473</v>
      </c>
      <c r="AJI216" s="822"/>
      <c r="AJJ216" s="822"/>
      <c r="AJK216" s="823"/>
    </row>
    <row r="217" spans="338:980" ht="48" customHeight="1" thickBot="1">
      <c r="LZ217" s="826"/>
      <c r="MA217" s="415" t="s">
        <v>1439</v>
      </c>
      <c r="MB217" s="739">
        <f>$MQ$178</f>
        <v>0</v>
      </c>
      <c r="MC217" s="739"/>
      <c r="MD217" s="700" t="s">
        <v>128</v>
      </c>
      <c r="ME217" s="701"/>
      <c r="MF217" s="701"/>
      <c r="MG217" s="701"/>
      <c r="MH217" s="701"/>
      <c r="MI217" s="701"/>
      <c r="MJ217" s="701"/>
      <c r="MK217" s="701"/>
      <c r="ML217" s="701"/>
      <c r="MM217" s="701"/>
      <c r="MN217" s="763">
        <f>1+1/5*((3.14*AW12/GW24)^2)-MQ178/((1-(AW12/GW24))^2)</f>
        <v>1.0005861831153389</v>
      </c>
      <c r="MO217" s="764"/>
      <c r="MP217" s="849" t="s">
        <v>762</v>
      </c>
      <c r="MQ217" s="850"/>
      <c r="MR217" s="714"/>
      <c r="MS217" s="1166" t="s">
        <v>1440</v>
      </c>
      <c r="MT217" s="1167"/>
      <c r="MU217" s="1168"/>
      <c r="MV217" s="1119"/>
      <c r="MW217" s="767"/>
      <c r="MX217" s="767"/>
      <c r="MY217" s="767"/>
      <c r="MZ217" s="767"/>
      <c r="NA217" s="767"/>
      <c r="NB217" s="767"/>
      <c r="NC217" s="767"/>
      <c r="ND217" s="767"/>
      <c r="NE217" s="767"/>
      <c r="NF217" s="767"/>
      <c r="XO217" s="85" t="s">
        <v>839</v>
      </c>
      <c r="XP217" s="665" t="s">
        <v>442</v>
      </c>
      <c r="XQ217" s="666"/>
      <c r="XR217" s="456"/>
      <c r="XS217" s="87"/>
      <c r="XT217" s="87"/>
      <c r="XU217" s="87"/>
      <c r="XV217" s="87"/>
      <c r="XW217" s="87"/>
      <c r="XX217" s="87"/>
      <c r="XY217" s="456"/>
      <c r="XZ217" s="85" t="s">
        <v>467</v>
      </c>
      <c r="YA217" s="757" t="s">
        <v>461</v>
      </c>
      <c r="YB217" s="899"/>
      <c r="YC217" s="819" t="s">
        <v>126</v>
      </c>
      <c r="YD217" s="820"/>
      <c r="YE217" s="675" t="s">
        <v>731</v>
      </c>
      <c r="YF217" s="676"/>
      <c r="YG217" s="769" t="s">
        <v>473</v>
      </c>
      <c r="YH217" s="769"/>
      <c r="YI217" s="769"/>
      <c r="YJ217" s="769"/>
      <c r="YK217" s="769"/>
      <c r="YL217" s="769" t="s">
        <v>462</v>
      </c>
      <c r="YM217" s="769"/>
      <c r="YN217" s="769"/>
      <c r="YO217" s="769"/>
      <c r="YP217" s="769"/>
      <c r="YQ217" s="769"/>
      <c r="YR217" s="769"/>
      <c r="YS217" s="769"/>
      <c r="YT217" s="769"/>
      <c r="YU217" s="769"/>
      <c r="YV217" s="769"/>
      <c r="AIM217" s="795"/>
      <c r="AIN217" s="796"/>
      <c r="AIO217" s="797"/>
      <c r="AIP217" s="826"/>
      <c r="AIQ217" s="727" t="s">
        <v>996</v>
      </c>
      <c r="AIR217" s="727"/>
      <c r="AIS217" s="727"/>
      <c r="AIT217" s="727"/>
      <c r="AIU217" s="727"/>
      <c r="AIV217" s="727"/>
      <c r="AIW217" s="727"/>
      <c r="AIX217" s="727"/>
      <c r="AIY217" s="727"/>
      <c r="AIZ217" s="727"/>
      <c r="AJA217" s="727"/>
      <c r="AJB217" s="727"/>
      <c r="AJC217" s="727"/>
      <c r="AJD217" s="763">
        <v>0.08</v>
      </c>
      <c r="AJE217" s="764"/>
      <c r="AJF217" s="849" t="s">
        <v>762</v>
      </c>
      <c r="AJG217" s="850"/>
      <c r="AJH217" s="712"/>
      <c r="AJI217" s="740" t="s">
        <v>995</v>
      </c>
      <c r="AJJ217" s="742"/>
      <c r="AJK217" s="746"/>
    </row>
    <row r="218" spans="338:980" ht="48" customHeight="1" thickBot="1">
      <c r="LZ218" s="826"/>
      <c r="MA218" s="414" t="s">
        <v>474</v>
      </c>
      <c r="MB218" s="677">
        <f>$AW$12</f>
        <v>1</v>
      </c>
      <c r="MC218" s="677"/>
      <c r="MD218" s="703"/>
      <c r="ME218" s="704"/>
      <c r="MF218" s="704"/>
      <c r="MG218" s="704"/>
      <c r="MH218" s="704"/>
      <c r="MI218" s="704"/>
      <c r="MJ218" s="704"/>
      <c r="MK218" s="704"/>
      <c r="ML218" s="704"/>
      <c r="MM218" s="704"/>
      <c r="MN218" s="765"/>
      <c r="MO218" s="766"/>
      <c r="MP218" s="851"/>
      <c r="MQ218" s="852"/>
      <c r="MR218" s="715"/>
      <c r="MS218" s="743"/>
      <c r="MT218" s="744"/>
      <c r="MU218" s="745"/>
      <c r="MV218" s="1120"/>
      <c r="MW218" s="767"/>
      <c r="MX218" s="767"/>
      <c r="MY218" s="767"/>
      <c r="MZ218" s="767"/>
      <c r="NA218" s="767"/>
      <c r="NB218" s="767"/>
      <c r="NC218" s="767"/>
      <c r="ND218" s="767"/>
      <c r="NE218" s="767"/>
      <c r="NF218" s="767"/>
      <c r="XO218" s="825"/>
      <c r="XP218" s="700" t="s">
        <v>153</v>
      </c>
      <c r="XQ218" s="701"/>
      <c r="XR218" s="701"/>
      <c r="XS218" s="701"/>
      <c r="XT218" s="701"/>
      <c r="XU218" s="701"/>
      <c r="XV218" s="701"/>
      <c r="XW218" s="701"/>
      <c r="XX218" s="701"/>
      <c r="XY218" s="701"/>
      <c r="XZ218" s="701"/>
      <c r="YA218" s="701"/>
      <c r="YB218" s="702"/>
      <c r="YC218" s="763">
        <f>MN98*(YC198+YC212+MO137)/(MQ164+MN142+MO137)</f>
        <v>0.33095342063584782</v>
      </c>
      <c r="YD218" s="764"/>
      <c r="YE218" s="1005"/>
      <c r="YF218" s="1006"/>
      <c r="YG218" s="1309"/>
      <c r="YH218" s="1109" t="s">
        <v>1652</v>
      </c>
      <c r="YI218" s="1109"/>
      <c r="YJ218" s="1109"/>
      <c r="YK218" s="1085"/>
      <c r="YL218" s="767"/>
      <c r="YM218" s="767"/>
      <c r="YN218" s="767"/>
      <c r="YO218" s="767"/>
      <c r="YP218" s="767"/>
      <c r="YQ218" s="767"/>
      <c r="YR218" s="767"/>
      <c r="YS218" s="767"/>
      <c r="YT218" s="767"/>
      <c r="YU218" s="767"/>
      <c r="YV218" s="767"/>
      <c r="AIM218" s="798"/>
      <c r="AIN218" s="799"/>
      <c r="AIO218" s="800"/>
      <c r="AIP218" s="1304"/>
      <c r="AIQ218" s="729"/>
      <c r="AIR218" s="729"/>
      <c r="AIS218" s="729"/>
      <c r="AIT218" s="729"/>
      <c r="AIU218" s="729"/>
      <c r="AIV218" s="729"/>
      <c r="AIW218" s="729"/>
      <c r="AIX218" s="729"/>
      <c r="AIY218" s="729"/>
      <c r="AIZ218" s="729"/>
      <c r="AJA218" s="729"/>
      <c r="AJB218" s="729"/>
      <c r="AJC218" s="729"/>
      <c r="AJD218" s="765"/>
      <c r="AJE218" s="766"/>
      <c r="AJF218" s="851"/>
      <c r="AJG218" s="852"/>
      <c r="AJH218" s="713"/>
      <c r="AJI218" s="743"/>
      <c r="AJJ218" s="745"/>
      <c r="AJK218" s="747"/>
    </row>
    <row r="219" spans="338:980" ht="48" customHeight="1" thickBot="1">
      <c r="LZ219" s="827"/>
      <c r="MA219" s="412" t="s">
        <v>1180</v>
      </c>
      <c r="MB219" s="883">
        <f>$GW$24</f>
        <v>58</v>
      </c>
      <c r="MC219" s="883"/>
      <c r="MD219" s="706"/>
      <c r="ME219" s="707"/>
      <c r="MF219" s="707"/>
      <c r="MG219" s="707"/>
      <c r="MH219" s="707"/>
      <c r="MI219" s="707"/>
      <c r="MJ219" s="707"/>
      <c r="MK219" s="707"/>
      <c r="ML219" s="707"/>
      <c r="MM219" s="707"/>
      <c r="MN219" s="221"/>
      <c r="MO219" s="222"/>
      <c r="MP219" s="222"/>
      <c r="MQ219" s="222"/>
      <c r="MR219" s="222"/>
      <c r="MS219" s="222"/>
      <c r="MT219" s="222"/>
      <c r="MU219" s="222"/>
      <c r="MV219" s="222"/>
      <c r="MW219" s="768"/>
      <c r="MX219" s="768"/>
      <c r="MY219" s="768"/>
      <c r="MZ219" s="768"/>
      <c r="NA219" s="768"/>
      <c r="NB219" s="768"/>
      <c r="NC219" s="768"/>
      <c r="ND219" s="768"/>
      <c r="NE219" s="768"/>
      <c r="NF219" s="768"/>
      <c r="XO219" s="826"/>
      <c r="XP219" s="703"/>
      <c r="XQ219" s="704"/>
      <c r="XR219" s="704"/>
      <c r="XS219" s="704"/>
      <c r="XT219" s="704"/>
      <c r="XU219" s="704"/>
      <c r="XV219" s="704"/>
      <c r="XW219" s="704"/>
      <c r="XX219" s="704"/>
      <c r="XY219" s="704"/>
      <c r="XZ219" s="704"/>
      <c r="YA219" s="704"/>
      <c r="YB219" s="705"/>
      <c r="YC219" s="765"/>
      <c r="YD219" s="766"/>
      <c r="YE219" s="706"/>
      <c r="YF219" s="708"/>
      <c r="YG219" s="1310"/>
      <c r="YH219" s="1110"/>
      <c r="YI219" s="1110"/>
      <c r="YJ219" s="1110"/>
      <c r="YK219" s="1086"/>
      <c r="YL219" s="767"/>
      <c r="YM219" s="767"/>
      <c r="YN219" s="767"/>
      <c r="YO219" s="767"/>
      <c r="YP219" s="767"/>
      <c r="YQ219" s="767"/>
      <c r="YR219" s="767"/>
      <c r="YS219" s="767"/>
      <c r="YT219" s="767"/>
      <c r="YU219" s="767"/>
      <c r="YV219" s="767"/>
      <c r="YY219" s="144"/>
      <c r="YZ219" s="144"/>
      <c r="ZA219" s="144"/>
      <c r="ZB219" s="144"/>
    </row>
    <row r="220" spans="338:980" ht="48" customHeight="1" thickBot="1">
      <c r="XO220" s="827"/>
      <c r="XP220" s="706"/>
      <c r="XQ220" s="707"/>
      <c r="XR220" s="707"/>
      <c r="XS220" s="707"/>
      <c r="XT220" s="707"/>
      <c r="XU220" s="707"/>
      <c r="XV220" s="707"/>
      <c r="XW220" s="707"/>
      <c r="XX220" s="707"/>
      <c r="XY220" s="707"/>
      <c r="XZ220" s="707"/>
      <c r="YA220" s="707"/>
      <c r="YB220" s="708"/>
      <c r="YC220" s="221"/>
      <c r="YD220" s="222"/>
      <c r="YE220" s="222"/>
      <c r="YF220" s="222"/>
      <c r="YG220" s="222"/>
      <c r="YH220" s="222"/>
      <c r="YI220" s="222"/>
      <c r="YJ220" s="222"/>
      <c r="YK220" s="417"/>
      <c r="YL220" s="768"/>
      <c r="YM220" s="768"/>
      <c r="YN220" s="768"/>
      <c r="YO220" s="768"/>
      <c r="YP220" s="768"/>
      <c r="YQ220" s="768"/>
      <c r="YR220" s="768"/>
      <c r="YS220" s="768"/>
      <c r="YT220" s="768"/>
      <c r="YU220" s="768"/>
      <c r="YV220" s="768"/>
      <c r="ZB220" s="144"/>
      <c r="ZE220" s="144"/>
      <c r="AIM220" s="825"/>
      <c r="AIN220" s="665" t="s">
        <v>442</v>
      </c>
      <c r="AIO220" s="666"/>
      <c r="AIP220" s="156"/>
      <c r="AIQ220" s="87"/>
      <c r="AIR220" s="87"/>
      <c r="AIS220" s="87"/>
      <c r="AIT220" s="87"/>
      <c r="AIU220" s="87"/>
      <c r="AIV220" s="87"/>
      <c r="AIW220" s="156"/>
      <c r="AIX220" s="85" t="s">
        <v>467</v>
      </c>
      <c r="AIY220" s="757" t="s">
        <v>461</v>
      </c>
      <c r="AIZ220" s="758"/>
      <c r="AJA220" s="819" t="s">
        <v>126</v>
      </c>
      <c r="AJB220" s="820"/>
      <c r="AJC220" s="675" t="s">
        <v>731</v>
      </c>
      <c r="AJD220" s="676"/>
      <c r="AJE220" s="821" t="s">
        <v>473</v>
      </c>
      <c r="AJF220" s="822"/>
      <c r="AJG220" s="822"/>
      <c r="AJH220" s="823"/>
      <c r="AJW220" s="214" t="s">
        <v>899</v>
      </c>
      <c r="AJX220" s="147" t="s">
        <v>442</v>
      </c>
      <c r="AJY220" s="148"/>
      <c r="AJZ220" s="156"/>
      <c r="AKA220" s="87"/>
      <c r="AKB220" s="87"/>
      <c r="AKC220" s="87"/>
      <c r="AKD220" s="87"/>
      <c r="AKE220" s="87"/>
      <c r="AKF220" s="87"/>
      <c r="AKG220" s="156"/>
      <c r="AKH220" s="85" t="s">
        <v>467</v>
      </c>
      <c r="AKI220" s="757" t="s">
        <v>461</v>
      </c>
      <c r="AKJ220" s="758"/>
      <c r="AKK220" s="819" t="s">
        <v>126</v>
      </c>
      <c r="AKL220" s="820"/>
      <c r="AKM220" s="675" t="s">
        <v>731</v>
      </c>
      <c r="AKN220" s="676"/>
      <c r="AKO220" s="821" t="s">
        <v>473</v>
      </c>
      <c r="AKP220" s="822"/>
      <c r="AKQ220" s="822"/>
      <c r="AKR220" s="823"/>
    </row>
    <row r="221" spans="338:980" ht="48" customHeight="1" thickBot="1">
      <c r="LZ221" s="825"/>
      <c r="MA221" s="665" t="s">
        <v>442</v>
      </c>
      <c r="MB221" s="666"/>
      <c r="MC221" s="370"/>
      <c r="MD221" s="863" t="s">
        <v>1345</v>
      </c>
      <c r="ME221" s="863"/>
      <c r="MF221" s="756">
        <f>$GT$139</f>
        <v>153.27250000000001</v>
      </c>
      <c r="MG221" s="756"/>
      <c r="MH221" s="87"/>
      <c r="MI221" s="87"/>
      <c r="MJ221" s="370"/>
      <c r="MK221" s="85" t="s">
        <v>467</v>
      </c>
      <c r="ML221" s="757" t="s">
        <v>461</v>
      </c>
      <c r="MM221" s="758"/>
      <c r="MN221" s="1130" t="s">
        <v>126</v>
      </c>
      <c r="MO221" s="1131"/>
      <c r="MP221" s="675" t="s">
        <v>731</v>
      </c>
      <c r="MQ221" s="676"/>
      <c r="MR221" s="821" t="s">
        <v>473</v>
      </c>
      <c r="MS221" s="822"/>
      <c r="MT221" s="822"/>
      <c r="MU221" s="823"/>
      <c r="MV221" s="769" t="s">
        <v>462</v>
      </c>
      <c r="MW221" s="769"/>
      <c r="MX221" s="769"/>
      <c r="MY221" s="769"/>
      <c r="MZ221" s="769"/>
      <c r="NA221" s="769"/>
      <c r="NB221" s="769"/>
      <c r="NC221" s="769"/>
      <c r="ND221" s="769"/>
      <c r="ZB221" s="144"/>
      <c r="AIM221" s="826"/>
      <c r="AIN221" s="1301" t="s">
        <v>406</v>
      </c>
      <c r="AIO221" s="1301"/>
      <c r="AIP221" s="1301"/>
      <c r="AIQ221" s="1301"/>
      <c r="AIR221" s="1301"/>
      <c r="AIS221" s="1301"/>
      <c r="AIT221" s="1301"/>
      <c r="AIU221" s="1301"/>
      <c r="AIV221" s="1301"/>
      <c r="AIW221" s="1301"/>
      <c r="AIX221" s="1301"/>
      <c r="AIY221" s="1301"/>
      <c r="AIZ221" s="1301"/>
      <c r="AJA221" s="1285">
        <f>CO114</f>
        <v>1.18</v>
      </c>
      <c r="AJB221" s="1286"/>
      <c r="AJC221" s="1315" t="s">
        <v>1061</v>
      </c>
      <c r="AJD221" s="1316"/>
      <c r="AJE221" s="712"/>
      <c r="AJF221" s="716" t="s">
        <v>442</v>
      </c>
      <c r="AJG221" s="717"/>
      <c r="AJH221" s="746"/>
      <c r="AJW221" s="825"/>
      <c r="AJX221" s="1307"/>
      <c r="AJY221" s="1307"/>
      <c r="AJZ221" s="1307"/>
      <c r="AKA221" s="1307"/>
      <c r="AKB221" s="1307"/>
      <c r="AKC221" s="1307"/>
      <c r="AKD221" s="1307"/>
      <c r="AKE221" s="1307"/>
      <c r="AKF221" s="1307"/>
      <c r="AKG221" s="1307"/>
      <c r="AKH221" s="1307"/>
      <c r="AKI221" s="1307"/>
      <c r="AKJ221" s="1307"/>
      <c r="AKK221" s="1285"/>
      <c r="AKL221" s="1286"/>
      <c r="AKM221" s="1005"/>
      <c r="AKN221" s="1006"/>
      <c r="AKO221" s="712"/>
      <c r="AKP221" s="716" t="s">
        <v>442</v>
      </c>
      <c r="AKQ221" s="717"/>
      <c r="AKR221" s="746"/>
    </row>
    <row r="222" spans="338:980" ht="48" customHeight="1" thickBot="1">
      <c r="LZ222" s="826"/>
      <c r="MA222" s="426" t="s">
        <v>65</v>
      </c>
      <c r="MB222" s="756">
        <f>$GT$123</f>
        <v>0.10822297858429225</v>
      </c>
      <c r="MC222" s="756"/>
      <c r="MD222" s="863" t="s">
        <v>1474</v>
      </c>
      <c r="ME222" s="863"/>
      <c r="MF222" s="739">
        <f>$GT$131</f>
        <v>13.3125</v>
      </c>
      <c r="MG222" s="948"/>
      <c r="MH222" s="939" t="s">
        <v>1544</v>
      </c>
      <c r="MI222" s="940"/>
      <c r="MJ222" s="940"/>
      <c r="MK222" s="940"/>
      <c r="ML222" s="940"/>
      <c r="MM222" s="1003"/>
      <c r="MN222" s="1193">
        <f>((2.3*MF221/1000)/(MB224*MB223*(MB222^2)))*LOG((4.7*(MF221/1000))/(2*(MF223/1000)+MF222/1000),10)</f>
        <v>3.9395141989168017</v>
      </c>
      <c r="MO222" s="1194"/>
      <c r="MP222" s="849" t="s">
        <v>762</v>
      </c>
      <c r="MQ222" s="850"/>
      <c r="MR222" s="714"/>
      <c r="MS222" s="740" t="s">
        <v>1398</v>
      </c>
      <c r="MT222" s="742"/>
      <c r="MU222" s="746"/>
      <c r="MV222" s="767"/>
      <c r="MW222" s="767"/>
      <c r="MX222" s="767"/>
      <c r="MY222" s="767"/>
      <c r="MZ222" s="767"/>
      <c r="NA222" s="767"/>
      <c r="NB222" s="767"/>
      <c r="NC222" s="767"/>
      <c r="ND222" s="767"/>
      <c r="XO222" s="825"/>
      <c r="XP222" s="665" t="s">
        <v>442</v>
      </c>
      <c r="XQ222" s="666"/>
      <c r="XR222" s="156"/>
      <c r="XS222" s="87"/>
      <c r="XT222" s="87"/>
      <c r="XU222" s="87"/>
      <c r="XV222" s="87"/>
      <c r="XW222" s="87"/>
      <c r="XX222" s="87"/>
      <c r="XY222" s="156"/>
      <c r="XZ222" s="85" t="s">
        <v>467</v>
      </c>
      <c r="YA222" s="757" t="s">
        <v>461</v>
      </c>
      <c r="YB222" s="758"/>
      <c r="YC222" s="819" t="s">
        <v>126</v>
      </c>
      <c r="YD222" s="820"/>
      <c r="YE222" s="675" t="s">
        <v>731</v>
      </c>
      <c r="YF222" s="676"/>
      <c r="YG222" s="821" t="s">
        <v>473</v>
      </c>
      <c r="YH222" s="822"/>
      <c r="YI222" s="822"/>
      <c r="YJ222" s="823"/>
      <c r="YK222" s="769" t="s">
        <v>462</v>
      </c>
      <c r="YL222" s="769"/>
      <c r="YM222" s="769"/>
      <c r="YN222" s="769"/>
      <c r="YO222" s="769"/>
      <c r="YP222" s="769"/>
      <c r="YQ222" s="769"/>
      <c r="YR222" s="769"/>
      <c r="ZB222" s="144"/>
      <c r="ZE222" s="229"/>
      <c r="AIM222" s="827"/>
      <c r="AIN222" s="1302"/>
      <c r="AIO222" s="1302"/>
      <c r="AIP222" s="1302"/>
      <c r="AIQ222" s="1302"/>
      <c r="AIR222" s="1302"/>
      <c r="AIS222" s="1302"/>
      <c r="AIT222" s="1302"/>
      <c r="AIU222" s="1302"/>
      <c r="AIV222" s="1302"/>
      <c r="AIW222" s="1302"/>
      <c r="AIX222" s="1302"/>
      <c r="AIY222" s="1302"/>
      <c r="AIZ222" s="1302"/>
      <c r="AJA222" s="1287"/>
      <c r="AJB222" s="1288"/>
      <c r="AJC222" s="1317"/>
      <c r="AJD222" s="1318"/>
      <c r="AJE222" s="713"/>
      <c r="AJF222" s="718"/>
      <c r="AJG222" s="719"/>
      <c r="AJH222" s="747"/>
      <c r="AJW222" s="827"/>
      <c r="AJX222" s="1308"/>
      <c r="AJY222" s="1308"/>
      <c r="AJZ222" s="1308"/>
      <c r="AKA222" s="1308"/>
      <c r="AKB222" s="1308"/>
      <c r="AKC222" s="1308"/>
      <c r="AKD222" s="1308"/>
      <c r="AKE222" s="1308"/>
      <c r="AKF222" s="1308"/>
      <c r="AKG222" s="1308"/>
      <c r="AKH222" s="1308"/>
      <c r="AKI222" s="1308"/>
      <c r="AKJ222" s="1308"/>
      <c r="AKK222" s="1287"/>
      <c r="AKL222" s="1288"/>
      <c r="AKM222" s="706"/>
      <c r="AKN222" s="708"/>
      <c r="AKO222" s="713"/>
      <c r="AKP222" s="718"/>
      <c r="AKQ222" s="719"/>
      <c r="AKR222" s="747"/>
    </row>
    <row r="223" spans="338:980" ht="48" customHeight="1" thickBot="1">
      <c r="LZ223" s="826"/>
      <c r="MA223" s="421" t="s">
        <v>1128</v>
      </c>
      <c r="MB223" s="677">
        <f>$AZ$86</f>
        <v>0.13</v>
      </c>
      <c r="MC223" s="677"/>
      <c r="MD223" s="863" t="s">
        <v>1473</v>
      </c>
      <c r="ME223" s="863"/>
      <c r="MF223" s="739">
        <f>$GT$135</f>
        <v>30.468191452731762</v>
      </c>
      <c r="MG223" s="948"/>
      <c r="MH223" s="941"/>
      <c r="MI223" s="942"/>
      <c r="MJ223" s="942"/>
      <c r="MK223" s="942"/>
      <c r="ML223" s="942"/>
      <c r="MM223" s="1011"/>
      <c r="MN223" s="1195"/>
      <c r="MO223" s="1196"/>
      <c r="MP223" s="851"/>
      <c r="MQ223" s="852"/>
      <c r="MR223" s="715"/>
      <c r="MS223" s="743"/>
      <c r="MT223" s="745"/>
      <c r="MU223" s="747"/>
      <c r="MV223" s="767"/>
      <c r="MW223" s="767"/>
      <c r="MX223" s="767"/>
      <c r="MY223" s="767"/>
      <c r="MZ223" s="767"/>
      <c r="NA223" s="767"/>
      <c r="NB223" s="767"/>
      <c r="NC223" s="767"/>
      <c r="ND223" s="767"/>
      <c r="XO223" s="826"/>
      <c r="XP223" s="816" t="s">
        <v>1540</v>
      </c>
      <c r="XQ223" s="816"/>
      <c r="XR223" s="816"/>
      <c r="XS223" s="816"/>
      <c r="XT223" s="816"/>
      <c r="XU223" s="816"/>
      <c r="XV223" s="816"/>
      <c r="XW223" s="816"/>
      <c r="XX223" s="816"/>
      <c r="XY223" s="816"/>
      <c r="XZ223" s="816"/>
      <c r="YA223" s="816"/>
      <c r="YB223" s="816"/>
      <c r="YC223" s="763">
        <f>(CL40*1000-ER45)*(1-YF188)</f>
        <v>6.727281666666669</v>
      </c>
      <c r="YD223" s="764"/>
      <c r="YE223" s="1005"/>
      <c r="YF223" s="1006"/>
      <c r="YG223" s="712"/>
      <c r="YH223" s="716" t="s">
        <v>1629</v>
      </c>
      <c r="YI223" s="717"/>
      <c r="YJ223" s="746"/>
      <c r="YK223" s="767"/>
      <c r="YL223" s="767"/>
      <c r="YM223" s="767"/>
      <c r="YN223" s="767"/>
      <c r="YO223" s="767"/>
      <c r="YP223" s="767"/>
      <c r="YQ223" s="767"/>
      <c r="YR223" s="767"/>
      <c r="ZB223" s="144"/>
      <c r="ZF223" s="144"/>
      <c r="ZG223" s="144"/>
      <c r="ZH223" s="144"/>
      <c r="ZI223" s="144"/>
      <c r="ZJ223" s="144"/>
      <c r="ZK223" s="144"/>
      <c r="ZL223" s="144"/>
      <c r="ZM223" s="144"/>
      <c r="ZN223" s="144"/>
      <c r="ZO223" s="144"/>
    </row>
    <row r="224" spans="338:980" ht="48" customHeight="1" thickBot="1">
      <c r="LZ224" s="827"/>
      <c r="MA224" s="258" t="s">
        <v>1180</v>
      </c>
      <c r="MB224" s="1464">
        <f>$GW$24</f>
        <v>58</v>
      </c>
      <c r="MC224" s="1464"/>
      <c r="MD224" s="930"/>
      <c r="ME224" s="931"/>
      <c r="MF224" s="931"/>
      <c r="MG224" s="951"/>
      <c r="MH224" s="943"/>
      <c r="MI224" s="944"/>
      <c r="MJ224" s="944"/>
      <c r="MK224" s="944"/>
      <c r="ML224" s="944"/>
      <c r="MM224" s="1004"/>
      <c r="MN224" s="1012"/>
      <c r="MO224" s="1013"/>
      <c r="MP224" s="1013"/>
      <c r="MQ224" s="1013"/>
      <c r="MR224" s="1013"/>
      <c r="MS224" s="1013"/>
      <c r="MT224" s="1013"/>
      <c r="MU224" s="1014"/>
      <c r="MV224" s="768"/>
      <c r="MW224" s="768"/>
      <c r="MX224" s="768"/>
      <c r="MY224" s="768"/>
      <c r="MZ224" s="768"/>
      <c r="NA224" s="768"/>
      <c r="NB224" s="768"/>
      <c r="NC224" s="768"/>
      <c r="ND224" s="768"/>
      <c r="XO224" s="827"/>
      <c r="XP224" s="818"/>
      <c r="XQ224" s="818"/>
      <c r="XR224" s="818"/>
      <c r="XS224" s="818"/>
      <c r="XT224" s="818"/>
      <c r="XU224" s="818"/>
      <c r="XV224" s="818"/>
      <c r="XW224" s="818"/>
      <c r="XX224" s="818"/>
      <c r="XY224" s="818"/>
      <c r="XZ224" s="818"/>
      <c r="YA224" s="818"/>
      <c r="YB224" s="818"/>
      <c r="YC224" s="765"/>
      <c r="YD224" s="766"/>
      <c r="YE224" s="706"/>
      <c r="YF224" s="708"/>
      <c r="YG224" s="713"/>
      <c r="YH224" s="718"/>
      <c r="YI224" s="719"/>
      <c r="YJ224" s="747"/>
      <c r="YK224" s="768"/>
      <c r="YL224" s="768"/>
      <c r="YM224" s="768"/>
      <c r="YN224" s="768"/>
      <c r="YO224" s="768"/>
      <c r="YP224" s="768"/>
      <c r="YQ224" s="768"/>
      <c r="YR224" s="768"/>
      <c r="YY224" s="144"/>
      <c r="YZ224" s="144"/>
      <c r="ZA224" s="144"/>
      <c r="ZB224" s="144"/>
      <c r="ZF224" s="144"/>
      <c r="ZG224" s="144"/>
      <c r="ZH224" s="144"/>
      <c r="ZI224" s="144"/>
      <c r="ZJ224" s="144"/>
      <c r="ZK224" s="144"/>
      <c r="ZL224" s="144"/>
      <c r="ZM224" s="144"/>
      <c r="ZN224" s="144"/>
      <c r="ZO224" s="144"/>
      <c r="AIM224" s="825"/>
      <c r="AIN224" s="665" t="s">
        <v>442</v>
      </c>
      <c r="AIO224" s="666"/>
      <c r="AIP224" s="156"/>
      <c r="AIQ224" s="87"/>
      <c r="AIR224" s="87"/>
      <c r="AIS224" s="87"/>
      <c r="AIT224" s="87"/>
      <c r="AIU224" s="87"/>
      <c r="AIV224" s="87"/>
      <c r="AIW224" s="156"/>
      <c r="AIX224" s="85" t="s">
        <v>467</v>
      </c>
      <c r="AIY224" s="757" t="s">
        <v>461</v>
      </c>
      <c r="AIZ224" s="758"/>
      <c r="AJA224" s="819" t="s">
        <v>126</v>
      </c>
      <c r="AJB224" s="820"/>
      <c r="AJC224" s="675" t="s">
        <v>731</v>
      </c>
      <c r="AJD224" s="676"/>
      <c r="AJE224" s="821" t="s">
        <v>473</v>
      </c>
      <c r="AJF224" s="822"/>
      <c r="AJG224" s="822"/>
      <c r="AJH224" s="823"/>
      <c r="AJW224" s="214" t="s">
        <v>899</v>
      </c>
      <c r="AJX224" s="147" t="s">
        <v>442</v>
      </c>
      <c r="AJY224" s="148"/>
      <c r="AJZ224" s="156"/>
      <c r="AKA224" s="87"/>
      <c r="AKB224" s="87"/>
      <c r="AKC224" s="87"/>
      <c r="AKD224" s="87"/>
      <c r="AKE224" s="87"/>
      <c r="AKF224" s="87"/>
      <c r="AKG224" s="156"/>
      <c r="AKH224" s="85" t="s">
        <v>467</v>
      </c>
      <c r="AKI224" s="757" t="s">
        <v>461</v>
      </c>
      <c r="AKJ224" s="899"/>
      <c r="AKK224" s="1130" t="s">
        <v>126</v>
      </c>
      <c r="AKL224" s="1131"/>
      <c r="AKM224" s="675" t="s">
        <v>731</v>
      </c>
      <c r="AKN224" s="676"/>
      <c r="AKO224" s="821" t="s">
        <v>473</v>
      </c>
      <c r="AKP224" s="822"/>
      <c r="AKQ224" s="822"/>
      <c r="AKR224" s="823"/>
    </row>
    <row r="225" spans="8:1176" ht="48" customHeight="1">
      <c r="NG225" s="229"/>
      <c r="NH225" s="229"/>
      <c r="ZF225" s="144"/>
      <c r="ZG225" s="144"/>
      <c r="ZH225" s="144"/>
      <c r="ZI225" s="144"/>
      <c r="ZJ225" s="144"/>
      <c r="ZK225" s="144"/>
      <c r="ZL225" s="144"/>
      <c r="ZM225" s="144"/>
      <c r="ZN225" s="144"/>
      <c r="ZO225" s="144"/>
      <c r="AIM225" s="826"/>
      <c r="AIN225" s="1301" t="s">
        <v>407</v>
      </c>
      <c r="AIO225" s="1301"/>
      <c r="AIP225" s="1301"/>
      <c r="AIQ225" s="1301"/>
      <c r="AIR225" s="1301"/>
      <c r="AIS225" s="1301"/>
      <c r="AIT225" s="1301"/>
      <c r="AIU225" s="1301"/>
      <c r="AIV225" s="1301"/>
      <c r="AIW225" s="1301"/>
      <c r="AIX225" s="1301"/>
      <c r="AIY225" s="1301"/>
      <c r="AIZ225" s="1301"/>
      <c r="AJA225" s="1285">
        <f>CO118</f>
        <v>1.26</v>
      </c>
      <c r="AJB225" s="1286"/>
      <c r="AJC225" s="1315" t="s">
        <v>1060</v>
      </c>
      <c r="AJD225" s="1316"/>
      <c r="AJE225" s="712"/>
      <c r="AJF225" s="716" t="s">
        <v>442</v>
      </c>
      <c r="AJG225" s="717"/>
      <c r="AJH225" s="746"/>
      <c r="AJW225" s="825"/>
      <c r="AJX225" s="939" t="s">
        <v>964</v>
      </c>
      <c r="AJY225" s="940"/>
      <c r="AJZ225" s="940"/>
      <c r="AKA225" s="940"/>
      <c r="AKB225" s="940"/>
      <c r="AKC225" s="940"/>
      <c r="AKD225" s="940"/>
      <c r="AKE225" s="940"/>
      <c r="AKF225" s="940"/>
      <c r="AKG225" s="940"/>
      <c r="AKH225" s="940"/>
      <c r="AKI225" s="940"/>
      <c r="AKJ225" s="1003"/>
      <c r="AKK225" s="763"/>
      <c r="AKL225" s="764"/>
      <c r="AKM225" s="1005"/>
      <c r="AKN225" s="1006"/>
      <c r="AKO225" s="714"/>
      <c r="AKP225" s="716" t="s">
        <v>442</v>
      </c>
      <c r="AKQ225" s="717"/>
      <c r="AKR225" s="746"/>
    </row>
    <row r="226" spans="8:1176" ht="48" customHeight="1" thickBot="1">
      <c r="MB226" s="213"/>
      <c r="MC226" s="665" t="s">
        <v>914</v>
      </c>
      <c r="MD226" s="666"/>
      <c r="ME226" s="213"/>
      <c r="MF226" s="685" t="s">
        <v>129</v>
      </c>
      <c r="MG226" s="686"/>
      <c r="MH226" s="686"/>
      <c r="MI226" s="686"/>
      <c r="MJ226" s="686"/>
      <c r="MK226" s="686"/>
      <c r="ML226" s="686"/>
      <c r="MM226" s="686"/>
      <c r="MN226" s="686"/>
      <c r="MO226" s="686"/>
      <c r="MP226" s="687"/>
      <c r="MQ226" s="213"/>
      <c r="XO226" s="825"/>
      <c r="XP226" s="665" t="s">
        <v>442</v>
      </c>
      <c r="XQ226" s="666"/>
      <c r="XR226" s="156"/>
      <c r="XS226" s="87"/>
      <c r="XT226" s="87"/>
      <c r="XU226" s="87"/>
      <c r="XV226" s="87"/>
      <c r="XW226" s="87"/>
      <c r="XX226" s="87"/>
      <c r="XY226" s="156"/>
      <c r="XZ226" s="85" t="s">
        <v>467</v>
      </c>
      <c r="YA226" s="757" t="s">
        <v>461</v>
      </c>
      <c r="YB226" s="758"/>
      <c r="YC226" s="819" t="s">
        <v>126</v>
      </c>
      <c r="YD226" s="820"/>
      <c r="YE226" s="675" t="s">
        <v>731</v>
      </c>
      <c r="YF226" s="676"/>
      <c r="YG226" s="821" t="s">
        <v>473</v>
      </c>
      <c r="YH226" s="822"/>
      <c r="YI226" s="822"/>
      <c r="YJ226" s="823"/>
      <c r="YK226" s="769" t="s">
        <v>462</v>
      </c>
      <c r="YL226" s="769"/>
      <c r="YM226" s="769"/>
      <c r="YN226" s="769"/>
      <c r="YO226" s="769"/>
      <c r="YP226" s="769"/>
      <c r="YQ226" s="769"/>
      <c r="YR226" s="769"/>
      <c r="ZF226" s="144"/>
      <c r="ZG226" s="144"/>
      <c r="ZH226" s="144"/>
      <c r="ZI226" s="144"/>
      <c r="ZJ226" s="144"/>
      <c r="ZK226" s="144"/>
      <c r="ZL226" s="144"/>
      <c r="ZM226" s="144"/>
      <c r="ZN226" s="144"/>
      <c r="ZO226" s="144"/>
      <c r="AIM226" s="827"/>
      <c r="AIN226" s="1302"/>
      <c r="AIO226" s="1302"/>
      <c r="AIP226" s="1302"/>
      <c r="AIQ226" s="1302"/>
      <c r="AIR226" s="1302"/>
      <c r="AIS226" s="1302"/>
      <c r="AIT226" s="1302"/>
      <c r="AIU226" s="1302"/>
      <c r="AIV226" s="1302"/>
      <c r="AIW226" s="1302"/>
      <c r="AIX226" s="1302"/>
      <c r="AIY226" s="1302"/>
      <c r="AIZ226" s="1302"/>
      <c r="AJA226" s="1287"/>
      <c r="AJB226" s="1288"/>
      <c r="AJC226" s="1317"/>
      <c r="AJD226" s="1318"/>
      <c r="AJE226" s="713"/>
      <c r="AJF226" s="718"/>
      <c r="AJG226" s="719"/>
      <c r="AJH226" s="747"/>
      <c r="AJW226" s="827"/>
      <c r="AJX226" s="943"/>
      <c r="AJY226" s="944"/>
      <c r="AJZ226" s="944"/>
      <c r="AKA226" s="944"/>
      <c r="AKB226" s="944"/>
      <c r="AKC226" s="944"/>
      <c r="AKD226" s="944"/>
      <c r="AKE226" s="944"/>
      <c r="AKF226" s="944"/>
      <c r="AKG226" s="944"/>
      <c r="AKH226" s="944"/>
      <c r="AKI226" s="944"/>
      <c r="AKJ226" s="1004"/>
      <c r="AKK226" s="765"/>
      <c r="AKL226" s="766"/>
      <c r="AKM226" s="706"/>
      <c r="AKN226" s="708"/>
      <c r="AKO226" s="715"/>
      <c r="AKP226" s="718"/>
      <c r="AKQ226" s="719"/>
      <c r="AKR226" s="747"/>
    </row>
    <row r="227" spans="8:1176" ht="48" customHeight="1">
      <c r="XO227" s="826"/>
      <c r="XP227" s="816" t="s">
        <v>1541</v>
      </c>
      <c r="XQ227" s="816"/>
      <c r="XR227" s="816"/>
      <c r="XS227" s="816"/>
      <c r="XT227" s="816"/>
      <c r="XU227" s="816"/>
      <c r="XV227" s="816"/>
      <c r="XW227" s="816"/>
      <c r="XX227" s="816"/>
      <c r="XY227" s="816"/>
      <c r="XZ227" s="816"/>
      <c r="YA227" s="816"/>
      <c r="YB227" s="816"/>
      <c r="YC227" s="763">
        <f>(GT32*1000-GW69)*(1-YF188)</f>
        <v>4.135211982758622</v>
      </c>
      <c r="YD227" s="764"/>
      <c r="YE227" s="1005"/>
      <c r="YF227" s="1006"/>
      <c r="YG227" s="712"/>
      <c r="YH227" s="716" t="s">
        <v>1628</v>
      </c>
      <c r="YI227" s="717"/>
      <c r="YJ227" s="746"/>
      <c r="YK227" s="767"/>
      <c r="YL227" s="767"/>
      <c r="YM227" s="767"/>
      <c r="YN227" s="767"/>
      <c r="YO227" s="767"/>
      <c r="YP227" s="767"/>
      <c r="YQ227" s="767"/>
      <c r="YR227" s="767"/>
      <c r="ZF227" s="144"/>
      <c r="ZG227" s="144"/>
      <c r="ZH227" s="144"/>
      <c r="ZI227" s="144"/>
      <c r="ZJ227" s="144"/>
      <c r="ZK227" s="144"/>
      <c r="ZL227" s="144"/>
      <c r="ZM227" s="144"/>
      <c r="ZN227" s="144"/>
      <c r="ZO227" s="144"/>
    </row>
    <row r="228" spans="8:1176" ht="48" customHeight="1" thickBot="1">
      <c r="LZ228" s="767"/>
      <c r="MA228" s="665" t="s">
        <v>442</v>
      </c>
      <c r="MB228" s="666"/>
      <c r="MC228" s="370"/>
      <c r="MD228" s="355" t="s">
        <v>863</v>
      </c>
      <c r="ME228" s="724">
        <f>$CM$32</f>
        <v>3</v>
      </c>
      <c r="MF228" s="724"/>
      <c r="MG228" s="431" t="s">
        <v>1471</v>
      </c>
      <c r="MH228" s="884">
        <f>$MN$194</f>
        <v>4.6771549414188464E-4</v>
      </c>
      <c r="MI228" s="884"/>
      <c r="MJ228" s="370"/>
      <c r="MK228" s="85" t="s">
        <v>467</v>
      </c>
      <c r="ML228" s="757" t="s">
        <v>461</v>
      </c>
      <c r="MM228" s="758"/>
      <c r="MN228" s="819" t="s">
        <v>126</v>
      </c>
      <c r="MO228" s="820"/>
      <c r="MP228" s="675" t="s">
        <v>731</v>
      </c>
      <c r="MQ228" s="676"/>
      <c r="MR228" s="821" t="s">
        <v>473</v>
      </c>
      <c r="MS228" s="822"/>
      <c r="MT228" s="822"/>
      <c r="MU228" s="823"/>
      <c r="MV228" s="769" t="s">
        <v>462</v>
      </c>
      <c r="MW228" s="769"/>
      <c r="MX228" s="769"/>
      <c r="MY228" s="769"/>
      <c r="MZ228" s="769"/>
      <c r="NA228" s="769"/>
      <c r="NB228" s="769"/>
      <c r="NC228" s="769"/>
      <c r="ND228" s="769"/>
      <c r="NE228" s="229"/>
      <c r="XO228" s="827"/>
      <c r="XP228" s="818"/>
      <c r="XQ228" s="818"/>
      <c r="XR228" s="818"/>
      <c r="XS228" s="818"/>
      <c r="XT228" s="818"/>
      <c r="XU228" s="818"/>
      <c r="XV228" s="818"/>
      <c r="XW228" s="818"/>
      <c r="XX228" s="818"/>
      <c r="XY228" s="818"/>
      <c r="XZ228" s="818"/>
      <c r="YA228" s="818"/>
      <c r="YB228" s="818"/>
      <c r="YC228" s="765"/>
      <c r="YD228" s="766"/>
      <c r="YE228" s="706"/>
      <c r="YF228" s="708"/>
      <c r="YG228" s="713"/>
      <c r="YH228" s="718"/>
      <c r="YI228" s="719"/>
      <c r="YJ228" s="747"/>
      <c r="YK228" s="768"/>
      <c r="YL228" s="768"/>
      <c r="YM228" s="768"/>
      <c r="YN228" s="768"/>
      <c r="YO228" s="768"/>
      <c r="YP228" s="768"/>
      <c r="YQ228" s="768"/>
      <c r="YR228" s="768"/>
      <c r="ZF228" s="144"/>
      <c r="ZG228" s="144"/>
      <c r="ZH228" s="144"/>
      <c r="ZI228" s="144"/>
      <c r="ZJ228" s="144"/>
      <c r="ZK228" s="144"/>
      <c r="ZL228" s="144"/>
      <c r="ZM228" s="144"/>
      <c r="ZN228" s="144"/>
      <c r="ZO228" s="144"/>
      <c r="AIM228" s="825"/>
      <c r="AIN228" s="665" t="s">
        <v>442</v>
      </c>
      <c r="AIO228" s="666"/>
      <c r="AIP228" s="156"/>
      <c r="AIQ228" s="87"/>
      <c r="AIR228" s="87"/>
      <c r="AIS228" s="87"/>
      <c r="AIT228" s="87"/>
      <c r="AIU228" s="87"/>
      <c r="AIV228" s="87"/>
      <c r="AIW228" s="156"/>
      <c r="AIX228" s="85" t="s">
        <v>467</v>
      </c>
      <c r="AIY228" s="757" t="s">
        <v>461</v>
      </c>
      <c r="AIZ228" s="758"/>
      <c r="AJA228" s="819" t="s">
        <v>126</v>
      </c>
      <c r="AJB228" s="820"/>
      <c r="AJC228" s="675" t="s">
        <v>731</v>
      </c>
      <c r="AJD228" s="676"/>
      <c r="AJE228" s="821" t="s">
        <v>473</v>
      </c>
      <c r="AJF228" s="822"/>
      <c r="AJG228" s="822"/>
      <c r="AJH228" s="823"/>
    </row>
    <row r="229" spans="8:1176" ht="48" customHeight="1">
      <c r="LV229" s="229"/>
      <c r="LW229" s="229"/>
      <c r="LX229" s="229"/>
      <c r="LY229" s="229"/>
      <c r="LZ229" s="767"/>
      <c r="MA229" s="430" t="s">
        <v>1179</v>
      </c>
      <c r="MB229" s="756">
        <f>$CL$76</f>
        <v>0.95799999999999996</v>
      </c>
      <c r="MC229" s="756"/>
      <c r="MD229" s="700" t="s">
        <v>129</v>
      </c>
      <c r="ME229" s="701"/>
      <c r="MF229" s="701"/>
      <c r="MG229" s="701"/>
      <c r="MH229" s="701"/>
      <c r="MI229" s="701"/>
      <c r="MJ229" s="701"/>
      <c r="MK229" s="701"/>
      <c r="ML229" s="701"/>
      <c r="MM229" s="702"/>
      <c r="MN229" s="763">
        <f>(MH228*4*ME228*(MB230*MB229)^2)/MB231</f>
        <v>0.96983668719546179</v>
      </c>
      <c r="MO229" s="764"/>
      <c r="MP229" s="895" t="s">
        <v>415</v>
      </c>
      <c r="MQ229" s="896"/>
      <c r="MR229" s="714"/>
      <c r="MS229" s="716" t="s">
        <v>1592</v>
      </c>
      <c r="MT229" s="717"/>
      <c r="MU229" s="746"/>
      <c r="MV229" s="767"/>
      <c r="MW229" s="767"/>
      <c r="MX229" s="767"/>
      <c r="MY229" s="767"/>
      <c r="MZ229" s="767"/>
      <c r="NA229" s="767"/>
      <c r="NB229" s="767"/>
      <c r="NC229" s="767"/>
      <c r="ND229" s="767"/>
      <c r="NG229" s="229"/>
      <c r="NH229" s="229"/>
      <c r="NK229" s="229"/>
      <c r="NL229" s="229"/>
      <c r="NM229" s="229"/>
      <c r="NN229" s="229"/>
      <c r="NO229" s="229"/>
      <c r="NP229" s="229"/>
      <c r="NQ229" s="229"/>
      <c r="NR229" s="229"/>
      <c r="NS229" s="229"/>
      <c r="NT229" s="229"/>
      <c r="NU229" s="229"/>
      <c r="NV229" s="229"/>
      <c r="NW229" s="229"/>
      <c r="NX229" s="229"/>
      <c r="NY229" s="229"/>
      <c r="NZ229" s="229"/>
      <c r="OA229" s="229"/>
      <c r="OB229" s="229"/>
      <c r="OC229" s="229"/>
      <c r="OD229" s="229"/>
      <c r="OE229" s="229"/>
      <c r="OF229" s="229"/>
      <c r="OG229" s="229"/>
      <c r="OH229" s="229"/>
      <c r="OI229" s="229"/>
      <c r="OJ229" s="229"/>
      <c r="OK229" s="229"/>
      <c r="OL229" s="229"/>
      <c r="OM229" s="229"/>
      <c r="ON229" s="229"/>
      <c r="OO229" s="229"/>
      <c r="OP229" s="229"/>
      <c r="OQ229" s="229"/>
      <c r="OR229" s="229"/>
      <c r="OS229" s="229"/>
      <c r="OT229" s="229"/>
      <c r="OU229" s="229"/>
      <c r="OV229" s="229"/>
      <c r="OW229" s="229"/>
      <c r="OX229" s="229"/>
      <c r="ZF229" s="144"/>
      <c r="ZG229" s="144"/>
      <c r="ZH229" s="144"/>
      <c r="ZI229" s="144"/>
      <c r="ZJ229" s="144"/>
      <c r="ZK229" s="144"/>
      <c r="ZL229" s="144"/>
      <c r="ZM229" s="144"/>
      <c r="ZN229" s="144"/>
      <c r="ZO229" s="144"/>
      <c r="AIM229" s="826"/>
      <c r="AIN229" s="1301" t="s">
        <v>409</v>
      </c>
      <c r="AIO229" s="1301"/>
      <c r="AIP229" s="1301"/>
      <c r="AIQ229" s="1301"/>
      <c r="AIR229" s="1301"/>
      <c r="AIS229" s="1301"/>
      <c r="AIT229" s="1301"/>
      <c r="AIU229" s="1301"/>
      <c r="AIV229" s="1301"/>
      <c r="AIW229" s="1301"/>
      <c r="AIX229" s="1301"/>
      <c r="AIY229" s="1301"/>
      <c r="AIZ229" s="1301"/>
      <c r="AJA229" s="1285">
        <f>AW82</f>
        <v>0.12568147373069677</v>
      </c>
      <c r="AJB229" s="1286"/>
      <c r="AJC229" s="1005"/>
      <c r="AJD229" s="1006"/>
      <c r="AJE229" s="712"/>
      <c r="AJF229" s="740" t="s">
        <v>1077</v>
      </c>
      <c r="AJG229" s="742"/>
      <c r="AJH229" s="746"/>
    </row>
    <row r="230" spans="8:1176" ht="48" customHeight="1" thickBot="1">
      <c r="LZ230" s="767"/>
      <c r="MA230" s="355" t="s">
        <v>1178</v>
      </c>
      <c r="MB230" s="724">
        <f>$CL$68</f>
        <v>104.5</v>
      </c>
      <c r="MC230" s="724"/>
      <c r="MD230" s="703"/>
      <c r="ME230" s="704"/>
      <c r="MF230" s="704"/>
      <c r="MG230" s="704"/>
      <c r="MH230" s="704"/>
      <c r="MI230" s="704"/>
      <c r="MJ230" s="704"/>
      <c r="MK230" s="704"/>
      <c r="ML230" s="704"/>
      <c r="MM230" s="705"/>
      <c r="MN230" s="765"/>
      <c r="MO230" s="766"/>
      <c r="MP230" s="897"/>
      <c r="MQ230" s="898"/>
      <c r="MR230" s="715"/>
      <c r="MS230" s="718"/>
      <c r="MT230" s="719"/>
      <c r="MU230" s="747"/>
      <c r="MV230" s="767"/>
      <c r="MW230" s="767"/>
      <c r="MX230" s="767"/>
      <c r="MY230" s="767"/>
      <c r="MZ230" s="767"/>
      <c r="NA230" s="767"/>
      <c r="NB230" s="767"/>
      <c r="NC230" s="767"/>
      <c r="ND230" s="767"/>
      <c r="XQ230" s="216"/>
      <c r="XR230" s="665" t="s">
        <v>941</v>
      </c>
      <c r="XS230" s="667"/>
      <c r="XT230" s="216"/>
      <c r="XU230" s="728" t="s">
        <v>1148</v>
      </c>
      <c r="XV230" s="1053"/>
      <c r="XW230" s="1053"/>
      <c r="XX230" s="1053"/>
      <c r="XY230" s="1053"/>
      <c r="XZ230" s="1053"/>
      <c r="YA230" s="1053"/>
      <c r="YB230" s="1053"/>
      <c r="YC230" s="1053"/>
      <c r="YD230" s="1053"/>
      <c r="YE230" s="1054"/>
      <c r="YF230" s="216"/>
      <c r="ZF230" s="144"/>
      <c r="ZG230" s="144"/>
      <c r="ZH230" s="144"/>
      <c r="ZI230" s="144"/>
      <c r="ZJ230" s="144"/>
      <c r="ZK230" s="144"/>
      <c r="ZL230" s="144"/>
      <c r="ZM230" s="144"/>
      <c r="ZN230" s="144"/>
      <c r="ZO230" s="144"/>
      <c r="AIM230" s="827"/>
      <c r="AIN230" s="1302"/>
      <c r="AIO230" s="1302"/>
      <c r="AIP230" s="1302"/>
      <c r="AIQ230" s="1302"/>
      <c r="AIR230" s="1302"/>
      <c r="AIS230" s="1302"/>
      <c r="AIT230" s="1302"/>
      <c r="AIU230" s="1302"/>
      <c r="AIV230" s="1302"/>
      <c r="AIW230" s="1302"/>
      <c r="AIX230" s="1302"/>
      <c r="AIY230" s="1302"/>
      <c r="AIZ230" s="1302"/>
      <c r="AJA230" s="1287"/>
      <c r="AJB230" s="1288"/>
      <c r="AJC230" s="706"/>
      <c r="AJD230" s="708"/>
      <c r="AJE230" s="713"/>
      <c r="AJF230" s="743"/>
      <c r="AJG230" s="745"/>
      <c r="AJH230" s="747"/>
    </row>
    <row r="231" spans="8:1176" ht="48" customHeight="1" thickBot="1">
      <c r="LZ231" s="768"/>
      <c r="MA231" s="412" t="s">
        <v>1180</v>
      </c>
      <c r="MB231" s="738">
        <f>$GW$24</f>
        <v>58</v>
      </c>
      <c r="MC231" s="738"/>
      <c r="MD231" s="706"/>
      <c r="ME231" s="707"/>
      <c r="MF231" s="707"/>
      <c r="MG231" s="707"/>
      <c r="MH231" s="707"/>
      <c r="MI231" s="707"/>
      <c r="MJ231" s="707"/>
      <c r="MK231" s="707"/>
      <c r="ML231" s="707"/>
      <c r="MM231" s="708"/>
      <c r="MN231" s="1012"/>
      <c r="MO231" s="1013"/>
      <c r="MP231" s="1013"/>
      <c r="MQ231" s="1013"/>
      <c r="MR231" s="1013"/>
      <c r="MS231" s="1013"/>
      <c r="MT231" s="1013"/>
      <c r="MU231" s="1014"/>
      <c r="MV231" s="768"/>
      <c r="MW231" s="768"/>
      <c r="MX231" s="768"/>
      <c r="MY231" s="768"/>
      <c r="MZ231" s="768"/>
      <c r="NA231" s="768"/>
      <c r="NB231" s="768"/>
      <c r="NC231" s="768"/>
      <c r="ND231" s="768"/>
      <c r="ZM231" s="144"/>
      <c r="ZN231" s="144"/>
      <c r="ZO231" s="144"/>
    </row>
    <row r="232" spans="8:1176" ht="48" customHeight="1" thickBot="1">
      <c r="QU232" s="144"/>
      <c r="QV232" s="144"/>
      <c r="QW232" s="144"/>
      <c r="QX232" s="144"/>
      <c r="QY232" s="144"/>
      <c r="QZ232" s="144"/>
      <c r="RA232" s="144"/>
      <c r="RB232" s="144"/>
      <c r="RC232" s="144"/>
      <c r="RD232" s="144"/>
      <c r="RE232" s="144"/>
      <c r="RF232" s="144"/>
      <c r="RG232" s="144"/>
      <c r="XO232" s="825"/>
      <c r="XP232" s="665" t="s">
        <v>442</v>
      </c>
      <c r="XQ232" s="666"/>
      <c r="XR232" s="156"/>
      <c r="XS232" s="87"/>
      <c r="XT232" s="87"/>
      <c r="XU232" s="87"/>
      <c r="XV232" s="87"/>
      <c r="XW232" s="87"/>
      <c r="XX232" s="87"/>
      <c r="XY232" s="156"/>
      <c r="XZ232" s="85" t="s">
        <v>467</v>
      </c>
      <c r="YA232" s="757" t="s">
        <v>461</v>
      </c>
      <c r="YB232" s="899"/>
      <c r="YC232" s="1130" t="s">
        <v>126</v>
      </c>
      <c r="YD232" s="1131"/>
      <c r="YE232" s="675" t="s">
        <v>731</v>
      </c>
      <c r="YF232" s="676"/>
      <c r="YG232" s="769" t="s">
        <v>473</v>
      </c>
      <c r="YH232" s="769"/>
      <c r="YI232" s="769"/>
      <c r="YJ232" s="769"/>
      <c r="YK232" s="769"/>
      <c r="YL232" s="769" t="s">
        <v>462</v>
      </c>
      <c r="YM232" s="769"/>
      <c r="YN232" s="769"/>
      <c r="YO232" s="769"/>
      <c r="YP232" s="769"/>
      <c r="YQ232" s="769"/>
      <c r="YR232" s="769"/>
      <c r="YS232" s="769"/>
      <c r="AIM232" s="825"/>
      <c r="AIN232" s="665" t="s">
        <v>442</v>
      </c>
      <c r="AIO232" s="666"/>
      <c r="AIP232" s="156"/>
      <c r="AIQ232" s="87"/>
      <c r="AIR232" s="87"/>
      <c r="AIS232" s="87"/>
      <c r="AIT232" s="87"/>
      <c r="AIU232" s="87"/>
      <c r="AIV232" s="87"/>
      <c r="AIW232" s="156"/>
      <c r="AIX232" s="85" t="s">
        <v>467</v>
      </c>
      <c r="AIY232" s="757" t="s">
        <v>461</v>
      </c>
      <c r="AIZ232" s="758"/>
      <c r="AJA232" s="819" t="s">
        <v>126</v>
      </c>
      <c r="AJB232" s="820"/>
      <c r="AJC232" s="675" t="s">
        <v>731</v>
      </c>
      <c r="AJD232" s="676"/>
      <c r="AJE232" s="821" t="s">
        <v>473</v>
      </c>
      <c r="AJF232" s="822"/>
      <c r="AJG232" s="822"/>
      <c r="AJH232" s="823"/>
    </row>
    <row r="233" spans="8:1176" ht="48" customHeight="1">
      <c r="MB233" s="213"/>
      <c r="MC233" s="665" t="s">
        <v>915</v>
      </c>
      <c r="MD233" s="666"/>
      <c r="ME233" s="213"/>
      <c r="MF233" s="685" t="s">
        <v>130</v>
      </c>
      <c r="MG233" s="686"/>
      <c r="MH233" s="686"/>
      <c r="MI233" s="686"/>
      <c r="MJ233" s="686"/>
      <c r="MK233" s="686"/>
      <c r="ML233" s="686"/>
      <c r="MM233" s="686"/>
      <c r="MN233" s="686"/>
      <c r="MO233" s="686"/>
      <c r="MP233" s="687"/>
      <c r="MQ233" s="213"/>
      <c r="NI233" s="229"/>
      <c r="NJ233" s="229"/>
      <c r="QU233" s="144"/>
      <c r="QV233" s="144"/>
      <c r="QW233" s="144"/>
      <c r="QX233" s="144"/>
      <c r="QY233" s="144"/>
      <c r="QZ233" s="144"/>
      <c r="RA233" s="144"/>
      <c r="RB233" s="144"/>
      <c r="RC233" s="144"/>
      <c r="RD233" s="144"/>
      <c r="RE233" s="144"/>
      <c r="RF233" s="144"/>
      <c r="RG233" s="144"/>
      <c r="XO233" s="826"/>
      <c r="XP233" s="700" t="s">
        <v>154</v>
      </c>
      <c r="XQ233" s="701"/>
      <c r="XR233" s="701"/>
      <c r="XS233" s="701"/>
      <c r="XT233" s="701"/>
      <c r="XU233" s="701"/>
      <c r="XV233" s="701"/>
      <c r="XW233" s="701"/>
      <c r="XX233" s="701"/>
      <c r="XY233" s="701"/>
      <c r="XZ233" s="701"/>
      <c r="YA233" s="701"/>
      <c r="YB233" s="702"/>
      <c r="YC233" s="763">
        <f>MQ200-YC237</f>
        <v>4.5751266025686448</v>
      </c>
      <c r="YD233" s="764"/>
      <c r="YE233" s="1005"/>
      <c r="YF233" s="1006"/>
      <c r="YG233" s="1309"/>
      <c r="YH233" s="1083" t="s">
        <v>1615</v>
      </c>
      <c r="YI233" s="1083"/>
      <c r="YJ233" s="1083"/>
      <c r="YK233" s="1085"/>
      <c r="YL233" s="767"/>
      <c r="YM233" s="767"/>
      <c r="YN233" s="767"/>
      <c r="YO233" s="767"/>
      <c r="YP233" s="767"/>
      <c r="YQ233" s="767"/>
      <c r="YR233" s="767"/>
      <c r="YS233" s="767"/>
      <c r="AAH233" s="144"/>
      <c r="AAI233" s="144"/>
      <c r="AAJ233" s="144"/>
      <c r="AAK233" s="144"/>
      <c r="AAL233" s="144"/>
      <c r="AAM233" s="144"/>
      <c r="AAN233" s="144"/>
      <c r="AAO233" s="144"/>
      <c r="AAP233" s="144"/>
      <c r="AAQ233" s="144"/>
      <c r="AIM233" s="826"/>
      <c r="AIN233" s="1301"/>
      <c r="AIO233" s="1301"/>
      <c r="AIP233" s="1301"/>
      <c r="AIQ233" s="1301"/>
      <c r="AIR233" s="1301"/>
      <c r="AIS233" s="1301"/>
      <c r="AIT233" s="1301"/>
      <c r="AIU233" s="1301"/>
      <c r="AIV233" s="1301"/>
      <c r="AIW233" s="1301"/>
      <c r="AIX233" s="1301"/>
      <c r="AIY233" s="1301"/>
      <c r="AIZ233" s="1301"/>
      <c r="AJA233" s="1285"/>
      <c r="AJB233" s="1286"/>
      <c r="AJC233" s="1005"/>
      <c r="AJD233" s="1006"/>
      <c r="AJE233" s="712"/>
      <c r="AJF233" s="716" t="s">
        <v>442</v>
      </c>
      <c r="AJG233" s="717"/>
      <c r="AJH233" s="746"/>
    </row>
    <row r="234" spans="8:1176" ht="48" customHeight="1" thickBot="1">
      <c r="QU234" s="144"/>
      <c r="QV234" s="144"/>
      <c r="QW234" s="144"/>
      <c r="QX234" s="144"/>
      <c r="QY234" s="144"/>
      <c r="QZ234" s="144"/>
      <c r="RA234" s="144"/>
      <c r="RB234" s="144"/>
      <c r="RC234" s="144"/>
      <c r="RD234" s="144"/>
      <c r="RE234" s="144"/>
      <c r="RF234" s="144"/>
      <c r="RG234" s="144"/>
      <c r="XO234" s="827"/>
      <c r="XP234" s="706"/>
      <c r="XQ234" s="707"/>
      <c r="XR234" s="707"/>
      <c r="XS234" s="707"/>
      <c r="XT234" s="707"/>
      <c r="XU234" s="707"/>
      <c r="XV234" s="707"/>
      <c r="XW234" s="707"/>
      <c r="XX234" s="707"/>
      <c r="XY234" s="707"/>
      <c r="XZ234" s="707"/>
      <c r="YA234" s="707"/>
      <c r="YB234" s="708"/>
      <c r="YC234" s="765"/>
      <c r="YD234" s="766"/>
      <c r="YE234" s="706"/>
      <c r="YF234" s="708"/>
      <c r="YG234" s="1310"/>
      <c r="YH234" s="1084"/>
      <c r="YI234" s="1084"/>
      <c r="YJ234" s="1084"/>
      <c r="YK234" s="1086"/>
      <c r="YL234" s="768"/>
      <c r="YM234" s="768"/>
      <c r="YN234" s="768"/>
      <c r="YO234" s="768"/>
      <c r="YP234" s="768"/>
      <c r="YQ234" s="768"/>
      <c r="YR234" s="768"/>
      <c r="YS234" s="768"/>
      <c r="AAH234" s="144"/>
      <c r="AAI234" s="144"/>
      <c r="AAJ234" s="144"/>
      <c r="AAK234" s="144"/>
      <c r="AAL234" s="144"/>
      <c r="AAM234" s="144"/>
      <c r="AAN234" s="144"/>
      <c r="AAO234" s="144"/>
      <c r="AAP234" s="144"/>
      <c r="AAQ234" s="144"/>
      <c r="AIM234" s="827"/>
      <c r="AIN234" s="1302"/>
      <c r="AIO234" s="1302"/>
      <c r="AIP234" s="1302"/>
      <c r="AIQ234" s="1302"/>
      <c r="AIR234" s="1302"/>
      <c r="AIS234" s="1302"/>
      <c r="AIT234" s="1302"/>
      <c r="AIU234" s="1302"/>
      <c r="AIV234" s="1302"/>
      <c r="AIW234" s="1302"/>
      <c r="AIX234" s="1302"/>
      <c r="AIY234" s="1302"/>
      <c r="AIZ234" s="1302"/>
      <c r="AJA234" s="1287"/>
      <c r="AJB234" s="1288"/>
      <c r="AJC234" s="706"/>
      <c r="AJD234" s="708"/>
      <c r="AJE234" s="713"/>
      <c r="AJF234" s="718"/>
      <c r="AJG234" s="719"/>
      <c r="AJH234" s="747"/>
    </row>
    <row r="235" spans="8:1176" ht="48" customHeight="1" thickBot="1">
      <c r="LZ235" s="825"/>
      <c r="MA235" s="665" t="s">
        <v>442</v>
      </c>
      <c r="MB235" s="666"/>
      <c r="MC235" s="370"/>
      <c r="MD235" s="844" t="s">
        <v>1472</v>
      </c>
      <c r="ME235" s="845"/>
      <c r="MF235" s="884">
        <f>$MN$229</f>
        <v>0.96983668719546179</v>
      </c>
      <c r="MG235" s="884"/>
      <c r="MH235" s="87"/>
      <c r="MI235" s="87"/>
      <c r="MJ235" s="370"/>
      <c r="MK235" s="85" t="s">
        <v>467</v>
      </c>
      <c r="ML235" s="757" t="s">
        <v>461</v>
      </c>
      <c r="MM235" s="758"/>
      <c r="MN235" s="1130" t="s">
        <v>126</v>
      </c>
      <c r="MO235" s="1131"/>
      <c r="MP235" s="675" t="s">
        <v>731</v>
      </c>
      <c r="MQ235" s="676"/>
      <c r="MR235" s="821" t="s">
        <v>473</v>
      </c>
      <c r="MS235" s="822"/>
      <c r="MT235" s="822"/>
      <c r="MU235" s="823"/>
      <c r="MV235" s="769" t="s">
        <v>462</v>
      </c>
      <c r="MW235" s="769"/>
      <c r="MX235" s="769"/>
      <c r="MY235" s="769"/>
      <c r="MZ235" s="769"/>
      <c r="QU235" s="144"/>
      <c r="QV235" s="144"/>
      <c r="QW235" s="144"/>
      <c r="QX235" s="144"/>
      <c r="QY235" s="144"/>
      <c r="QZ235" s="144"/>
      <c r="RA235" s="144"/>
      <c r="RB235" s="144"/>
      <c r="RC235" s="144"/>
      <c r="RD235" s="144"/>
      <c r="RE235" s="144"/>
      <c r="RF235" s="144"/>
      <c r="RG235" s="144"/>
      <c r="AAH235" s="144"/>
      <c r="AAI235" s="144"/>
      <c r="AAJ235" s="144"/>
      <c r="AAK235" s="144"/>
      <c r="AAL235" s="144"/>
      <c r="AAM235" s="144"/>
      <c r="AAN235" s="144"/>
      <c r="AAO235" s="144"/>
      <c r="AAP235" s="144"/>
      <c r="AAQ235" s="144"/>
    </row>
    <row r="236" spans="8:1176" ht="48" customHeight="1" thickBot="1">
      <c r="LZ236" s="826"/>
      <c r="MA236" s="396" t="s">
        <v>1189</v>
      </c>
      <c r="MB236" s="677">
        <f>$CL$52</f>
        <v>32.488628979857047</v>
      </c>
      <c r="MC236" s="677"/>
      <c r="MD236" s="701" t="s">
        <v>1400</v>
      </c>
      <c r="ME236" s="701"/>
      <c r="MF236" s="701"/>
      <c r="MG236" s="701"/>
      <c r="MH236" s="701"/>
      <c r="MI236" s="701"/>
      <c r="MJ236" s="701"/>
      <c r="MK236" s="701"/>
      <c r="ML236" s="701"/>
      <c r="MM236" s="702"/>
      <c r="MN236" s="763">
        <f>MF235*(CL52/AQ6)</f>
        <v>8.2917537635123773E-2</v>
      </c>
      <c r="MO236" s="764"/>
      <c r="MP236" s="895" t="s">
        <v>415</v>
      </c>
      <c r="MQ236" s="896"/>
      <c r="MR236" s="714"/>
      <c r="MS236" s="716" t="s">
        <v>1436</v>
      </c>
      <c r="MT236" s="717"/>
      <c r="MU236" s="746"/>
      <c r="MV236" s="767"/>
      <c r="MW236" s="767"/>
      <c r="MX236" s="767"/>
      <c r="MY236" s="767"/>
      <c r="MZ236" s="767"/>
      <c r="QU236" s="144"/>
      <c r="QV236" s="144"/>
      <c r="QW236" s="144"/>
      <c r="QX236" s="144"/>
      <c r="QY236" s="144"/>
      <c r="QZ236" s="144"/>
      <c r="RA236" s="144"/>
      <c r="RB236" s="144"/>
      <c r="RC236" s="144"/>
      <c r="RD236" s="144"/>
      <c r="RE236" s="144"/>
      <c r="RF236" s="144"/>
      <c r="RG236" s="144"/>
      <c r="XN236" s="144"/>
      <c r="XO236" s="825"/>
      <c r="XP236" s="665" t="s">
        <v>442</v>
      </c>
      <c r="XQ236" s="666"/>
      <c r="XR236" s="456"/>
      <c r="XS236" s="87"/>
      <c r="XT236" s="87"/>
      <c r="XU236" s="87"/>
      <c r="XV236" s="87"/>
      <c r="XW236" s="87"/>
      <c r="XX236" s="87"/>
      <c r="XY236" s="456"/>
      <c r="XZ236" s="85" t="s">
        <v>467</v>
      </c>
      <c r="YA236" s="757" t="s">
        <v>461</v>
      </c>
      <c r="YB236" s="899"/>
      <c r="YC236" s="1130" t="s">
        <v>126</v>
      </c>
      <c r="YD236" s="1131"/>
      <c r="YE236" s="675" t="s">
        <v>731</v>
      </c>
      <c r="YF236" s="1094"/>
      <c r="YG236" s="769" t="s">
        <v>473</v>
      </c>
      <c r="YH236" s="769"/>
      <c r="YI236" s="769"/>
      <c r="YJ236" s="769"/>
      <c r="YK236" s="769"/>
      <c r="YL236" s="821" t="s">
        <v>462</v>
      </c>
      <c r="YM236" s="822"/>
      <c r="YN236" s="822"/>
      <c r="YO236" s="822"/>
      <c r="YP236" s="822"/>
      <c r="YQ236" s="822"/>
      <c r="YR236" s="822"/>
      <c r="YS236" s="822"/>
      <c r="YT236" s="823"/>
      <c r="ZS236" s="144"/>
      <c r="ZT236" s="144"/>
      <c r="ZU236" s="144"/>
      <c r="ZV236" s="144"/>
      <c r="ZW236" s="144"/>
      <c r="ZX236" s="144"/>
      <c r="ZY236" s="144"/>
      <c r="ZZ236" s="144"/>
      <c r="AAA236" s="144"/>
      <c r="AAB236" s="144"/>
      <c r="AAH236" s="144"/>
      <c r="AAI236" s="144"/>
      <c r="AAJ236" s="144"/>
      <c r="AAK236" s="144"/>
      <c r="AAL236" s="144"/>
      <c r="AAM236" s="144"/>
      <c r="AAN236" s="144"/>
      <c r="AAO236" s="144"/>
      <c r="AAP236" s="144"/>
      <c r="AAQ236" s="144"/>
      <c r="AIO236" s="216"/>
      <c r="AIP236" s="665" t="s">
        <v>957</v>
      </c>
      <c r="AIQ236" s="667"/>
      <c r="AIR236" s="216"/>
      <c r="AIS236" s="728" t="s">
        <v>973</v>
      </c>
      <c r="AIT236" s="1053"/>
      <c r="AIU236" s="1053"/>
      <c r="AIV236" s="1053"/>
      <c r="AIW236" s="1053"/>
      <c r="AIX236" s="1053"/>
      <c r="AIY236" s="1053"/>
      <c r="AIZ236" s="1053"/>
      <c r="AJA236" s="1053"/>
      <c r="AJB236" s="1053"/>
      <c r="AJC236" s="1054"/>
      <c r="AJD236" s="216"/>
    </row>
    <row r="237" spans="8:1176" ht="48" customHeight="1" thickBot="1">
      <c r="LZ237" s="827"/>
      <c r="MA237" s="398" t="s">
        <v>1340</v>
      </c>
      <c r="MB237" s="738">
        <f>$AQ$6</f>
        <v>380</v>
      </c>
      <c r="MC237" s="738"/>
      <c r="MD237" s="707"/>
      <c r="ME237" s="707"/>
      <c r="MF237" s="707"/>
      <c r="MG237" s="707"/>
      <c r="MH237" s="707"/>
      <c r="MI237" s="707"/>
      <c r="MJ237" s="707"/>
      <c r="MK237" s="707"/>
      <c r="ML237" s="707"/>
      <c r="MM237" s="708"/>
      <c r="MN237" s="765"/>
      <c r="MO237" s="766"/>
      <c r="MP237" s="897"/>
      <c r="MQ237" s="898"/>
      <c r="MR237" s="715"/>
      <c r="MS237" s="718"/>
      <c r="MT237" s="719"/>
      <c r="MU237" s="747"/>
      <c r="MV237" s="768"/>
      <c r="MW237" s="768"/>
      <c r="MX237" s="768"/>
      <c r="MY237" s="768"/>
      <c r="MZ237" s="768"/>
      <c r="QU237" s="144"/>
      <c r="QV237" s="144"/>
      <c r="QW237" s="144"/>
      <c r="QX237" s="144"/>
      <c r="QY237" s="144"/>
      <c r="QZ237" s="144"/>
      <c r="RA237" s="144"/>
      <c r="RB237" s="144"/>
      <c r="RC237" s="144"/>
      <c r="RD237" s="144"/>
      <c r="RE237" s="144"/>
      <c r="RF237" s="144"/>
      <c r="RG237" s="144"/>
      <c r="XM237" s="144"/>
      <c r="XN237" s="144"/>
      <c r="XO237" s="826"/>
      <c r="XP237" s="696" t="s">
        <v>1191</v>
      </c>
      <c r="XQ237" s="720"/>
      <c r="XR237" s="677">
        <f>$GW$73</f>
        <v>0.5</v>
      </c>
      <c r="XS237" s="677"/>
      <c r="XT237" s="727" t="s">
        <v>1651</v>
      </c>
      <c r="XU237" s="727"/>
      <c r="XV237" s="727"/>
      <c r="XW237" s="727"/>
      <c r="XX237" s="727"/>
      <c r="XY237" s="727"/>
      <c r="XZ237" s="727"/>
      <c r="YA237" s="727"/>
      <c r="YB237" s="727"/>
      <c r="YC237" s="1305">
        <f>(GW73/GW69)*(XR239/(GW69+XR239))</f>
        <v>0.24460552654810686</v>
      </c>
      <c r="YD237" s="764"/>
      <c r="YE237" s="1087"/>
      <c r="YF237" s="1006"/>
      <c r="YG237" s="1309"/>
      <c r="YH237" s="1083" t="s">
        <v>1616</v>
      </c>
      <c r="YI237" s="1083"/>
      <c r="YJ237" s="1083"/>
      <c r="YK237" s="1085"/>
      <c r="YL237" s="919"/>
      <c r="YM237" s="840"/>
      <c r="YN237" s="840"/>
      <c r="YO237" s="840"/>
      <c r="YP237" s="840"/>
      <c r="YQ237" s="840"/>
      <c r="YR237" s="840"/>
      <c r="YS237" s="840"/>
      <c r="YT237" s="920"/>
      <c r="AAB237" s="144"/>
      <c r="AAH237" s="144"/>
      <c r="AAM237" s="144"/>
      <c r="AAN237" s="144"/>
      <c r="AAO237" s="144"/>
      <c r="AAP237" s="144"/>
      <c r="AAQ237" s="144"/>
      <c r="AAW237" s="144"/>
      <c r="AAX237" s="144"/>
      <c r="AAY237" s="144"/>
      <c r="AAZ237" s="144"/>
      <c r="ABA237" s="144"/>
      <c r="ABB237" s="144"/>
      <c r="ABC237" s="144"/>
      <c r="ABD237" s="144"/>
      <c r="ABE237" s="144"/>
      <c r="ABF237" s="144"/>
      <c r="ABG237" s="144"/>
      <c r="ABH237" s="144"/>
      <c r="ABI237" s="144"/>
      <c r="ABJ237" s="144"/>
      <c r="ABK237" s="144"/>
      <c r="ABL237" s="144"/>
      <c r="ABM237" s="144"/>
      <c r="ABN237" s="144"/>
      <c r="ABO237" s="144"/>
      <c r="ABP237" s="144"/>
      <c r="ABQ237" s="144"/>
      <c r="ACT237" s="144"/>
      <c r="AHV237" s="144"/>
      <c r="AHW237" s="144"/>
      <c r="AHX237" s="144"/>
      <c r="AHY237" s="144"/>
      <c r="AHZ237" s="144"/>
      <c r="AIA237" s="144"/>
      <c r="AIB237" s="144"/>
      <c r="AIC237" s="144"/>
      <c r="AID237" s="144"/>
      <c r="AIE237" s="144"/>
      <c r="AIF237" s="144"/>
      <c r="AIG237" s="144"/>
      <c r="AIH237" s="144"/>
      <c r="AII237" s="144"/>
      <c r="AIJ237" s="144"/>
      <c r="AIK237" s="144"/>
      <c r="ANY237" s="144"/>
      <c r="ANZ237" s="144"/>
      <c r="AOA237" s="144"/>
      <c r="AOB237" s="144"/>
      <c r="AOC237" s="144"/>
      <c r="AOD237" s="144"/>
      <c r="AOE237" s="144"/>
      <c r="AOF237" s="144"/>
      <c r="AOG237" s="144"/>
      <c r="AOH237" s="144"/>
      <c r="AOI237" s="144"/>
      <c r="AOJ237" s="144"/>
      <c r="AOK237" s="144"/>
      <c r="AOL237" s="144"/>
      <c r="AOM237" s="144"/>
      <c r="AON237" s="144"/>
      <c r="AOO237" s="144"/>
      <c r="AOP237" s="144"/>
      <c r="AOQ237" s="144"/>
      <c r="AOR237" s="144"/>
      <c r="AOS237" s="144"/>
      <c r="AOT237" s="144"/>
      <c r="AOU237" s="144"/>
      <c r="AOV237" s="144"/>
      <c r="AOW237" s="144"/>
      <c r="AOX237" s="144"/>
      <c r="AOY237" s="144"/>
      <c r="AOZ237" s="144"/>
      <c r="APA237" s="144"/>
      <c r="APB237" s="144"/>
      <c r="APC237" s="144"/>
      <c r="APD237" s="144"/>
      <c r="APE237" s="144"/>
      <c r="APF237" s="144"/>
      <c r="APG237" s="144"/>
      <c r="APH237" s="144"/>
      <c r="API237" s="144"/>
      <c r="APJ237" s="144"/>
      <c r="APK237" s="144"/>
      <c r="APL237" s="144"/>
      <c r="APM237" s="144"/>
      <c r="APN237" s="144"/>
      <c r="APO237" s="144"/>
      <c r="APP237" s="144"/>
      <c r="APQ237" s="144"/>
      <c r="APR237" s="144"/>
      <c r="APS237" s="144"/>
      <c r="APT237" s="144"/>
      <c r="APU237" s="144"/>
      <c r="APV237" s="144"/>
      <c r="APW237" s="144"/>
      <c r="APX237" s="144"/>
      <c r="APY237" s="144"/>
      <c r="APZ237" s="144"/>
      <c r="AQA237" s="144"/>
      <c r="AQB237" s="144"/>
      <c r="AQC237" s="144"/>
      <c r="AQD237" s="144"/>
      <c r="AQE237" s="144"/>
      <c r="AQF237" s="144"/>
      <c r="AQG237" s="144"/>
      <c r="AQH237" s="144"/>
      <c r="AQI237" s="144"/>
      <c r="AQJ237" s="144"/>
      <c r="AQK237" s="144"/>
      <c r="AQL237" s="144"/>
      <c r="AQM237" s="144"/>
      <c r="AQN237" s="144"/>
      <c r="AQO237" s="144"/>
      <c r="AQP237" s="144"/>
      <c r="AQQ237" s="144"/>
      <c r="AQR237" s="144"/>
      <c r="AQS237" s="144"/>
      <c r="AQT237" s="144"/>
      <c r="AQU237" s="144"/>
      <c r="AQV237" s="144"/>
      <c r="AQW237" s="144"/>
      <c r="AQX237" s="144"/>
      <c r="AQY237" s="144"/>
      <c r="AQZ237" s="144"/>
      <c r="ARA237" s="144"/>
      <c r="ARB237" s="144"/>
      <c r="ARC237" s="144"/>
      <c r="ARD237" s="144"/>
      <c r="ARE237" s="144"/>
      <c r="ARF237" s="144"/>
      <c r="ARG237" s="144"/>
      <c r="ARH237" s="144"/>
      <c r="ARI237" s="144"/>
      <c r="ARJ237" s="144"/>
      <c r="ARK237" s="144"/>
      <c r="ARL237" s="144"/>
      <c r="ARM237" s="144"/>
      <c r="ARN237" s="144"/>
      <c r="ARO237" s="144"/>
      <c r="ARP237" s="144"/>
      <c r="ARQ237" s="144"/>
      <c r="ARR237" s="144"/>
      <c r="ARS237" s="144"/>
      <c r="ART237" s="144"/>
      <c r="ARU237" s="144"/>
      <c r="ARV237" s="144"/>
      <c r="ARW237" s="144"/>
      <c r="ARX237" s="144"/>
      <c r="ARY237" s="144"/>
      <c r="ARZ237" s="144"/>
      <c r="ASA237" s="144"/>
      <c r="ASB237" s="144"/>
      <c r="ASC237" s="144"/>
      <c r="ASD237" s="144"/>
      <c r="ASE237" s="144"/>
      <c r="ASF237" s="144"/>
    </row>
    <row r="238" spans="8:1176" s="229" customFormat="1" ht="48" customHeight="1" thickBot="1">
      <c r="H238" s="235"/>
      <c r="K238" s="236"/>
      <c r="L238" s="235"/>
      <c r="M238" s="235"/>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QU238" s="144"/>
      <c r="QV238" s="144"/>
      <c r="QW238" s="144"/>
      <c r="QX238" s="144"/>
      <c r="QY238" s="144"/>
      <c r="QZ238" s="144"/>
      <c r="RA238" s="144"/>
      <c r="RB238" s="144"/>
      <c r="RC238" s="144"/>
      <c r="RD238" s="144"/>
      <c r="RE238" s="144"/>
      <c r="RF238" s="144"/>
      <c r="RG238" s="144"/>
      <c r="XM238" s="144"/>
      <c r="XN238" s="144"/>
      <c r="XO238" s="826"/>
      <c r="XP238" s="696" t="s">
        <v>1191</v>
      </c>
      <c r="XQ238" s="720"/>
      <c r="XR238" s="677">
        <f>$GW$73</f>
        <v>0.5</v>
      </c>
      <c r="XS238" s="677"/>
      <c r="XT238" s="727"/>
      <c r="XU238" s="727"/>
      <c r="XV238" s="727"/>
      <c r="XW238" s="727"/>
      <c r="XX238" s="727"/>
      <c r="XY238" s="727"/>
      <c r="XZ238" s="727"/>
      <c r="YA238" s="727"/>
      <c r="YB238" s="727"/>
      <c r="YC238" s="1306"/>
      <c r="YD238" s="766"/>
      <c r="YE238" s="1089"/>
      <c r="YF238" s="708"/>
      <c r="YG238" s="1310"/>
      <c r="YH238" s="1084"/>
      <c r="YI238" s="1084"/>
      <c r="YJ238" s="1084"/>
      <c r="YK238" s="1086"/>
      <c r="YL238" s="890"/>
      <c r="YM238" s="841"/>
      <c r="YN238" s="841"/>
      <c r="YO238" s="841"/>
      <c r="YP238" s="841"/>
      <c r="YQ238" s="841"/>
      <c r="YR238" s="841"/>
      <c r="YS238" s="841"/>
      <c r="YT238" s="891"/>
      <c r="YU238" s="1"/>
      <c r="YV238" s="1"/>
      <c r="YW238" s="1"/>
      <c r="YX238" s="1"/>
      <c r="YY238" s="1"/>
      <c r="YZ238" s="144"/>
      <c r="AAB238" s="144"/>
      <c r="AAH238" s="144"/>
      <c r="AAM238" s="144"/>
      <c r="AAN238" s="144"/>
      <c r="AAO238" s="144"/>
      <c r="AAP238" s="144"/>
      <c r="AAQ238" s="144"/>
      <c r="AAW238" s="144"/>
      <c r="AAX238" s="144"/>
      <c r="AAY238" s="144"/>
      <c r="AAZ238" s="144"/>
      <c r="ABA238" s="144"/>
      <c r="ABB238" s="144"/>
      <c r="ABC238" s="144"/>
      <c r="ABD238" s="144"/>
      <c r="ABE238" s="144"/>
      <c r="ABF238" s="144"/>
      <c r="ABG238" s="144"/>
      <c r="ABH238" s="144"/>
      <c r="ABI238" s="144"/>
      <c r="ABJ238" s="144"/>
      <c r="ABK238" s="144"/>
      <c r="ABL238" s="144"/>
      <c r="ABM238" s="144"/>
      <c r="ABN238" s="144"/>
      <c r="ABO238" s="144"/>
      <c r="ABP238" s="144"/>
      <c r="ABQ238" s="144"/>
      <c r="ACT238" s="144"/>
      <c r="AHV238" s="144"/>
      <c r="AHW238" s="144"/>
      <c r="AHX238" s="144"/>
      <c r="AHY238" s="144"/>
      <c r="AHZ238" s="144"/>
      <c r="AIA238" s="144"/>
      <c r="AIB238" s="144"/>
      <c r="AIC238" s="144"/>
      <c r="AID238" s="144"/>
      <c r="AIE238" s="144"/>
      <c r="AIF238" s="144"/>
      <c r="AIG238" s="144"/>
      <c r="AIH238" s="144"/>
      <c r="AII238" s="144"/>
      <c r="AIJ238" s="144"/>
      <c r="AIK238" s="144"/>
      <c r="AIL238" s="144"/>
      <c r="AIM238" s="825"/>
      <c r="AIN238" s="665" t="s">
        <v>442</v>
      </c>
      <c r="AIO238" s="666"/>
      <c r="AIP238" s="171"/>
      <c r="AIQ238" s="87"/>
      <c r="AIR238" s="87"/>
      <c r="AIS238" s="87"/>
      <c r="AIT238" s="87"/>
      <c r="AIU238" s="87"/>
      <c r="AIV238" s="87"/>
      <c r="AIW238" s="171"/>
      <c r="AIX238" s="85" t="s">
        <v>467</v>
      </c>
      <c r="AIY238" s="757" t="s">
        <v>461</v>
      </c>
      <c r="AIZ238" s="899"/>
      <c r="AJA238" s="819" t="s">
        <v>126</v>
      </c>
      <c r="AJB238" s="820"/>
      <c r="AJC238" s="675" t="s">
        <v>731</v>
      </c>
      <c r="AJD238" s="676"/>
      <c r="AJE238" s="821" t="s">
        <v>473</v>
      </c>
      <c r="AJF238" s="822"/>
      <c r="AJG238" s="822"/>
      <c r="AJH238" s="823"/>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44"/>
      <c r="AKR238" s="144"/>
      <c r="AKS238" s="144"/>
      <c r="AKT238" s="144"/>
      <c r="AKU238" s="144"/>
      <c r="AKV238" s="144"/>
      <c r="AKW238" s="144"/>
      <c r="AKX238" s="1"/>
      <c r="AKY238" s="1"/>
      <c r="AKZ238" s="1"/>
      <c r="ALA238" s="1"/>
      <c r="ALB238" s="1"/>
      <c r="ALC238" s="1"/>
      <c r="ALD238" s="1"/>
      <c r="ALE238" s="1"/>
      <c r="ALF238" s="1"/>
      <c r="ALG238" s="1"/>
      <c r="ALH238" s="1"/>
      <c r="ALI238" s="1"/>
      <c r="ALJ238" s="144"/>
      <c r="ALK238" s="144"/>
      <c r="ALL238" s="144"/>
      <c r="ALM238" s="144"/>
      <c r="ALN238" s="144"/>
      <c r="ALO238" s="144"/>
      <c r="ALP238" s="144"/>
      <c r="ALQ238" s="144"/>
      <c r="ALR238" s="144"/>
      <c r="ALS238" s="144"/>
      <c r="ALT238" s="144"/>
      <c r="ALU238" s="144"/>
      <c r="ALV238" s="144"/>
      <c r="ALW238" s="144"/>
      <c r="ALX238" s="144"/>
      <c r="ALY238" s="144"/>
      <c r="ALZ238" s="144"/>
      <c r="AMA238" s="144"/>
      <c r="AMB238" s="144"/>
      <c r="AMC238" s="144"/>
      <c r="AMD238" s="144"/>
      <c r="AME238" s="144"/>
      <c r="AMF238" s="144"/>
      <c r="AMG238" s="144"/>
      <c r="AMH238" s="144"/>
      <c r="AMI238" s="144"/>
      <c r="AMJ238" s="144"/>
      <c r="AMK238" s="144"/>
      <c r="AML238" s="144"/>
      <c r="AMM238" s="144"/>
      <c r="AMN238" s="144"/>
      <c r="AMO238" s="144"/>
      <c r="AMP238" s="144"/>
      <c r="AMQ238" s="144"/>
      <c r="AMR238" s="144"/>
      <c r="AMS238" s="144"/>
      <c r="AMT238" s="144"/>
      <c r="AMU238" s="144"/>
      <c r="AMV238" s="144"/>
      <c r="AMW238" s="144"/>
      <c r="AMX238" s="144"/>
      <c r="AMY238" s="144"/>
      <c r="AMZ238" s="144"/>
      <c r="ANA238" s="144"/>
      <c r="ANB238" s="144"/>
      <c r="ANC238" s="144"/>
      <c r="AND238" s="144"/>
      <c r="ANE238" s="144"/>
      <c r="ANF238" s="144"/>
      <c r="ANG238" s="144"/>
      <c r="ANH238" s="144"/>
      <c r="ANI238" s="144"/>
      <c r="ANJ238" s="144"/>
      <c r="ANK238" s="144"/>
      <c r="ANL238" s="144"/>
      <c r="ANM238" s="144"/>
      <c r="ANN238" s="144"/>
      <c r="ANO238" s="144"/>
      <c r="ANP238" s="144"/>
      <c r="ANQ238" s="144"/>
      <c r="ANR238" s="144"/>
      <c r="ANS238" s="144"/>
      <c r="ANT238" s="144"/>
      <c r="ANU238" s="144"/>
      <c r="ANV238" s="144"/>
      <c r="ANW238" s="144"/>
      <c r="ANX238" s="144"/>
      <c r="ANY238" s="144"/>
      <c r="ANZ238" s="144"/>
      <c r="AOA238" s="144"/>
      <c r="AOB238" s="144"/>
      <c r="AOC238" s="144"/>
      <c r="AOD238" s="144"/>
      <c r="AOE238" s="144"/>
      <c r="AOF238" s="144"/>
      <c r="AOG238" s="144"/>
      <c r="AOH238" s="144"/>
      <c r="AOI238" s="144"/>
      <c r="AOJ238" s="144"/>
      <c r="AOK238" s="144"/>
      <c r="AOL238" s="144"/>
      <c r="AOM238" s="144"/>
      <c r="AON238" s="144"/>
      <c r="AOO238" s="144"/>
      <c r="AOP238" s="144"/>
      <c r="AOQ238" s="144"/>
      <c r="AOR238" s="144"/>
      <c r="AOS238" s="144"/>
      <c r="AOT238" s="144"/>
      <c r="AOU238" s="144"/>
      <c r="AOV238" s="144"/>
      <c r="AOW238" s="144"/>
      <c r="AOX238" s="144"/>
      <c r="AOY238" s="144"/>
      <c r="AOZ238" s="144"/>
      <c r="APA238" s="144"/>
      <c r="APB238" s="144"/>
      <c r="APC238" s="144"/>
      <c r="APD238" s="144"/>
      <c r="APE238" s="144"/>
      <c r="APF238" s="144"/>
      <c r="APG238" s="144"/>
      <c r="APH238" s="144"/>
      <c r="API238" s="144"/>
      <c r="APJ238" s="144"/>
      <c r="APK238" s="144"/>
      <c r="APL238" s="144"/>
      <c r="APM238" s="144"/>
      <c r="APN238" s="144"/>
      <c r="APO238" s="144"/>
      <c r="APP238" s="144"/>
      <c r="APQ238" s="144"/>
      <c r="APR238" s="144"/>
      <c r="APS238" s="144"/>
      <c r="APT238" s="144"/>
      <c r="APU238" s="144"/>
      <c r="APV238" s="144"/>
      <c r="APW238" s="144"/>
      <c r="APX238" s="144"/>
      <c r="APY238" s="144"/>
      <c r="APZ238" s="144"/>
      <c r="AQA238" s="144"/>
      <c r="AQB238" s="144"/>
      <c r="AQC238" s="144"/>
      <c r="AQD238" s="144"/>
      <c r="AQE238" s="144"/>
      <c r="AQF238" s="144"/>
      <c r="AQG238" s="144"/>
      <c r="AQH238" s="144"/>
      <c r="AQI238" s="144"/>
      <c r="AQJ238" s="144"/>
      <c r="AQK238" s="144"/>
      <c r="AQL238" s="144"/>
      <c r="AQM238" s="144"/>
      <c r="AQN238" s="144"/>
      <c r="AQO238" s="144"/>
      <c r="AQP238" s="144"/>
      <c r="AQQ238" s="144"/>
      <c r="AQR238" s="144"/>
      <c r="AQS238" s="144"/>
      <c r="AQT238" s="144"/>
      <c r="AQU238" s="144"/>
      <c r="AQV238" s="144"/>
      <c r="AQW238" s="144"/>
      <c r="AQX238" s="144"/>
      <c r="AQY238" s="144"/>
      <c r="AQZ238" s="144"/>
      <c r="ARA238" s="144"/>
      <c r="ARB238" s="144"/>
      <c r="ARC238" s="144"/>
      <c r="ARD238" s="144"/>
      <c r="ARE238" s="144"/>
      <c r="ARF238" s="144"/>
      <c r="ARG238" s="144"/>
      <c r="ARH238" s="144"/>
      <c r="ARI238" s="144"/>
      <c r="ARJ238" s="144"/>
      <c r="ARK238" s="144"/>
      <c r="ARL238" s="144"/>
      <c r="ARM238" s="144"/>
      <c r="ARN238" s="144"/>
      <c r="ARO238" s="144"/>
      <c r="ARP238" s="144"/>
      <c r="ARQ238" s="144"/>
      <c r="ARR238" s="144"/>
      <c r="ARS238" s="144"/>
      <c r="ART238" s="144"/>
      <c r="ARU238" s="144"/>
      <c r="ARV238" s="144"/>
      <c r="ARW238" s="144"/>
      <c r="ARX238" s="144"/>
      <c r="ARY238" s="144"/>
      <c r="ARZ238" s="144"/>
      <c r="ASA238" s="144"/>
      <c r="ASB238" s="144"/>
      <c r="ASC238" s="144"/>
      <c r="ASD238" s="144"/>
      <c r="ASE238" s="144"/>
      <c r="ASF238" s="144"/>
    </row>
    <row r="239" spans="8:1176" ht="48" customHeight="1" thickBot="1">
      <c r="QU239" s="144"/>
      <c r="QV239" s="144"/>
      <c r="QW239" s="144"/>
      <c r="QX239" s="144"/>
      <c r="QY239" s="144"/>
      <c r="QZ239" s="144"/>
      <c r="RA239" s="144"/>
      <c r="RB239" s="144"/>
      <c r="RC239" s="144"/>
      <c r="RD239" s="144"/>
      <c r="RE239" s="144"/>
      <c r="RF239" s="144"/>
      <c r="RG239" s="144"/>
      <c r="XM239" s="144"/>
      <c r="XN239" s="144"/>
      <c r="XO239" s="827"/>
      <c r="XP239" s="949" t="s">
        <v>1631</v>
      </c>
      <c r="XQ239" s="962"/>
      <c r="XR239" s="963">
        <f>$YC$227</f>
        <v>4.135211982758622</v>
      </c>
      <c r="XS239" s="964"/>
      <c r="XT239" s="729"/>
      <c r="XU239" s="729"/>
      <c r="XV239" s="729"/>
      <c r="XW239" s="729"/>
      <c r="XX239" s="729"/>
      <c r="XY239" s="729"/>
      <c r="XZ239" s="729"/>
      <c r="YA239" s="729"/>
      <c r="YB239" s="729"/>
      <c r="YC239" s="1013"/>
      <c r="YD239" s="1013"/>
      <c r="YE239" s="1013"/>
      <c r="YF239" s="1013"/>
      <c r="YG239" s="1013"/>
      <c r="YH239" s="1013"/>
      <c r="YI239" s="1013"/>
      <c r="YJ239" s="1013"/>
      <c r="YK239" s="1013"/>
      <c r="YL239" s="892"/>
      <c r="YM239" s="893"/>
      <c r="YN239" s="893"/>
      <c r="YO239" s="893"/>
      <c r="YP239" s="893"/>
      <c r="YQ239" s="893"/>
      <c r="YR239" s="893"/>
      <c r="YS239" s="893"/>
      <c r="YT239" s="894"/>
      <c r="YZ239" s="144"/>
      <c r="AAH239" s="144"/>
      <c r="AAM239" s="144"/>
      <c r="AAN239" s="144"/>
      <c r="AAO239" s="144"/>
      <c r="AAP239" s="144"/>
      <c r="AAQ239" s="144"/>
      <c r="AAW239" s="144"/>
      <c r="AAX239" s="144"/>
      <c r="AAY239" s="144"/>
      <c r="AAZ239" s="144"/>
      <c r="ABA239" s="144"/>
      <c r="ABB239" s="144"/>
      <c r="ABC239" s="144"/>
      <c r="ABD239" s="144"/>
      <c r="ABE239" s="144"/>
      <c r="ABF239" s="144"/>
      <c r="ABG239" s="144"/>
      <c r="ABH239" s="144"/>
      <c r="ABI239" s="144"/>
      <c r="ABJ239" s="144"/>
      <c r="ABK239" s="144"/>
      <c r="ABL239" s="144"/>
      <c r="ABM239" s="144"/>
      <c r="ABN239" s="144"/>
      <c r="ABO239" s="144"/>
      <c r="ABP239" s="144"/>
      <c r="ABQ239" s="144"/>
      <c r="ACT239" s="144"/>
      <c r="AHV239" s="144"/>
      <c r="AHW239" s="144"/>
      <c r="AHX239" s="144"/>
      <c r="AHY239" s="144"/>
      <c r="AHZ239" s="144"/>
      <c r="AIA239" s="144"/>
      <c r="AIB239" s="144"/>
      <c r="AIC239" s="144"/>
      <c r="AID239" s="144"/>
      <c r="AIE239" s="144"/>
      <c r="AIF239" s="144"/>
      <c r="AIG239" s="144"/>
      <c r="AIH239" s="144"/>
      <c r="AII239" s="144"/>
      <c r="AIJ239" s="144"/>
      <c r="AIK239" s="144"/>
      <c r="AIL239" s="144"/>
      <c r="AIM239" s="826"/>
      <c r="AIN239" s="700"/>
      <c r="AIO239" s="701"/>
      <c r="AIP239" s="701"/>
      <c r="AIQ239" s="701"/>
      <c r="AIR239" s="701"/>
      <c r="AIS239" s="701"/>
      <c r="AIT239" s="701"/>
      <c r="AIU239" s="701"/>
      <c r="AIV239" s="701"/>
      <c r="AIW239" s="701"/>
      <c r="AIX239" s="701"/>
      <c r="AIY239" s="701"/>
      <c r="AIZ239" s="701"/>
      <c r="AJA239" s="763"/>
      <c r="AJB239" s="764"/>
      <c r="AJC239" s="700"/>
      <c r="AJD239" s="701"/>
      <c r="AJE239" s="714"/>
      <c r="AJF239" s="716" t="s">
        <v>442</v>
      </c>
      <c r="AJG239" s="717"/>
      <c r="AJH239" s="746"/>
      <c r="AKQ239" s="144"/>
      <c r="AKR239" s="144"/>
      <c r="AKS239" s="144"/>
      <c r="AKT239" s="144"/>
      <c r="AKU239" s="144"/>
      <c r="AKV239" s="144"/>
      <c r="AKW239" s="144"/>
      <c r="AKX239" s="229"/>
      <c r="AKY239" s="229"/>
      <c r="AKZ239" s="229"/>
      <c r="ALA239" s="229"/>
      <c r="ALB239" s="229"/>
      <c r="ALC239" s="229"/>
      <c r="ALD239" s="229"/>
      <c r="ALE239" s="229"/>
      <c r="ALF239" s="229"/>
      <c r="ALG239" s="229"/>
      <c r="ALH239" s="229"/>
      <c r="ALI239" s="229"/>
      <c r="ALJ239" s="144"/>
      <c r="ALK239" s="144"/>
      <c r="ALL239" s="144"/>
      <c r="ALM239" s="144"/>
      <c r="ALN239" s="144"/>
      <c r="ALO239" s="144"/>
      <c r="ALP239" s="144"/>
      <c r="ALQ239" s="144"/>
      <c r="ALR239" s="144"/>
      <c r="ALS239" s="144"/>
      <c r="ALT239" s="144"/>
      <c r="ALU239" s="144"/>
      <c r="ALV239" s="144"/>
      <c r="ALW239" s="144"/>
      <c r="ALX239" s="144"/>
      <c r="ALY239" s="144"/>
      <c r="ALZ239" s="144"/>
      <c r="AMA239" s="144"/>
      <c r="AMB239" s="144"/>
      <c r="AMC239" s="144"/>
      <c r="AMD239" s="144"/>
      <c r="AME239" s="144"/>
      <c r="AMF239" s="144"/>
      <c r="AMG239" s="144"/>
      <c r="AMH239" s="144"/>
      <c r="AMI239" s="144"/>
      <c r="AMJ239" s="144"/>
      <c r="AMK239" s="144"/>
      <c r="AML239" s="144"/>
      <c r="AMM239" s="144"/>
      <c r="AMN239" s="144"/>
      <c r="AMO239" s="144"/>
      <c r="AMP239" s="144"/>
      <c r="AMQ239" s="144"/>
      <c r="AMR239" s="144"/>
      <c r="AMS239" s="144"/>
      <c r="AMT239" s="144"/>
      <c r="AMU239" s="144"/>
      <c r="AMV239" s="144"/>
      <c r="AMW239" s="144"/>
      <c r="AMX239" s="144"/>
      <c r="AMY239" s="144"/>
      <c r="AMZ239" s="144"/>
      <c r="ANA239" s="144"/>
      <c r="ANB239" s="144"/>
      <c r="ANC239" s="144"/>
      <c r="AND239" s="144"/>
      <c r="ANE239" s="144"/>
      <c r="ANF239" s="144"/>
      <c r="ANG239" s="144"/>
      <c r="ANH239" s="144"/>
      <c r="ANI239" s="144"/>
      <c r="ANJ239" s="144"/>
      <c r="ANK239" s="144"/>
      <c r="ANL239" s="144"/>
      <c r="ANM239" s="144"/>
      <c r="ANN239" s="144"/>
      <c r="ANO239" s="144"/>
      <c r="ANP239" s="144"/>
      <c r="ANQ239" s="144"/>
      <c r="ANR239" s="144"/>
      <c r="ANS239" s="144"/>
      <c r="ANT239" s="144"/>
      <c r="ANU239" s="144"/>
      <c r="ANV239" s="144"/>
      <c r="ANW239" s="144"/>
      <c r="ANX239" s="144"/>
      <c r="ANY239" s="144"/>
      <c r="ANZ239" s="144"/>
      <c r="AOA239" s="144"/>
      <c r="AOB239" s="144"/>
      <c r="AOC239" s="144"/>
      <c r="AOD239" s="144"/>
      <c r="AOE239" s="144"/>
      <c r="AOF239" s="144"/>
      <c r="AOG239" s="144"/>
      <c r="AOH239" s="144"/>
      <c r="AOI239" s="144"/>
      <c r="AOJ239" s="144"/>
      <c r="AOK239" s="144"/>
      <c r="AOL239" s="144"/>
      <c r="AOM239" s="144"/>
      <c r="AON239" s="144"/>
      <c r="AOO239" s="144"/>
      <c r="AOP239" s="144"/>
      <c r="AOQ239" s="144"/>
      <c r="AOR239" s="144"/>
      <c r="AOS239" s="144"/>
      <c r="AOT239" s="144"/>
      <c r="AOU239" s="144"/>
      <c r="AOV239" s="144"/>
      <c r="AOW239" s="144"/>
      <c r="AOX239" s="144"/>
      <c r="AOY239" s="144"/>
      <c r="AOZ239" s="144"/>
      <c r="APA239" s="144"/>
      <c r="APB239" s="144"/>
      <c r="APC239" s="144"/>
      <c r="APD239" s="144"/>
      <c r="APE239" s="144"/>
      <c r="APF239" s="144"/>
      <c r="APG239" s="144"/>
      <c r="APH239" s="144"/>
      <c r="API239" s="144"/>
      <c r="APJ239" s="144"/>
      <c r="APK239" s="144"/>
      <c r="APL239" s="144"/>
      <c r="APM239" s="144"/>
      <c r="APN239" s="144"/>
      <c r="APO239" s="144"/>
      <c r="APP239" s="144"/>
      <c r="APQ239" s="144"/>
      <c r="APR239" s="144"/>
      <c r="APS239" s="144"/>
      <c r="APT239" s="144"/>
      <c r="APU239" s="144"/>
      <c r="APV239" s="144"/>
      <c r="APW239" s="144"/>
      <c r="APX239" s="144"/>
      <c r="APY239" s="144"/>
      <c r="APZ239" s="144"/>
      <c r="AQA239" s="144"/>
      <c r="AQB239" s="144"/>
      <c r="AQC239" s="144"/>
      <c r="AQD239" s="144"/>
      <c r="AQE239" s="144"/>
      <c r="AQF239" s="144"/>
      <c r="AQG239" s="144"/>
      <c r="AQH239" s="144"/>
      <c r="AQI239" s="144"/>
      <c r="AQJ239" s="144"/>
      <c r="AQK239" s="144"/>
      <c r="AQL239" s="144"/>
      <c r="AQM239" s="144"/>
      <c r="AQN239" s="144"/>
      <c r="AQO239" s="144"/>
      <c r="AQP239" s="144"/>
      <c r="AQQ239" s="144"/>
      <c r="AQR239" s="144"/>
      <c r="AQS239" s="144"/>
      <c r="AQT239" s="144"/>
      <c r="AQU239" s="144"/>
      <c r="AQV239" s="144"/>
      <c r="AQW239" s="144"/>
      <c r="AQX239" s="144"/>
      <c r="AQY239" s="144"/>
      <c r="AQZ239" s="144"/>
      <c r="ARA239" s="144"/>
      <c r="ARB239" s="144"/>
      <c r="ARC239" s="144"/>
      <c r="ARD239" s="144"/>
      <c r="ARE239" s="144"/>
      <c r="ARF239" s="144"/>
      <c r="ARG239" s="144"/>
      <c r="ARH239" s="144"/>
      <c r="ARI239" s="144"/>
      <c r="ARJ239" s="144"/>
      <c r="ARK239" s="144"/>
      <c r="ARL239" s="144"/>
      <c r="ARM239" s="144"/>
      <c r="ARN239" s="144"/>
      <c r="ARO239" s="144"/>
      <c r="ARP239" s="144"/>
      <c r="ARQ239" s="144"/>
      <c r="ARR239" s="144"/>
      <c r="ARS239" s="144"/>
      <c r="ART239" s="144"/>
      <c r="ARU239" s="144"/>
      <c r="ARV239" s="144"/>
      <c r="ARW239" s="144"/>
      <c r="ARX239" s="144"/>
      <c r="ARY239" s="144"/>
      <c r="ARZ239" s="144"/>
      <c r="ASA239" s="144"/>
      <c r="ASB239" s="144"/>
      <c r="ASC239" s="144"/>
      <c r="ASD239" s="144"/>
      <c r="ASE239" s="144"/>
      <c r="ASF239" s="144"/>
    </row>
    <row r="240" spans="8:1176" ht="48" customHeight="1" thickBot="1">
      <c r="QU240" s="144"/>
      <c r="QV240" s="144"/>
      <c r="QW240" s="144"/>
      <c r="QX240" s="144"/>
      <c r="QY240" s="144"/>
      <c r="QZ240" s="144"/>
      <c r="RA240" s="144"/>
      <c r="RB240" s="144"/>
      <c r="RC240" s="144"/>
      <c r="RD240" s="144"/>
      <c r="RE240" s="144"/>
      <c r="RF240" s="144"/>
      <c r="RG240" s="144"/>
      <c r="XM240" s="144"/>
      <c r="XN240" s="144"/>
      <c r="YZ240" s="144"/>
      <c r="AAH240" s="144"/>
      <c r="AAM240" s="144"/>
      <c r="AAN240" s="144"/>
      <c r="AAO240" s="144"/>
      <c r="AAP240" s="144"/>
      <c r="AAQ240" s="144"/>
      <c r="AAW240" s="144"/>
      <c r="AAX240" s="144"/>
      <c r="AAY240" s="144"/>
      <c r="AAZ240" s="144"/>
      <c r="ABA240" s="144"/>
      <c r="ABB240" s="144"/>
      <c r="ABC240" s="144"/>
      <c r="ABD240" s="144"/>
      <c r="ABE240" s="144"/>
      <c r="ABF240" s="144"/>
      <c r="ABG240" s="144"/>
      <c r="ABH240" s="144"/>
      <c r="ABI240" s="144"/>
      <c r="ABJ240" s="144"/>
      <c r="ABK240" s="144"/>
      <c r="ABL240" s="144"/>
      <c r="ABM240" s="144"/>
      <c r="ABN240" s="144"/>
      <c r="ABO240" s="144"/>
      <c r="ABP240" s="144"/>
      <c r="ABQ240" s="144"/>
      <c r="ACT240" s="144"/>
      <c r="AHV240" s="144"/>
      <c r="AHW240" s="144"/>
      <c r="AHX240" s="144"/>
      <c r="AHY240" s="144"/>
      <c r="AHZ240" s="144"/>
      <c r="AIA240" s="144"/>
      <c r="AIB240" s="144"/>
      <c r="AIC240" s="144"/>
      <c r="AID240" s="144"/>
      <c r="AIE240" s="144"/>
      <c r="AIF240" s="144"/>
      <c r="AIG240" s="144"/>
      <c r="AIH240" s="144"/>
      <c r="AII240" s="144"/>
      <c r="AIJ240" s="144"/>
      <c r="AIK240" s="144"/>
      <c r="AIL240" s="144"/>
      <c r="AIM240" s="827"/>
      <c r="AIN240" s="706"/>
      <c r="AIO240" s="707"/>
      <c r="AIP240" s="707"/>
      <c r="AIQ240" s="707"/>
      <c r="AIR240" s="707"/>
      <c r="AIS240" s="707"/>
      <c r="AIT240" s="707"/>
      <c r="AIU240" s="707"/>
      <c r="AIV240" s="707"/>
      <c r="AIW240" s="707"/>
      <c r="AIX240" s="707"/>
      <c r="AIY240" s="707"/>
      <c r="AIZ240" s="707"/>
      <c r="AJA240" s="765"/>
      <c r="AJB240" s="766"/>
      <c r="AJC240" s="706"/>
      <c r="AJD240" s="707"/>
      <c r="AJE240" s="715"/>
      <c r="AJF240" s="718"/>
      <c r="AJG240" s="719"/>
      <c r="AJH240" s="747"/>
      <c r="AKQ240" s="144"/>
      <c r="AKR240" s="144"/>
      <c r="AKS240" s="144"/>
      <c r="AKT240" s="144"/>
      <c r="AKU240" s="144"/>
      <c r="AKV240" s="144"/>
      <c r="AKW240" s="144"/>
      <c r="ALJ240" s="144"/>
      <c r="ALK240" s="144"/>
      <c r="ALL240" s="144"/>
      <c r="ALM240" s="144"/>
      <c r="ALN240" s="144"/>
      <c r="ALO240" s="144"/>
      <c r="ALP240" s="144"/>
      <c r="ALQ240" s="144"/>
      <c r="ALR240" s="144"/>
      <c r="ALS240" s="144"/>
      <c r="ALT240" s="144"/>
      <c r="ALU240" s="144"/>
      <c r="ALV240" s="144"/>
      <c r="ALW240" s="144"/>
      <c r="ALX240" s="144"/>
      <c r="ALY240" s="144"/>
      <c r="ALZ240" s="144"/>
      <c r="AMA240" s="144"/>
      <c r="AMB240" s="144"/>
      <c r="AMC240" s="144"/>
      <c r="AMD240" s="144"/>
      <c r="AME240" s="144"/>
      <c r="AMF240" s="144"/>
      <c r="AMG240" s="144"/>
      <c r="AMH240" s="144"/>
      <c r="AMI240" s="144"/>
      <c r="AMJ240" s="144"/>
      <c r="AMK240" s="144"/>
      <c r="AML240" s="144"/>
      <c r="AMM240" s="144"/>
      <c r="AMN240" s="144"/>
      <c r="AMO240" s="144"/>
      <c r="AMP240" s="144"/>
      <c r="AMQ240" s="144"/>
      <c r="AMR240" s="144"/>
      <c r="AMS240" s="144"/>
      <c r="AMT240" s="144"/>
      <c r="AMU240" s="144"/>
      <c r="AMV240" s="144"/>
      <c r="AMW240" s="144"/>
      <c r="AMX240" s="144"/>
      <c r="AMY240" s="144"/>
      <c r="AMZ240" s="144"/>
      <c r="ANA240" s="144"/>
      <c r="ANB240" s="144"/>
      <c r="ANC240" s="144"/>
      <c r="AND240" s="144"/>
      <c r="ANE240" s="144"/>
      <c r="ANF240" s="144"/>
      <c r="ANG240" s="144"/>
      <c r="ANH240" s="144"/>
      <c r="ANI240" s="144"/>
      <c r="ANJ240" s="144"/>
      <c r="ANK240" s="144"/>
      <c r="ANL240" s="144"/>
      <c r="ANM240" s="144"/>
      <c r="ANN240" s="144"/>
      <c r="ANO240" s="144"/>
      <c r="ANP240" s="144"/>
      <c r="ANQ240" s="144"/>
      <c r="ANR240" s="144"/>
      <c r="ANS240" s="144"/>
      <c r="ANT240" s="144"/>
      <c r="ANU240" s="144"/>
      <c r="ANV240" s="144"/>
      <c r="ANW240" s="144"/>
      <c r="ANX240" s="144"/>
      <c r="ANY240" s="144"/>
      <c r="ANZ240" s="144"/>
      <c r="AOA240" s="144"/>
      <c r="AOB240" s="144"/>
      <c r="AOC240" s="144"/>
      <c r="AOD240" s="144"/>
      <c r="AOE240" s="144"/>
      <c r="AOF240" s="144"/>
      <c r="AOG240" s="144"/>
      <c r="AOH240" s="144"/>
      <c r="AOI240" s="144"/>
      <c r="AOJ240" s="144"/>
      <c r="AOK240" s="144"/>
      <c r="AOL240" s="144"/>
      <c r="AOM240" s="144"/>
      <c r="AON240" s="144"/>
      <c r="AOO240" s="144"/>
      <c r="AOP240" s="144"/>
      <c r="AOQ240" s="144"/>
      <c r="AOR240" s="144"/>
      <c r="AOS240" s="144"/>
      <c r="AOT240" s="144"/>
      <c r="AOU240" s="144"/>
      <c r="AOV240" s="144"/>
      <c r="AOW240" s="144"/>
      <c r="AOX240" s="144"/>
      <c r="AOY240" s="144"/>
      <c r="AOZ240" s="144"/>
      <c r="APA240" s="144"/>
      <c r="APB240" s="144"/>
      <c r="APC240" s="144"/>
      <c r="APD240" s="144"/>
      <c r="APE240" s="144"/>
      <c r="APF240" s="144"/>
      <c r="APG240" s="144"/>
      <c r="APH240" s="144"/>
      <c r="API240" s="144"/>
      <c r="APJ240" s="144"/>
      <c r="APK240" s="144"/>
      <c r="APL240" s="144"/>
      <c r="APM240" s="144"/>
      <c r="APN240" s="144"/>
      <c r="APO240" s="144"/>
      <c r="APP240" s="144"/>
      <c r="APQ240" s="144"/>
      <c r="APR240" s="144"/>
      <c r="APS240" s="144"/>
      <c r="APT240" s="144"/>
      <c r="APU240" s="144"/>
      <c r="APV240" s="144"/>
      <c r="APW240" s="144"/>
      <c r="APX240" s="144"/>
      <c r="APY240" s="144"/>
      <c r="APZ240" s="144"/>
      <c r="AQA240" s="144"/>
      <c r="AQB240" s="144"/>
      <c r="AQC240" s="144"/>
      <c r="AQD240" s="144"/>
      <c r="AQE240" s="144"/>
      <c r="AQF240" s="144"/>
      <c r="AQG240" s="144"/>
      <c r="AQH240" s="144"/>
      <c r="AQI240" s="144"/>
      <c r="AQJ240" s="144"/>
      <c r="AQK240" s="144"/>
      <c r="AQL240" s="144"/>
      <c r="AQM240" s="144"/>
      <c r="AQN240" s="144"/>
      <c r="AQO240" s="144"/>
      <c r="AQP240" s="144"/>
      <c r="AQQ240" s="144"/>
      <c r="AQR240" s="144"/>
      <c r="AQS240" s="144"/>
      <c r="AQT240" s="144"/>
      <c r="AQU240" s="144"/>
      <c r="AQV240" s="144"/>
      <c r="AQW240" s="144"/>
      <c r="AQX240" s="144"/>
      <c r="AQY240" s="144"/>
      <c r="AQZ240" s="144"/>
      <c r="ARA240" s="144"/>
      <c r="ARB240" s="144"/>
      <c r="ARC240" s="144"/>
      <c r="ARD240" s="144"/>
      <c r="ARE240" s="144"/>
      <c r="ARF240" s="144"/>
      <c r="ARG240" s="144"/>
      <c r="ARH240" s="144"/>
      <c r="ARI240" s="144"/>
      <c r="ARJ240" s="144"/>
      <c r="ARK240" s="144"/>
      <c r="ARL240" s="144"/>
      <c r="ARM240" s="144"/>
      <c r="ARN240" s="144"/>
      <c r="ARO240" s="144"/>
      <c r="ARP240" s="144"/>
      <c r="ARQ240" s="144"/>
      <c r="ARR240" s="144"/>
      <c r="ARS240" s="144"/>
      <c r="ART240" s="144"/>
      <c r="ARU240" s="144"/>
      <c r="ARV240" s="144"/>
      <c r="ARW240" s="144"/>
      <c r="ARX240" s="144"/>
      <c r="ARY240" s="144"/>
      <c r="ARZ240" s="144"/>
      <c r="ASA240" s="144"/>
      <c r="ASB240" s="144"/>
      <c r="ASC240" s="144"/>
      <c r="ASD240" s="144"/>
      <c r="ASE240" s="144"/>
      <c r="ASF240" s="144"/>
    </row>
    <row r="241" spans="329:1176" ht="48" customHeight="1">
      <c r="QU241" s="144"/>
      <c r="QV241" s="144"/>
      <c r="QW241" s="144"/>
      <c r="QX241" s="144"/>
      <c r="QY241" s="144"/>
      <c r="QZ241" s="144"/>
      <c r="RA241" s="144"/>
      <c r="RB241" s="144"/>
      <c r="RC241" s="144"/>
      <c r="RD241" s="144"/>
      <c r="RE241" s="144"/>
      <c r="RF241" s="144"/>
      <c r="RG241" s="144"/>
      <c r="XM241" s="144"/>
      <c r="XN241" s="144"/>
      <c r="XQ241" s="216"/>
      <c r="XR241" s="665" t="s">
        <v>942</v>
      </c>
      <c r="XS241" s="667"/>
      <c r="XT241" s="216"/>
      <c r="XU241" s="728" t="s">
        <v>1149</v>
      </c>
      <c r="XV241" s="1053"/>
      <c r="XW241" s="1053"/>
      <c r="XX241" s="1053"/>
      <c r="XY241" s="1053"/>
      <c r="XZ241" s="1053"/>
      <c r="YA241" s="1053"/>
      <c r="YB241" s="1053"/>
      <c r="YC241" s="1053"/>
      <c r="YD241" s="1053"/>
      <c r="YE241" s="1054"/>
      <c r="YF241" s="216"/>
      <c r="YZ241" s="144"/>
      <c r="AAH241" s="144"/>
      <c r="AAI241" s="144"/>
      <c r="AAJ241" s="144"/>
      <c r="AAK241" s="144"/>
      <c r="AAL241" s="144"/>
      <c r="AAM241" s="144"/>
      <c r="AAN241" s="144"/>
      <c r="AAO241" s="144"/>
      <c r="AAP241" s="144"/>
      <c r="AAQ241" s="144"/>
      <c r="AAW241" s="144"/>
      <c r="AAX241" s="144"/>
      <c r="AAY241" s="144"/>
      <c r="AAZ241" s="144"/>
      <c r="ABA241" s="144"/>
      <c r="ABB241" s="144"/>
      <c r="ABC241" s="144"/>
      <c r="ABD241" s="144"/>
      <c r="ABE241" s="144"/>
      <c r="ABF241" s="144"/>
      <c r="ABG241" s="144"/>
      <c r="ABH241" s="144"/>
      <c r="ABI241" s="144"/>
      <c r="ABJ241" s="144"/>
      <c r="ABK241" s="144"/>
      <c r="ABL241" s="144"/>
      <c r="ABM241" s="144"/>
      <c r="ABN241" s="144"/>
      <c r="ABO241" s="144"/>
      <c r="ABP241" s="144"/>
      <c r="ABQ241" s="144"/>
      <c r="ACT241" s="144"/>
      <c r="AHV241" s="144"/>
      <c r="AHW241" s="144"/>
      <c r="AHX241" s="144"/>
      <c r="AHY241" s="144"/>
      <c r="AHZ241" s="144"/>
      <c r="AIA241" s="144"/>
      <c r="AIB241" s="144"/>
      <c r="AIC241" s="144"/>
      <c r="AID241" s="144"/>
      <c r="AIE241" s="144"/>
      <c r="AIF241" s="144"/>
      <c r="AIG241" s="144"/>
      <c r="AIH241" s="144"/>
      <c r="AII241" s="144"/>
      <c r="AIJ241" s="144"/>
      <c r="AIK241" s="144"/>
      <c r="AIL241" s="144"/>
      <c r="AKQ241" s="144"/>
      <c r="AKR241" s="144"/>
      <c r="AKS241" s="144"/>
      <c r="AKT241" s="144"/>
      <c r="AKU241" s="144"/>
      <c r="AKV241" s="144"/>
      <c r="AKW241" s="144"/>
      <c r="ALJ241" s="144"/>
      <c r="ALK241" s="144"/>
      <c r="ALL241" s="144"/>
      <c r="ALM241" s="144"/>
      <c r="ALN241" s="144"/>
      <c r="ALO241" s="144"/>
      <c r="ALP241" s="144"/>
      <c r="ALQ241" s="144"/>
      <c r="ALR241" s="144"/>
      <c r="ALS241" s="144"/>
      <c r="ALT241" s="144"/>
      <c r="ALU241" s="144"/>
      <c r="ALV241" s="144"/>
      <c r="ALW241" s="144"/>
      <c r="ALX241" s="144"/>
      <c r="ALY241" s="144"/>
      <c r="ALZ241" s="144"/>
      <c r="AMA241" s="144"/>
      <c r="AMB241" s="144"/>
      <c r="AMC241" s="144"/>
      <c r="AMD241" s="144"/>
      <c r="AME241" s="144"/>
      <c r="AMF241" s="144"/>
      <c r="AMG241" s="144"/>
      <c r="AMH241" s="144"/>
      <c r="AMI241" s="144"/>
      <c r="AMJ241" s="144"/>
      <c r="AMK241" s="144"/>
      <c r="AML241" s="144"/>
      <c r="AMM241" s="144"/>
      <c r="AMN241" s="144"/>
      <c r="AMO241" s="144"/>
      <c r="AMP241" s="144"/>
      <c r="AMQ241" s="144"/>
      <c r="AMR241" s="144"/>
      <c r="AMS241" s="144"/>
      <c r="AMT241" s="144"/>
      <c r="AMU241" s="144"/>
      <c r="AMV241" s="144"/>
      <c r="AMW241" s="144"/>
      <c r="AMX241" s="144"/>
      <c r="AMY241" s="144"/>
      <c r="AMZ241" s="144"/>
      <c r="ANA241" s="144"/>
      <c r="ANB241" s="144"/>
      <c r="ANC241" s="144"/>
      <c r="AND241" s="144"/>
      <c r="ANE241" s="144"/>
      <c r="ANF241" s="144"/>
      <c r="ANG241" s="144"/>
      <c r="ANH241" s="144"/>
      <c r="ANI241" s="144"/>
      <c r="ANJ241" s="144"/>
      <c r="ANK241" s="144"/>
      <c r="ANL241" s="144"/>
      <c r="ANM241" s="144"/>
      <c r="ANN241" s="144"/>
      <c r="ANO241" s="144"/>
      <c r="ANP241" s="144"/>
      <c r="ANQ241" s="144"/>
      <c r="ANR241" s="144"/>
      <c r="ANS241" s="144"/>
      <c r="ANT241" s="144"/>
      <c r="ANU241" s="144"/>
      <c r="ANV241" s="144"/>
      <c r="ANW241" s="144"/>
      <c r="ANX241" s="144"/>
      <c r="ANY241" s="144"/>
      <c r="ANZ241" s="144"/>
      <c r="AOA241" s="144"/>
      <c r="AOB241" s="144"/>
      <c r="AOC241" s="144"/>
      <c r="AOD241" s="144"/>
      <c r="AOE241" s="144"/>
      <c r="AOF241" s="144"/>
      <c r="AOG241" s="144"/>
      <c r="AOH241" s="144"/>
      <c r="AOI241" s="144"/>
      <c r="AOJ241" s="144"/>
      <c r="AOK241" s="144"/>
      <c r="AOL241" s="144"/>
      <c r="AOM241" s="144"/>
      <c r="AON241" s="144"/>
      <c r="AOO241" s="144"/>
      <c r="AOP241" s="144"/>
      <c r="AOQ241" s="144"/>
      <c r="AOR241" s="144"/>
      <c r="AOS241" s="144"/>
      <c r="AOT241" s="144"/>
      <c r="AOU241" s="144"/>
      <c r="AOV241" s="144"/>
      <c r="AOW241" s="144"/>
      <c r="AOX241" s="144"/>
      <c r="AOY241" s="144"/>
      <c r="AOZ241" s="144"/>
      <c r="APA241" s="144"/>
      <c r="APB241" s="144"/>
      <c r="APC241" s="144"/>
      <c r="APD241" s="144"/>
      <c r="APE241" s="144"/>
      <c r="APF241" s="144"/>
      <c r="APG241" s="144"/>
      <c r="APH241" s="144"/>
      <c r="API241" s="144"/>
      <c r="APJ241" s="144"/>
      <c r="APK241" s="144"/>
      <c r="APL241" s="144"/>
      <c r="APM241" s="144"/>
      <c r="APN241" s="144"/>
      <c r="APO241" s="144"/>
      <c r="APP241" s="144"/>
      <c r="APQ241" s="144"/>
      <c r="APR241" s="144"/>
      <c r="APS241" s="144"/>
      <c r="APT241" s="144"/>
      <c r="APU241" s="144"/>
      <c r="APV241" s="144"/>
      <c r="APW241" s="144"/>
      <c r="APX241" s="144"/>
      <c r="APY241" s="144"/>
      <c r="APZ241" s="144"/>
      <c r="AQA241" s="144"/>
      <c r="AQB241" s="144"/>
      <c r="AQC241" s="144"/>
      <c r="AQD241" s="144"/>
      <c r="AQE241" s="144"/>
      <c r="AQF241" s="144"/>
      <c r="AQG241" s="144"/>
      <c r="AQH241" s="144"/>
      <c r="AQI241" s="144"/>
      <c r="AQJ241" s="144"/>
      <c r="AQK241" s="144"/>
      <c r="AQL241" s="144"/>
      <c r="AQM241" s="144"/>
      <c r="AQN241" s="144"/>
      <c r="AQO241" s="144"/>
      <c r="AQP241" s="144"/>
      <c r="AQQ241" s="144"/>
      <c r="AQR241" s="144"/>
      <c r="AQS241" s="144"/>
      <c r="AQT241" s="144"/>
      <c r="AQU241" s="144"/>
      <c r="AQV241" s="144"/>
      <c r="AQW241" s="144"/>
      <c r="AQX241" s="144"/>
      <c r="AQY241" s="144"/>
      <c r="AQZ241" s="144"/>
      <c r="ARA241" s="144"/>
      <c r="ARB241" s="144"/>
      <c r="ARC241" s="144"/>
      <c r="ARD241" s="144"/>
      <c r="ARE241" s="144"/>
      <c r="ARF241" s="144"/>
      <c r="ARG241" s="144"/>
      <c r="ARH241" s="144"/>
      <c r="ARI241" s="144"/>
      <c r="ARJ241" s="144"/>
      <c r="ARK241" s="144"/>
      <c r="ARL241" s="144"/>
      <c r="ARM241" s="144"/>
      <c r="ARN241" s="144"/>
      <c r="ARO241" s="144"/>
      <c r="ARP241" s="144"/>
      <c r="ARQ241" s="144"/>
      <c r="ARR241" s="144"/>
      <c r="ARS241" s="144"/>
      <c r="ART241" s="144"/>
      <c r="ARU241" s="144"/>
      <c r="ARV241" s="144"/>
      <c r="ARW241" s="144"/>
      <c r="ARX241" s="144"/>
      <c r="ARY241" s="144"/>
      <c r="ARZ241" s="144"/>
      <c r="ASA241" s="144"/>
      <c r="ASB241" s="144"/>
      <c r="ASC241" s="144"/>
      <c r="ASD241" s="144"/>
      <c r="ASE241" s="144"/>
      <c r="ASF241" s="144"/>
    </row>
    <row r="242" spans="329:1176" ht="48" customHeight="1">
      <c r="QU242" s="144"/>
      <c r="QV242" s="144"/>
      <c r="QW242" s="144"/>
      <c r="QX242" s="144"/>
      <c r="QY242" s="144"/>
      <c r="QZ242" s="144"/>
      <c r="RA242" s="144"/>
      <c r="RB242" s="144"/>
      <c r="RC242" s="144"/>
      <c r="RD242" s="144"/>
      <c r="RE242" s="144"/>
      <c r="RF242" s="144"/>
      <c r="RG242" s="144"/>
      <c r="XM242" s="144"/>
      <c r="XN242" s="144"/>
      <c r="YZ242" s="144"/>
      <c r="AAH242" s="144"/>
      <c r="AAI242" s="144"/>
      <c r="AAJ242" s="144"/>
      <c r="AAK242" s="144"/>
      <c r="AAL242" s="144"/>
      <c r="AAM242" s="144"/>
      <c r="AAN242" s="144"/>
      <c r="AAO242" s="144"/>
      <c r="AAP242" s="144"/>
      <c r="AAQ242" s="144"/>
      <c r="AAW242" s="144"/>
      <c r="AAX242" s="144"/>
      <c r="AAY242" s="144"/>
      <c r="AAZ242" s="144"/>
      <c r="ABA242" s="144"/>
      <c r="ABB242" s="144"/>
      <c r="ABC242" s="144"/>
      <c r="ABD242" s="144"/>
      <c r="ABE242" s="144"/>
      <c r="ABF242" s="144"/>
      <c r="ABG242" s="144"/>
      <c r="ABH242" s="144"/>
      <c r="ABI242" s="144"/>
      <c r="ABJ242" s="144"/>
      <c r="ABK242" s="144"/>
      <c r="ABL242" s="144"/>
      <c r="ABM242" s="144"/>
      <c r="ABN242" s="144"/>
      <c r="ABO242" s="144"/>
      <c r="ABP242" s="144"/>
      <c r="ABQ242" s="144"/>
      <c r="ACT242" s="144"/>
      <c r="AHV242" s="144"/>
      <c r="AHW242" s="144"/>
      <c r="AHX242" s="144"/>
      <c r="AHY242" s="144"/>
      <c r="AHZ242" s="144"/>
      <c r="AIA242" s="144"/>
      <c r="AIB242" s="144"/>
      <c r="AIC242" s="144"/>
      <c r="AID242" s="144"/>
      <c r="AIE242" s="144"/>
      <c r="AIF242" s="144"/>
      <c r="AIG242" s="144"/>
      <c r="AIH242" s="144"/>
      <c r="AII242" s="144"/>
      <c r="AIJ242" s="144"/>
      <c r="AIK242" s="144"/>
      <c r="AIL242" s="144"/>
      <c r="AKQ242" s="144"/>
      <c r="AKR242" s="144"/>
      <c r="AKS242" s="144"/>
      <c r="AKT242" s="144"/>
      <c r="AKU242" s="144"/>
      <c r="AKV242" s="144"/>
      <c r="AKW242" s="144"/>
      <c r="ALJ242" s="144"/>
      <c r="ALK242" s="144"/>
      <c r="ALL242" s="144"/>
      <c r="ALM242" s="144"/>
      <c r="ALN242" s="144"/>
      <c r="ALO242" s="144"/>
      <c r="ALP242" s="144"/>
      <c r="ALQ242" s="144"/>
      <c r="ALR242" s="144"/>
      <c r="ALS242" s="144"/>
      <c r="ALT242" s="144"/>
      <c r="ALU242" s="144"/>
      <c r="ALV242" s="144"/>
      <c r="ALW242" s="144"/>
      <c r="ALX242" s="144"/>
      <c r="ALY242" s="144"/>
      <c r="ALZ242" s="144"/>
      <c r="AMA242" s="144"/>
      <c r="AMB242" s="144"/>
      <c r="AMC242" s="144"/>
      <c r="AMD242" s="144"/>
      <c r="AME242" s="144"/>
      <c r="AMF242" s="144"/>
      <c r="AMG242" s="144"/>
      <c r="AMH242" s="144"/>
      <c r="AMI242" s="144"/>
      <c r="AMJ242" s="144"/>
      <c r="AMK242" s="144"/>
      <c r="AML242" s="144"/>
      <c r="AMM242" s="144"/>
      <c r="AMN242" s="144"/>
      <c r="AMO242" s="144"/>
      <c r="AMP242" s="144"/>
      <c r="AMQ242" s="144"/>
      <c r="AMR242" s="144"/>
      <c r="AMS242" s="144"/>
      <c r="AMT242" s="144"/>
      <c r="AMU242" s="144"/>
      <c r="AMV242" s="144"/>
      <c r="AMW242" s="144"/>
      <c r="AMX242" s="144"/>
      <c r="AMY242" s="144"/>
      <c r="AMZ242" s="144"/>
      <c r="ANA242" s="144"/>
      <c r="ANB242" s="144"/>
      <c r="ANC242" s="144"/>
      <c r="AND242" s="144"/>
      <c r="ANE242" s="144"/>
      <c r="ANF242" s="144"/>
      <c r="ANG242" s="144"/>
      <c r="ANH242" s="144"/>
      <c r="ANI242" s="144"/>
      <c r="ANJ242" s="144"/>
      <c r="ANK242" s="144"/>
      <c r="ANL242" s="144"/>
      <c r="ANM242" s="144"/>
      <c r="ANN242" s="144"/>
      <c r="ANO242" s="144"/>
      <c r="ANP242" s="144"/>
      <c r="ANQ242" s="144"/>
      <c r="ANR242" s="144"/>
      <c r="ANS242" s="144"/>
      <c r="ANT242" s="144"/>
      <c r="ANU242" s="144"/>
      <c r="ANV242" s="144"/>
      <c r="ANW242" s="144"/>
      <c r="ANX242" s="144"/>
      <c r="ANY242" s="144"/>
      <c r="ANZ242" s="144"/>
      <c r="AOA242" s="144"/>
      <c r="AOB242" s="144"/>
      <c r="AOC242" s="144"/>
      <c r="AOD242" s="144"/>
      <c r="AOE242" s="144"/>
      <c r="AOF242" s="144"/>
      <c r="AOG242" s="144"/>
      <c r="AOH242" s="144"/>
      <c r="AOI242" s="144"/>
      <c r="AOJ242" s="144"/>
      <c r="AOK242" s="144"/>
      <c r="AOL242" s="144"/>
      <c r="AOM242" s="144"/>
      <c r="AON242" s="144"/>
      <c r="AOO242" s="144"/>
      <c r="AOP242" s="144"/>
      <c r="AOQ242" s="144"/>
      <c r="AOR242" s="144"/>
      <c r="AOS242" s="144"/>
      <c r="AOT242" s="144"/>
      <c r="AOU242" s="144"/>
      <c r="AOV242" s="144"/>
      <c r="AOW242" s="144"/>
      <c r="AOX242" s="144"/>
      <c r="AOY242" s="144"/>
      <c r="AOZ242" s="144"/>
      <c r="APA242" s="144"/>
      <c r="APB242" s="144"/>
      <c r="APC242" s="144"/>
      <c r="APD242" s="144"/>
      <c r="APE242" s="144"/>
      <c r="APF242" s="144"/>
      <c r="APG242" s="144"/>
      <c r="APH242" s="144"/>
      <c r="API242" s="144"/>
      <c r="APJ242" s="144"/>
      <c r="APK242" s="144"/>
      <c r="APL242" s="144"/>
      <c r="APM242" s="144"/>
      <c r="APN242" s="144"/>
      <c r="APO242" s="144"/>
      <c r="APP242" s="144"/>
      <c r="APQ242" s="144"/>
      <c r="APR242" s="144"/>
      <c r="APS242" s="144"/>
      <c r="APT242" s="144"/>
      <c r="APU242" s="144"/>
      <c r="APV242" s="144"/>
      <c r="APW242" s="144"/>
      <c r="APX242" s="144"/>
      <c r="APY242" s="144"/>
      <c r="APZ242" s="144"/>
      <c r="AQA242" s="144"/>
      <c r="AQB242" s="144"/>
      <c r="AQC242" s="144"/>
      <c r="AQD242" s="144"/>
      <c r="AQE242" s="144"/>
      <c r="AQF242" s="144"/>
      <c r="AQG242" s="144"/>
      <c r="AQH242" s="144"/>
      <c r="AQI242" s="144"/>
      <c r="AQJ242" s="144"/>
      <c r="AQK242" s="144"/>
      <c r="AQL242" s="144"/>
      <c r="AQM242" s="144"/>
      <c r="AQN242" s="144"/>
      <c r="AQO242" s="144"/>
      <c r="AQP242" s="144"/>
      <c r="AQQ242" s="144"/>
      <c r="AQR242" s="144"/>
      <c r="AQS242" s="144"/>
      <c r="AQT242" s="144"/>
      <c r="AQU242" s="144"/>
      <c r="AQV242" s="144"/>
      <c r="AQW242" s="144"/>
      <c r="AQX242" s="144"/>
      <c r="AQY242" s="144"/>
      <c r="AQZ242" s="144"/>
      <c r="ARA242" s="144"/>
      <c r="ARB242" s="144"/>
      <c r="ARC242" s="144"/>
      <c r="ARD242" s="144"/>
      <c r="ARE242" s="144"/>
      <c r="ARF242" s="144"/>
      <c r="ARG242" s="144"/>
      <c r="ARH242" s="144"/>
      <c r="ARI242" s="144"/>
      <c r="ARJ242" s="144"/>
      <c r="ARK242" s="144"/>
      <c r="ARL242" s="144"/>
      <c r="ARM242" s="144"/>
      <c r="ARN242" s="144"/>
      <c r="ARO242" s="144"/>
      <c r="ARP242" s="144"/>
      <c r="ARQ242" s="144"/>
      <c r="ARR242" s="144"/>
      <c r="ARS242" s="144"/>
      <c r="ART242" s="144"/>
      <c r="ARU242" s="144"/>
      <c r="ARV242" s="144"/>
      <c r="ARW242" s="144"/>
      <c r="ARX242" s="144"/>
      <c r="ARY242" s="144"/>
      <c r="ARZ242" s="144"/>
      <c r="ASA242" s="144"/>
      <c r="ASB242" s="144"/>
      <c r="ASC242" s="144"/>
      <c r="ASD242" s="144"/>
      <c r="ASE242" s="144"/>
      <c r="ASF242" s="144"/>
    </row>
    <row r="243" spans="329:1176" ht="48" customHeight="1" thickBot="1">
      <c r="QU243" s="144"/>
      <c r="QV243" s="144"/>
      <c r="QW243" s="144"/>
      <c r="QX243" s="144"/>
      <c r="QY243" s="144"/>
      <c r="QZ243" s="144"/>
      <c r="RA243" s="144"/>
      <c r="RB243" s="144"/>
      <c r="RC243" s="144"/>
      <c r="RD243" s="144"/>
      <c r="RE243" s="144"/>
      <c r="RF243" s="144"/>
      <c r="RG243" s="144"/>
      <c r="XM243" s="144"/>
      <c r="XN243" s="144"/>
      <c r="XO243" s="825"/>
      <c r="XP243" s="665" t="s">
        <v>442</v>
      </c>
      <c r="XQ243" s="666"/>
      <c r="XR243" s="156"/>
      <c r="XS243" s="87"/>
      <c r="XT243" s="87"/>
      <c r="XU243" s="87"/>
      <c r="XV243" s="87"/>
      <c r="XW243" s="87"/>
      <c r="XX243" s="87"/>
      <c r="XY243" s="156"/>
      <c r="XZ243" s="85" t="s">
        <v>467</v>
      </c>
      <c r="YA243" s="757" t="s">
        <v>461</v>
      </c>
      <c r="YB243" s="758"/>
      <c r="YC243" s="819" t="s">
        <v>126</v>
      </c>
      <c r="YD243" s="820"/>
      <c r="YE243" s="675" t="s">
        <v>731</v>
      </c>
      <c r="YF243" s="676"/>
      <c r="YG243" s="769" t="s">
        <v>473</v>
      </c>
      <c r="YH243" s="769"/>
      <c r="YI243" s="769"/>
      <c r="YJ243" s="769"/>
      <c r="YK243" s="769"/>
      <c r="YL243" s="821" t="s">
        <v>462</v>
      </c>
      <c r="YM243" s="822"/>
      <c r="YN243" s="822"/>
      <c r="YO243" s="822"/>
      <c r="YP243" s="822"/>
      <c r="YQ243" s="823"/>
      <c r="YZ243" s="144"/>
      <c r="AAH243" s="144"/>
      <c r="AAI243" s="144"/>
      <c r="AAJ243" s="144"/>
      <c r="AAK243" s="144"/>
      <c r="AAL243" s="144"/>
      <c r="AAM243" s="144"/>
      <c r="AAN243" s="144"/>
      <c r="AAO243" s="144"/>
      <c r="AAP243" s="144"/>
      <c r="AAQ243" s="144"/>
      <c r="AAW243" s="144"/>
      <c r="AAX243" s="144"/>
      <c r="AAY243" s="144"/>
      <c r="AAZ243" s="144"/>
      <c r="ABA243" s="144"/>
      <c r="ABB243" s="144"/>
      <c r="ABC243" s="144"/>
      <c r="ABD243" s="144"/>
      <c r="ABE243" s="144"/>
      <c r="ABF243" s="144"/>
      <c r="ABG243" s="144"/>
      <c r="ABH243" s="144"/>
      <c r="ABI243" s="144"/>
      <c r="ABJ243" s="144"/>
      <c r="ABK243" s="144"/>
      <c r="ABL243" s="144"/>
      <c r="ABM243" s="144"/>
      <c r="ABN243" s="144"/>
      <c r="ABO243" s="144"/>
      <c r="ABP243" s="144"/>
      <c r="ABQ243" s="144"/>
      <c r="ACT243" s="144"/>
      <c r="AHV243" s="144"/>
      <c r="AHW243" s="144"/>
      <c r="AHX243" s="144"/>
      <c r="AHY243" s="144"/>
      <c r="AHZ243" s="144"/>
      <c r="AIA243" s="144"/>
      <c r="AIB243" s="144"/>
      <c r="AIC243" s="144"/>
      <c r="AID243" s="144"/>
      <c r="AIE243" s="144"/>
      <c r="AIF243" s="144"/>
      <c r="AIG243" s="144"/>
      <c r="AIH243" s="144"/>
      <c r="AII243" s="144"/>
      <c r="AIJ243" s="144"/>
      <c r="AIK243" s="144"/>
      <c r="AIL243" s="144"/>
      <c r="AJN243" s="821" t="s">
        <v>921</v>
      </c>
      <c r="AJO243" s="822"/>
      <c r="AJP243" s="823"/>
      <c r="AKQ243" s="144"/>
      <c r="AKR243" s="144"/>
      <c r="AKS243" s="144"/>
      <c r="AKT243" s="144"/>
      <c r="AKU243" s="144"/>
      <c r="AKV243" s="144"/>
      <c r="AKW243" s="144"/>
      <c r="ALJ243" s="144"/>
      <c r="ALK243" s="144"/>
      <c r="ALL243" s="144"/>
      <c r="ALM243" s="144"/>
      <c r="ALN243" s="144"/>
      <c r="ALO243" s="144"/>
      <c r="ALP243" s="144"/>
      <c r="ALQ243" s="144"/>
      <c r="ALR243" s="144"/>
      <c r="ALS243" s="144"/>
      <c r="ALT243" s="144"/>
      <c r="ALU243" s="144"/>
      <c r="ALV243" s="144"/>
      <c r="ALW243" s="144"/>
      <c r="ALX243" s="144"/>
      <c r="ALY243" s="144"/>
      <c r="ALZ243" s="144"/>
      <c r="AMA243" s="144"/>
      <c r="AMB243" s="144"/>
      <c r="AMC243" s="144"/>
      <c r="AMD243" s="144"/>
      <c r="AME243" s="144"/>
      <c r="AMF243" s="144"/>
      <c r="AMG243" s="144"/>
      <c r="AMH243" s="144"/>
      <c r="AMI243" s="144"/>
      <c r="AMJ243" s="144"/>
      <c r="AMK243" s="144"/>
      <c r="AML243" s="144"/>
      <c r="AMM243" s="144"/>
      <c r="AMN243" s="144"/>
      <c r="AMO243" s="144"/>
      <c r="AMP243" s="144"/>
      <c r="AMQ243" s="144"/>
      <c r="AMR243" s="144"/>
      <c r="AMS243" s="144"/>
      <c r="AMT243" s="144"/>
      <c r="AMU243" s="144"/>
      <c r="AMV243" s="144"/>
      <c r="AMW243" s="144"/>
      <c r="AMX243" s="144"/>
      <c r="AMY243" s="144"/>
      <c r="AMZ243" s="144"/>
      <c r="ANA243" s="144"/>
      <c r="ANB243" s="144"/>
      <c r="ANC243" s="144"/>
      <c r="AND243" s="144"/>
      <c r="ANE243" s="144"/>
      <c r="ANF243" s="144"/>
      <c r="ANG243" s="144"/>
      <c r="ANH243" s="144"/>
      <c r="ANI243" s="144"/>
      <c r="ANJ243" s="144"/>
      <c r="ANK243" s="144"/>
      <c r="ANL243" s="144"/>
      <c r="ANM243" s="144"/>
      <c r="ANN243" s="144"/>
      <c r="ANO243" s="144"/>
      <c r="ANP243" s="144"/>
      <c r="ANQ243" s="144"/>
      <c r="ANR243" s="144"/>
      <c r="ANS243" s="144"/>
      <c r="ANT243" s="144"/>
      <c r="ANU243" s="144"/>
      <c r="ANV243" s="144"/>
      <c r="ANW243" s="144"/>
      <c r="ANX243" s="144"/>
      <c r="ANY243" s="144"/>
      <c r="ANZ243" s="144"/>
      <c r="AOA243" s="144"/>
      <c r="AOB243" s="144"/>
      <c r="AOC243" s="144"/>
      <c r="AOD243" s="144"/>
      <c r="AOE243" s="144"/>
      <c r="AOF243" s="144"/>
      <c r="AOG243" s="144"/>
      <c r="AOH243" s="144"/>
      <c r="AOI243" s="144"/>
      <c r="AOJ243" s="144"/>
      <c r="AOK243" s="144"/>
      <c r="AOL243" s="144"/>
      <c r="AOM243" s="144"/>
      <c r="AON243" s="144"/>
      <c r="AOO243" s="144"/>
      <c r="AOP243" s="144"/>
      <c r="AOQ243" s="144"/>
      <c r="AOR243" s="144"/>
      <c r="AOS243" s="144"/>
      <c r="AOT243" s="144"/>
      <c r="AOU243" s="144"/>
      <c r="AOV243" s="144"/>
      <c r="AOW243" s="144"/>
      <c r="AOX243" s="144"/>
      <c r="AOY243" s="144"/>
      <c r="AOZ243" s="144"/>
      <c r="APA243" s="144"/>
      <c r="APB243" s="144"/>
      <c r="APC243" s="144"/>
      <c r="APD243" s="144"/>
      <c r="APE243" s="144"/>
      <c r="APF243" s="144"/>
      <c r="APG243" s="144"/>
      <c r="APH243" s="144"/>
      <c r="API243" s="144"/>
      <c r="APJ243" s="144"/>
      <c r="APK243" s="144"/>
      <c r="APL243" s="144"/>
      <c r="APM243" s="144"/>
      <c r="APN243" s="144"/>
      <c r="APO243" s="144"/>
      <c r="APP243" s="144"/>
      <c r="APQ243" s="144"/>
      <c r="APR243" s="144"/>
      <c r="APS243" s="144"/>
      <c r="APT243" s="144"/>
      <c r="APU243" s="144"/>
      <c r="APV243" s="144"/>
      <c r="APW243" s="144"/>
      <c r="APX243" s="144"/>
      <c r="APY243" s="144"/>
      <c r="APZ243" s="144"/>
      <c r="AQA243" s="144"/>
      <c r="AQB243" s="144"/>
      <c r="AQC243" s="144"/>
      <c r="AQD243" s="144"/>
      <c r="AQE243" s="144"/>
      <c r="AQF243" s="144"/>
      <c r="AQG243" s="144"/>
      <c r="AQH243" s="144"/>
      <c r="AQI243" s="144"/>
      <c r="AQJ243" s="144"/>
      <c r="AQK243" s="144"/>
      <c r="AQL243" s="144"/>
      <c r="AQM243" s="144"/>
      <c r="AQN243" s="144"/>
      <c r="AQO243" s="144"/>
      <c r="AQP243" s="144"/>
      <c r="AQQ243" s="144"/>
      <c r="AQR243" s="144"/>
      <c r="AQS243" s="144"/>
      <c r="AQT243" s="144"/>
      <c r="AQU243" s="144"/>
      <c r="AQV243" s="144"/>
      <c r="AQW243" s="144"/>
      <c r="AQX243" s="144"/>
      <c r="AQY243" s="144"/>
      <c r="AQZ243" s="144"/>
      <c r="ARA243" s="144"/>
      <c r="ARB243" s="144"/>
      <c r="ARC243" s="144"/>
      <c r="ARD243" s="144"/>
      <c r="ARE243" s="144"/>
      <c r="ARF243" s="144"/>
      <c r="ARG243" s="144"/>
      <c r="ARH243" s="144"/>
      <c r="ARI243" s="144"/>
      <c r="ARJ243" s="144"/>
      <c r="ARK243" s="144"/>
      <c r="ARL243" s="144"/>
      <c r="ARM243" s="144"/>
      <c r="ARN243" s="144"/>
      <c r="ARO243" s="144"/>
      <c r="ARP243" s="144"/>
      <c r="ARQ243" s="144"/>
      <c r="ARR243" s="144"/>
      <c r="ARS243" s="144"/>
      <c r="ART243" s="144"/>
      <c r="ARU243" s="144"/>
      <c r="ARV243" s="144"/>
      <c r="ARW243" s="144"/>
      <c r="ARX243" s="144"/>
      <c r="ARY243" s="144"/>
      <c r="ARZ243" s="144"/>
      <c r="ASA243" s="144"/>
      <c r="ASB243" s="144"/>
      <c r="ASC243" s="144"/>
      <c r="ASD243" s="144"/>
      <c r="ASE243" s="144"/>
      <c r="ASF243" s="144"/>
    </row>
    <row r="244" spans="329:1176" ht="48" customHeight="1">
      <c r="QU244" s="144"/>
      <c r="QV244" s="144"/>
      <c r="QW244" s="144"/>
      <c r="QX244" s="144"/>
      <c r="QY244" s="144"/>
      <c r="QZ244" s="144"/>
      <c r="RA244" s="144"/>
      <c r="RB244" s="144"/>
      <c r="RC244" s="144"/>
      <c r="RD244" s="144"/>
      <c r="RE244" s="144"/>
      <c r="RF244" s="144"/>
      <c r="RG244" s="144"/>
      <c r="XM244" s="144"/>
      <c r="XN244" s="144"/>
      <c r="XO244" s="826"/>
      <c r="XP244" s="696" t="s">
        <v>1170</v>
      </c>
      <c r="XQ244" s="697"/>
      <c r="XR244" s="756">
        <f>$JF$114</f>
        <v>1.0769230769230769</v>
      </c>
      <c r="XS244" s="756"/>
      <c r="XT244" s="939" t="s">
        <v>155</v>
      </c>
      <c r="XU244" s="940"/>
      <c r="XV244" s="940"/>
      <c r="XW244" s="940"/>
      <c r="XX244" s="940"/>
      <c r="XY244" s="940"/>
      <c r="XZ244" s="940"/>
      <c r="YA244" s="940"/>
      <c r="YB244" s="1003"/>
      <c r="YC244" s="763">
        <f>MN204*YF188</f>
        <v>0.15711173980161139</v>
      </c>
      <c r="YD244" s="764"/>
      <c r="YE244" s="1005"/>
      <c r="YF244" s="1006"/>
      <c r="YG244" s="1309"/>
      <c r="YH244" s="1109" t="s">
        <v>1564</v>
      </c>
      <c r="YI244" s="1109"/>
      <c r="YJ244" s="1109"/>
      <c r="YK244" s="1085"/>
      <c r="YL244" s="919"/>
      <c r="YM244" s="840"/>
      <c r="YN244" s="840"/>
      <c r="YO244" s="840"/>
      <c r="YP244" s="840"/>
      <c r="YQ244" s="920"/>
      <c r="YZ244" s="144"/>
      <c r="ZA244" s="144"/>
      <c r="ZB244" s="144"/>
      <c r="ZC244" s="144"/>
      <c r="ZD244" s="144"/>
      <c r="ZE244" s="144"/>
      <c r="AAH244" s="144"/>
      <c r="AAI244" s="144"/>
      <c r="AAJ244" s="144"/>
      <c r="AAK244" s="144"/>
      <c r="AAL244" s="144"/>
      <c r="AAM244" s="144"/>
      <c r="AAN244" s="144"/>
      <c r="AAO244" s="144"/>
      <c r="AAP244" s="144"/>
      <c r="AAQ244" s="144"/>
      <c r="AAW244" s="144"/>
      <c r="AAX244" s="144"/>
      <c r="AAY244" s="144"/>
      <c r="AAZ244" s="144"/>
      <c r="ABA244" s="144"/>
      <c r="ABB244" s="144"/>
      <c r="ABC244" s="144"/>
      <c r="ABD244" s="144"/>
      <c r="ABE244" s="144"/>
      <c r="ABF244" s="144"/>
      <c r="ABG244" s="144"/>
      <c r="ABH244" s="144"/>
      <c r="ABI244" s="144"/>
      <c r="ABJ244" s="144"/>
      <c r="ABK244" s="144"/>
      <c r="ABL244" s="144"/>
      <c r="ABM244" s="144"/>
      <c r="ABN244" s="144"/>
      <c r="ABO244" s="144"/>
      <c r="ABP244" s="144"/>
      <c r="ABQ244" s="144"/>
      <c r="ACT244" s="144"/>
      <c r="AHV244" s="144"/>
      <c r="AHW244" s="144"/>
      <c r="AHX244" s="144"/>
      <c r="AHY244" s="144"/>
      <c r="AHZ244" s="144"/>
      <c r="AIA244" s="144"/>
      <c r="AIB244" s="144"/>
      <c r="AIC244" s="144"/>
      <c r="AID244" s="144"/>
      <c r="AIE244" s="144"/>
      <c r="AIF244" s="144"/>
      <c r="AIG244" s="144"/>
      <c r="AIH244" s="144"/>
      <c r="AII244" s="144"/>
      <c r="AIJ244" s="144"/>
      <c r="AIK244" s="144"/>
      <c r="AIL244" s="144"/>
      <c r="AJN244" s="1066" t="s">
        <v>920</v>
      </c>
      <c r="AJO244" s="1111"/>
      <c r="AJP244" s="1067"/>
      <c r="AKQ244" s="144"/>
      <c r="AKR244" s="144"/>
      <c r="AKS244" s="144"/>
      <c r="AKT244" s="144"/>
      <c r="AKU244" s="144"/>
      <c r="AKV244" s="144"/>
      <c r="AKW244" s="144"/>
      <c r="ALJ244" s="144"/>
      <c r="ALK244" s="144"/>
      <c r="ALL244" s="144"/>
      <c r="ALM244" s="144"/>
      <c r="ALN244" s="144"/>
      <c r="ALO244" s="144"/>
      <c r="ALP244" s="144"/>
      <c r="ALQ244" s="144"/>
      <c r="ALR244" s="144"/>
      <c r="ALS244" s="144"/>
      <c r="ALT244" s="144"/>
      <c r="ALU244" s="144"/>
      <c r="ALV244" s="144"/>
      <c r="ALW244" s="144"/>
      <c r="ALX244" s="144"/>
      <c r="ALY244" s="144"/>
      <c r="ALZ244" s="144"/>
      <c r="AMA244" s="144"/>
      <c r="AMB244" s="144"/>
      <c r="AMC244" s="144"/>
      <c r="AMD244" s="144"/>
      <c r="AME244" s="144"/>
      <c r="AMF244" s="144"/>
      <c r="AMG244" s="144"/>
      <c r="AMH244" s="144"/>
      <c r="AMI244" s="144"/>
      <c r="AMJ244" s="144"/>
      <c r="AMK244" s="144"/>
      <c r="AML244" s="144"/>
      <c r="AMM244" s="144"/>
      <c r="AMN244" s="144"/>
      <c r="AMO244" s="144"/>
      <c r="AMP244" s="144"/>
      <c r="AMQ244" s="144"/>
      <c r="AMR244" s="144"/>
      <c r="AMS244" s="144"/>
      <c r="AMT244" s="144"/>
      <c r="AMU244" s="144"/>
      <c r="AMV244" s="144"/>
      <c r="AMW244" s="144"/>
      <c r="AMX244" s="144"/>
      <c r="AMY244" s="144"/>
      <c r="AMZ244" s="144"/>
      <c r="ANA244" s="144"/>
      <c r="ANB244" s="144"/>
      <c r="ANC244" s="144"/>
      <c r="AND244" s="144"/>
      <c r="ANE244" s="144"/>
      <c r="ANF244" s="144"/>
      <c r="ANG244" s="144"/>
      <c r="ANH244" s="144"/>
      <c r="ANI244" s="144"/>
      <c r="ANJ244" s="144"/>
      <c r="ANK244" s="144"/>
      <c r="ANL244" s="144"/>
      <c r="ANM244" s="144"/>
      <c r="ANN244" s="144"/>
      <c r="ANO244" s="144"/>
      <c r="ANP244" s="144"/>
      <c r="ANQ244" s="144"/>
      <c r="ANR244" s="144"/>
      <c r="ANS244" s="144"/>
      <c r="ANT244" s="144"/>
      <c r="ANU244" s="144"/>
      <c r="ANV244" s="144"/>
      <c r="ANW244" s="144"/>
      <c r="ANX244" s="144"/>
      <c r="ANY244" s="144"/>
      <c r="ANZ244" s="144"/>
      <c r="AOA244" s="144"/>
      <c r="AOB244" s="144"/>
      <c r="AOC244" s="144"/>
      <c r="AOD244" s="144"/>
      <c r="AOE244" s="144"/>
      <c r="AOF244" s="144"/>
      <c r="AOG244" s="144"/>
      <c r="AOH244" s="144"/>
      <c r="AOI244" s="144"/>
      <c r="AOJ244" s="144"/>
      <c r="AOK244" s="144"/>
      <c r="AOL244" s="144"/>
      <c r="AOM244" s="144"/>
      <c r="AON244" s="144"/>
      <c r="AOO244" s="144"/>
      <c r="AOP244" s="144"/>
      <c r="AOQ244" s="144"/>
      <c r="AOR244" s="144"/>
      <c r="AOS244" s="144"/>
      <c r="AOT244" s="144"/>
      <c r="AOU244" s="144"/>
      <c r="AOV244" s="144"/>
      <c r="AOW244" s="144"/>
      <c r="AOX244" s="144"/>
      <c r="AOY244" s="144"/>
      <c r="AOZ244" s="144"/>
      <c r="APA244" s="144"/>
      <c r="APB244" s="144"/>
      <c r="APC244" s="144"/>
      <c r="APD244" s="144"/>
      <c r="APE244" s="144"/>
      <c r="APF244" s="144"/>
      <c r="APG244" s="144"/>
      <c r="APH244" s="144"/>
      <c r="API244" s="144"/>
      <c r="APJ244" s="144"/>
      <c r="APK244" s="144"/>
      <c r="APL244" s="144"/>
      <c r="APM244" s="144"/>
      <c r="APN244" s="144"/>
      <c r="APO244" s="144"/>
      <c r="APP244" s="144"/>
      <c r="APQ244" s="144"/>
      <c r="APR244" s="144"/>
      <c r="APS244" s="144"/>
      <c r="APT244" s="144"/>
      <c r="APU244" s="144"/>
      <c r="APV244" s="144"/>
      <c r="APW244" s="144"/>
      <c r="APX244" s="144"/>
      <c r="APY244" s="144"/>
      <c r="APZ244" s="144"/>
      <c r="AQA244" s="144"/>
      <c r="AQB244" s="144"/>
      <c r="AQC244" s="144"/>
      <c r="AQD244" s="144"/>
      <c r="AQE244" s="144"/>
      <c r="AQF244" s="144"/>
      <c r="AQG244" s="144"/>
      <c r="AQH244" s="144"/>
      <c r="AQI244" s="144"/>
      <c r="AQJ244" s="144"/>
      <c r="AQK244" s="144"/>
      <c r="AQL244" s="144"/>
      <c r="AQM244" s="144"/>
      <c r="AQN244" s="144"/>
      <c r="AQO244" s="144"/>
      <c r="AQP244" s="144"/>
      <c r="AQQ244" s="144"/>
      <c r="AQR244" s="144"/>
      <c r="AQS244" s="144"/>
      <c r="AQT244" s="144"/>
      <c r="AQU244" s="144"/>
      <c r="AQV244" s="144"/>
      <c r="AQW244" s="144"/>
      <c r="AQX244" s="144"/>
      <c r="AQY244" s="144"/>
      <c r="AQZ244" s="144"/>
      <c r="ARA244" s="144"/>
      <c r="ARB244" s="144"/>
      <c r="ARC244" s="144"/>
      <c r="ARD244" s="144"/>
      <c r="ARE244" s="144"/>
      <c r="ARF244" s="144"/>
      <c r="ARG244" s="144"/>
      <c r="ARH244" s="144"/>
      <c r="ARI244" s="144"/>
      <c r="ARJ244" s="144"/>
      <c r="ARK244" s="144"/>
      <c r="ARL244" s="144"/>
      <c r="ARM244" s="144"/>
      <c r="ARN244" s="144"/>
      <c r="ARO244" s="144"/>
      <c r="ARP244" s="144"/>
      <c r="ARQ244" s="144"/>
      <c r="ARR244" s="144"/>
      <c r="ARS244" s="144"/>
      <c r="ART244" s="144"/>
      <c r="ARU244" s="144"/>
      <c r="ARV244" s="144"/>
      <c r="ARW244" s="144"/>
      <c r="ARX244" s="144"/>
      <c r="ARY244" s="144"/>
      <c r="ARZ244" s="144"/>
      <c r="ASA244" s="144"/>
      <c r="ASB244" s="144"/>
      <c r="ASC244" s="144"/>
      <c r="ASD244" s="144"/>
      <c r="ASE244" s="144"/>
      <c r="ASF244" s="144"/>
    </row>
    <row r="245" spans="329:1176" ht="48" customHeight="1" thickBot="1">
      <c r="QU245" s="144"/>
      <c r="QV245" s="144"/>
      <c r="QW245" s="144"/>
      <c r="QX245" s="144"/>
      <c r="QY245" s="144"/>
      <c r="QZ245" s="144"/>
      <c r="RA245" s="144"/>
      <c r="RB245" s="144"/>
      <c r="RC245" s="144"/>
      <c r="RD245" s="144"/>
      <c r="RE245" s="144"/>
      <c r="RF245" s="144"/>
      <c r="RG245" s="144"/>
      <c r="XM245" s="144"/>
      <c r="XN245" s="144"/>
      <c r="XO245" s="827"/>
      <c r="XP245" s="709" t="s">
        <v>1393</v>
      </c>
      <c r="XQ245" s="709"/>
      <c r="XR245" s="883">
        <f>$MN$204</f>
        <v>0.34913719955913641</v>
      </c>
      <c r="XS245" s="883"/>
      <c r="XT245" s="943"/>
      <c r="XU245" s="944"/>
      <c r="XV245" s="944"/>
      <c r="XW245" s="944"/>
      <c r="XX245" s="944"/>
      <c r="XY245" s="944"/>
      <c r="XZ245" s="944"/>
      <c r="YA245" s="944"/>
      <c r="YB245" s="1004"/>
      <c r="YC245" s="765"/>
      <c r="YD245" s="766"/>
      <c r="YE245" s="706"/>
      <c r="YF245" s="708"/>
      <c r="YG245" s="1310"/>
      <c r="YH245" s="1110"/>
      <c r="YI245" s="1110"/>
      <c r="YJ245" s="1110"/>
      <c r="YK245" s="1086"/>
      <c r="YL245" s="892"/>
      <c r="YM245" s="893"/>
      <c r="YN245" s="893"/>
      <c r="YO245" s="893"/>
      <c r="YP245" s="893"/>
      <c r="YQ245" s="894"/>
      <c r="YZ245" s="144"/>
      <c r="ZA245" s="144"/>
      <c r="ZB245" s="144"/>
      <c r="ZC245" s="144"/>
      <c r="ZD245" s="144"/>
      <c r="ZE245" s="144"/>
      <c r="AAH245" s="144"/>
      <c r="AAI245" s="144"/>
      <c r="AAJ245" s="144"/>
      <c r="AAK245" s="144"/>
      <c r="AAL245" s="144"/>
      <c r="AAM245" s="144"/>
      <c r="AAN245" s="144"/>
      <c r="AAO245" s="144"/>
      <c r="AAP245" s="144"/>
      <c r="AAQ245" s="144"/>
      <c r="AAW245" s="144"/>
      <c r="AAX245" s="144"/>
      <c r="AAY245" s="144"/>
      <c r="AAZ245" s="144"/>
      <c r="ABA245" s="144"/>
      <c r="ABB245" s="144"/>
      <c r="ABC245" s="144"/>
      <c r="ABD245" s="144"/>
      <c r="ABE245" s="144"/>
      <c r="ABF245" s="144"/>
      <c r="ABG245" s="144"/>
      <c r="ABH245" s="144"/>
      <c r="ABI245" s="144"/>
      <c r="ABJ245" s="144"/>
      <c r="ABK245" s="144"/>
      <c r="ABL245" s="144"/>
      <c r="ABM245" s="144"/>
      <c r="ABN245" s="144"/>
      <c r="ABO245" s="144"/>
      <c r="ABP245" s="144"/>
      <c r="ABQ245" s="144"/>
      <c r="ACT245" s="144"/>
      <c r="AHV245" s="144"/>
      <c r="AHW245" s="144"/>
      <c r="AHX245" s="144"/>
      <c r="AHY245" s="144"/>
      <c r="AHZ245" s="144"/>
      <c r="AIA245" s="144"/>
      <c r="AIB245" s="144"/>
      <c r="AIC245" s="144"/>
      <c r="AID245" s="144"/>
      <c r="AIE245" s="144"/>
      <c r="AIF245" s="144"/>
      <c r="AIG245" s="144"/>
      <c r="AIH245" s="144"/>
      <c r="AII245" s="144"/>
      <c r="AIJ245" s="144"/>
      <c r="AIK245" s="144"/>
      <c r="AIL245" s="144"/>
      <c r="AJN245" s="1112"/>
      <c r="AJO245" s="1113"/>
      <c r="AJP245" s="1114"/>
      <c r="AKQ245" s="144"/>
      <c r="AKR245" s="144"/>
      <c r="AKS245" s="144"/>
      <c r="AKT245" s="144"/>
      <c r="AKU245" s="144"/>
      <c r="AKV245" s="144"/>
      <c r="AKW245" s="144"/>
      <c r="ALJ245" s="144"/>
      <c r="ALK245" s="144"/>
      <c r="ALL245" s="144"/>
      <c r="ALM245" s="144"/>
      <c r="ALN245" s="144"/>
      <c r="ALO245" s="144"/>
      <c r="ALP245" s="144"/>
      <c r="ALQ245" s="144"/>
      <c r="ALR245" s="144"/>
      <c r="ALS245" s="144"/>
      <c r="ALT245" s="144"/>
      <c r="ALU245" s="144"/>
      <c r="ALV245" s="144"/>
      <c r="ALW245" s="144"/>
      <c r="ALX245" s="144"/>
      <c r="ALY245" s="144"/>
      <c r="ALZ245" s="144"/>
      <c r="AMA245" s="144"/>
      <c r="AMB245" s="144"/>
      <c r="AMC245" s="144"/>
      <c r="AMD245" s="144"/>
      <c r="AME245" s="144"/>
      <c r="AMF245" s="144"/>
      <c r="AMG245" s="144"/>
      <c r="AMH245" s="144"/>
      <c r="AMI245" s="144"/>
      <c r="AMJ245" s="144"/>
      <c r="AMK245" s="144"/>
      <c r="AML245" s="144"/>
      <c r="AMM245" s="144"/>
      <c r="AMN245" s="144"/>
      <c r="AMO245" s="144"/>
      <c r="AMP245" s="144"/>
      <c r="AMQ245" s="144"/>
      <c r="AMR245" s="144"/>
      <c r="AMS245" s="144"/>
      <c r="AMT245" s="144"/>
      <c r="AMU245" s="144"/>
      <c r="AMV245" s="144"/>
      <c r="AMW245" s="144"/>
      <c r="AMX245" s="144"/>
      <c r="AMY245" s="144"/>
      <c r="AMZ245" s="144"/>
      <c r="ANA245" s="144"/>
      <c r="ANB245" s="144"/>
      <c r="ANC245" s="144"/>
      <c r="AND245" s="144"/>
      <c r="ANE245" s="144"/>
      <c r="ANF245" s="144"/>
      <c r="ANG245" s="144"/>
      <c r="ANH245" s="144"/>
      <c r="ANI245" s="144"/>
      <c r="ANJ245" s="144"/>
      <c r="ANK245" s="144"/>
      <c r="ANL245" s="144"/>
      <c r="ANM245" s="144"/>
      <c r="ANN245" s="144"/>
      <c r="ANO245" s="144"/>
      <c r="ANP245" s="144"/>
      <c r="ANQ245" s="144"/>
      <c r="ANR245" s="144"/>
      <c r="ANS245" s="144"/>
      <c r="ANT245" s="144"/>
      <c r="ANU245" s="144"/>
      <c r="ANV245" s="144"/>
      <c r="ANW245" s="144"/>
      <c r="ANX245" s="144"/>
      <c r="ANY245" s="144"/>
      <c r="ANZ245" s="144"/>
      <c r="AOA245" s="144"/>
      <c r="AOB245" s="144"/>
      <c r="AOC245" s="144"/>
      <c r="AOD245" s="144"/>
      <c r="AOE245" s="144"/>
      <c r="AOF245" s="144"/>
      <c r="AOG245" s="144"/>
      <c r="AOH245" s="144"/>
      <c r="AOI245" s="144"/>
      <c r="AOJ245" s="144"/>
      <c r="AOK245" s="144"/>
      <c r="AOL245" s="144"/>
      <c r="AOM245" s="144"/>
      <c r="AON245" s="144"/>
      <c r="AOO245" s="144"/>
      <c r="AOP245" s="144"/>
      <c r="AOQ245" s="144"/>
      <c r="AOR245" s="144"/>
      <c r="AOS245" s="144"/>
      <c r="AOT245" s="144"/>
      <c r="AOU245" s="144"/>
      <c r="AOV245" s="144"/>
      <c r="AOW245" s="144"/>
      <c r="AOX245" s="144"/>
      <c r="AOY245" s="144"/>
      <c r="AOZ245" s="144"/>
      <c r="APA245" s="144"/>
      <c r="APB245" s="144"/>
      <c r="APC245" s="144"/>
      <c r="APD245" s="144"/>
      <c r="APE245" s="144"/>
      <c r="APF245" s="144"/>
      <c r="APG245" s="144"/>
      <c r="APH245" s="144"/>
      <c r="API245" s="144"/>
      <c r="APJ245" s="144"/>
      <c r="APK245" s="144"/>
      <c r="APL245" s="144"/>
      <c r="APM245" s="144"/>
      <c r="APN245" s="144"/>
      <c r="APO245" s="144"/>
      <c r="APP245" s="144"/>
      <c r="APQ245" s="144"/>
      <c r="APR245" s="144"/>
      <c r="APS245" s="144"/>
      <c r="APT245" s="144"/>
      <c r="APU245" s="144"/>
      <c r="APV245" s="144"/>
      <c r="APW245" s="144"/>
      <c r="APX245" s="144"/>
      <c r="APY245" s="144"/>
      <c r="APZ245" s="144"/>
      <c r="AQA245" s="144"/>
      <c r="AQB245" s="144"/>
      <c r="AQC245" s="144"/>
      <c r="AQD245" s="144"/>
      <c r="AQE245" s="144"/>
      <c r="AQF245" s="144"/>
      <c r="AQG245" s="144"/>
      <c r="AQH245" s="144"/>
      <c r="AQI245" s="144"/>
      <c r="AQJ245" s="144"/>
      <c r="AQK245" s="144"/>
      <c r="AQL245" s="144"/>
      <c r="AQM245" s="144"/>
      <c r="AQN245" s="144"/>
      <c r="AQO245" s="144"/>
      <c r="AQP245" s="144"/>
      <c r="AQQ245" s="144"/>
      <c r="AQR245" s="144"/>
      <c r="AQS245" s="144"/>
      <c r="AQT245" s="144"/>
      <c r="AQU245" s="144"/>
      <c r="AQV245" s="144"/>
      <c r="AQW245" s="144"/>
      <c r="AQX245" s="144"/>
      <c r="AQY245" s="144"/>
      <c r="AQZ245" s="144"/>
      <c r="ARA245" s="144"/>
      <c r="ARB245" s="144"/>
      <c r="ARC245" s="144"/>
      <c r="ARD245" s="144"/>
      <c r="ARE245" s="144"/>
      <c r="ARF245" s="144"/>
      <c r="ARG245" s="144"/>
      <c r="ARH245" s="144"/>
      <c r="ARI245" s="144"/>
      <c r="ARJ245" s="144"/>
      <c r="ARK245" s="144"/>
      <c r="ARL245" s="144"/>
      <c r="ARM245" s="144"/>
      <c r="ARN245" s="144"/>
      <c r="ARO245" s="144"/>
      <c r="ARP245" s="144"/>
      <c r="ARQ245" s="144"/>
      <c r="ARR245" s="144"/>
      <c r="ARS245" s="144"/>
      <c r="ART245" s="144"/>
      <c r="ARU245" s="144"/>
      <c r="ARV245" s="144"/>
      <c r="ARW245" s="144"/>
      <c r="ARX245" s="144"/>
      <c r="ARY245" s="144"/>
      <c r="ARZ245" s="144"/>
      <c r="ASA245" s="144"/>
      <c r="ASB245" s="144"/>
      <c r="ASC245" s="144"/>
      <c r="ASD245" s="144"/>
      <c r="ASE245" s="144"/>
      <c r="ASF245" s="144"/>
    </row>
    <row r="246" spans="329:1176" ht="48" customHeight="1">
      <c r="QU246" s="144"/>
      <c r="QV246" s="144"/>
      <c r="QW246" s="144"/>
      <c r="QX246" s="144"/>
      <c r="QY246" s="144"/>
      <c r="QZ246" s="144"/>
      <c r="RA246" s="144"/>
      <c r="RB246" s="144"/>
      <c r="RC246" s="144"/>
      <c r="RD246" s="144"/>
      <c r="RE246" s="144"/>
      <c r="RF246" s="144"/>
      <c r="RG246" s="144"/>
      <c r="XM246" s="144"/>
      <c r="XN246" s="144"/>
      <c r="YZ246" s="144"/>
      <c r="ZA246" s="144"/>
      <c r="ZB246" s="144"/>
      <c r="ZC246" s="144"/>
      <c r="ZD246" s="144"/>
      <c r="ZE246" s="144"/>
      <c r="AAH246" s="144"/>
      <c r="AAI246" s="144"/>
      <c r="AAJ246" s="144"/>
      <c r="AAK246" s="144"/>
      <c r="AAL246" s="144"/>
      <c r="AAM246" s="144"/>
      <c r="AAN246" s="144"/>
      <c r="AAO246" s="144"/>
      <c r="AAP246" s="144"/>
      <c r="AAQ246" s="144"/>
      <c r="AAW246" s="144"/>
      <c r="AAX246" s="144"/>
      <c r="AAY246" s="144"/>
      <c r="AAZ246" s="144"/>
      <c r="ABA246" s="144"/>
      <c r="ABB246" s="144"/>
      <c r="ABC246" s="144"/>
      <c r="ABD246" s="144"/>
      <c r="ABE246" s="144"/>
      <c r="ABF246" s="144"/>
      <c r="ABG246" s="144"/>
      <c r="ABH246" s="144"/>
      <c r="ABI246" s="144"/>
      <c r="ABJ246" s="144"/>
      <c r="ABK246" s="144"/>
      <c r="ABL246" s="144"/>
      <c r="ABM246" s="144"/>
      <c r="ABN246" s="144"/>
      <c r="ABO246" s="144"/>
      <c r="ABP246" s="144"/>
      <c r="ABQ246" s="144"/>
      <c r="ACT246" s="144"/>
      <c r="AHV246" s="144"/>
      <c r="AHW246" s="144"/>
      <c r="AHX246" s="144"/>
      <c r="AHY246" s="144"/>
      <c r="AHZ246" s="144"/>
      <c r="AIA246" s="144"/>
      <c r="AIB246" s="144"/>
      <c r="AIC246" s="144"/>
      <c r="AID246" s="144"/>
      <c r="AIE246" s="144"/>
      <c r="AIF246" s="144"/>
      <c r="AIG246" s="144"/>
      <c r="AIH246" s="144"/>
      <c r="AII246" s="144"/>
      <c r="AIJ246" s="144"/>
      <c r="AIK246" s="144"/>
      <c r="AIL246" s="144"/>
      <c r="AKQ246" s="144"/>
      <c r="AKR246" s="144"/>
      <c r="AKS246" s="144"/>
      <c r="AKT246" s="144"/>
      <c r="AKU246" s="144"/>
      <c r="AKV246" s="144"/>
      <c r="AKW246" s="144"/>
      <c r="ALJ246" s="144"/>
      <c r="ALK246" s="144"/>
      <c r="ALL246" s="144"/>
      <c r="ALM246" s="144"/>
      <c r="ALN246" s="144"/>
      <c r="ALO246" s="144"/>
      <c r="ALP246" s="144"/>
      <c r="ALQ246" s="144"/>
      <c r="ALR246" s="144"/>
      <c r="ALS246" s="144"/>
      <c r="ALT246" s="144"/>
      <c r="ALU246" s="144"/>
      <c r="ALV246" s="144"/>
      <c r="ALW246" s="144"/>
      <c r="ALX246" s="144"/>
      <c r="ALY246" s="144"/>
      <c r="ALZ246" s="144"/>
      <c r="AMA246" s="144"/>
      <c r="AMB246" s="144"/>
      <c r="AMC246" s="144"/>
      <c r="AMD246" s="144"/>
      <c r="AME246" s="144"/>
      <c r="AMF246" s="144"/>
      <c r="AMG246" s="144"/>
      <c r="AMH246" s="144"/>
      <c r="AMI246" s="144"/>
      <c r="AMJ246" s="144"/>
      <c r="AMK246" s="144"/>
      <c r="AML246" s="144"/>
      <c r="AMM246" s="144"/>
      <c r="AMN246" s="144"/>
      <c r="AMO246" s="144"/>
      <c r="AMP246" s="144"/>
      <c r="AMQ246" s="144"/>
      <c r="AMR246" s="144"/>
      <c r="AMS246" s="144"/>
      <c r="AMT246" s="144"/>
      <c r="AMU246" s="144"/>
      <c r="AMV246" s="144"/>
      <c r="AMW246" s="144"/>
      <c r="AMX246" s="144"/>
      <c r="AMY246" s="144"/>
      <c r="AMZ246" s="144"/>
      <c r="ANA246" s="144"/>
      <c r="ANB246" s="144"/>
      <c r="ANC246" s="144"/>
      <c r="AND246" s="144"/>
      <c r="ANE246" s="144"/>
      <c r="ANF246" s="144"/>
      <c r="ANG246" s="144"/>
      <c r="ANH246" s="144"/>
      <c r="ANI246" s="144"/>
      <c r="ANJ246" s="144"/>
      <c r="ANK246" s="144"/>
      <c r="ANL246" s="144"/>
      <c r="ANM246" s="144"/>
      <c r="ANN246" s="144"/>
      <c r="ANO246" s="144"/>
      <c r="ANP246" s="144"/>
      <c r="ANQ246" s="144"/>
      <c r="ANR246" s="144"/>
      <c r="ANS246" s="144"/>
      <c r="ANT246" s="144"/>
      <c r="ANU246" s="144"/>
      <c r="ANV246" s="144"/>
      <c r="ANW246" s="144"/>
      <c r="ANX246" s="144"/>
      <c r="ANY246" s="144"/>
      <c r="ANZ246" s="144"/>
      <c r="AOA246" s="144"/>
      <c r="AOB246" s="144"/>
      <c r="AOC246" s="144"/>
      <c r="AOD246" s="144"/>
      <c r="AOE246" s="144"/>
      <c r="AOF246" s="144"/>
      <c r="AOG246" s="144"/>
      <c r="AOH246" s="144"/>
      <c r="AOI246" s="144"/>
      <c r="AOJ246" s="144"/>
      <c r="AOK246" s="144"/>
      <c r="AOL246" s="144"/>
      <c r="AOM246" s="144"/>
      <c r="AON246" s="144"/>
      <c r="AOO246" s="144"/>
      <c r="AOP246" s="144"/>
      <c r="AOQ246" s="144"/>
      <c r="AOR246" s="144"/>
      <c r="AOS246" s="144"/>
      <c r="AOT246" s="144"/>
      <c r="AOU246" s="144"/>
      <c r="AOV246" s="144"/>
      <c r="AOW246" s="144"/>
      <c r="AOX246" s="144"/>
      <c r="AOY246" s="144"/>
      <c r="AOZ246" s="144"/>
      <c r="APA246" s="144"/>
      <c r="APB246" s="144"/>
      <c r="APC246" s="144"/>
      <c r="APD246" s="144"/>
      <c r="APE246" s="144"/>
      <c r="APF246" s="144"/>
      <c r="APG246" s="144"/>
      <c r="APH246" s="144"/>
      <c r="API246" s="144"/>
      <c r="APJ246" s="144"/>
      <c r="APK246" s="144"/>
      <c r="APL246" s="144"/>
      <c r="APM246" s="144"/>
      <c r="APN246" s="144"/>
      <c r="APO246" s="144"/>
      <c r="APP246" s="144"/>
      <c r="APQ246" s="144"/>
      <c r="APR246" s="144"/>
      <c r="APS246" s="144"/>
      <c r="APT246" s="144"/>
      <c r="APU246" s="144"/>
      <c r="APV246" s="144"/>
      <c r="APW246" s="144"/>
      <c r="APX246" s="144"/>
      <c r="APY246" s="144"/>
      <c r="APZ246" s="144"/>
      <c r="AQA246" s="144"/>
      <c r="AQB246" s="144"/>
      <c r="AQC246" s="144"/>
      <c r="AQD246" s="144"/>
      <c r="AQE246" s="144"/>
      <c r="AQF246" s="144"/>
      <c r="AQG246" s="144"/>
      <c r="AQH246" s="144"/>
      <c r="AQI246" s="144"/>
      <c r="AQJ246" s="144"/>
      <c r="AQK246" s="144"/>
      <c r="AQL246" s="144"/>
      <c r="AQM246" s="144"/>
      <c r="AQN246" s="144"/>
      <c r="AQO246" s="144"/>
      <c r="AQP246" s="144"/>
      <c r="AQQ246" s="144"/>
      <c r="AQR246" s="144"/>
      <c r="AQS246" s="144"/>
      <c r="AQT246" s="144"/>
      <c r="AQU246" s="144"/>
      <c r="AQV246" s="144"/>
      <c r="AQW246" s="144"/>
      <c r="AQX246" s="144"/>
      <c r="AQY246" s="144"/>
      <c r="AQZ246" s="144"/>
      <c r="ARA246" s="144"/>
      <c r="ARB246" s="144"/>
      <c r="ARC246" s="144"/>
      <c r="ARD246" s="144"/>
      <c r="ARE246" s="144"/>
      <c r="ARF246" s="144"/>
      <c r="ARG246" s="144"/>
      <c r="ARH246" s="144"/>
      <c r="ARI246" s="144"/>
      <c r="ARJ246" s="144"/>
      <c r="ARK246" s="144"/>
      <c r="ARL246" s="144"/>
      <c r="ARM246" s="144"/>
      <c r="ARN246" s="144"/>
      <c r="ARO246" s="144"/>
      <c r="ARP246" s="144"/>
      <c r="ARQ246" s="144"/>
      <c r="ARR246" s="144"/>
      <c r="ARS246" s="144"/>
      <c r="ART246" s="144"/>
      <c r="ARU246" s="144"/>
      <c r="ARV246" s="144"/>
      <c r="ARW246" s="144"/>
      <c r="ARX246" s="144"/>
      <c r="ARY246" s="144"/>
      <c r="ARZ246" s="144"/>
      <c r="ASA246" s="144"/>
      <c r="ASB246" s="144"/>
      <c r="ASC246" s="144"/>
      <c r="ASD246" s="144"/>
      <c r="ASE246" s="144"/>
      <c r="ASF246" s="144"/>
    </row>
    <row r="247" spans="329:1176" ht="48" customHeight="1">
      <c r="QU247" s="144"/>
      <c r="QV247" s="144"/>
      <c r="QW247" s="144"/>
      <c r="QX247" s="144"/>
      <c r="QY247" s="144"/>
      <c r="QZ247" s="144"/>
      <c r="RA247" s="144"/>
      <c r="RB247" s="144"/>
      <c r="RC247" s="144"/>
      <c r="RD247" s="144"/>
      <c r="RE247" s="144"/>
      <c r="RF247" s="144"/>
      <c r="RG247" s="144"/>
      <c r="XM247" s="144"/>
      <c r="XN247" s="144"/>
      <c r="XQ247" s="216"/>
      <c r="XR247" s="665" t="s">
        <v>943</v>
      </c>
      <c r="XS247" s="667"/>
      <c r="XT247" s="216"/>
      <c r="XU247" s="728" t="s">
        <v>1150</v>
      </c>
      <c r="XV247" s="1053"/>
      <c r="XW247" s="1053"/>
      <c r="XX247" s="1053"/>
      <c r="XY247" s="1053"/>
      <c r="XZ247" s="1053"/>
      <c r="YA247" s="1053"/>
      <c r="YB247" s="1053"/>
      <c r="YC247" s="1053"/>
      <c r="YD247" s="1053"/>
      <c r="YE247" s="1054"/>
      <c r="YF247" s="216"/>
      <c r="AAH247" s="144"/>
      <c r="AAI247" s="144"/>
      <c r="AAJ247" s="144"/>
      <c r="AAK247" s="144"/>
      <c r="AAL247" s="144"/>
      <c r="AAM247" s="144"/>
      <c r="AAN247" s="144"/>
      <c r="AAO247" s="144"/>
      <c r="AAP247" s="144"/>
      <c r="AAQ247" s="144"/>
      <c r="AAW247" s="144"/>
      <c r="AAX247" s="144"/>
      <c r="AAY247" s="144"/>
      <c r="AAZ247" s="144"/>
      <c r="ABA247" s="144"/>
      <c r="ABB247" s="144"/>
      <c r="ABC247" s="144"/>
      <c r="ABD247" s="144"/>
      <c r="ABE247" s="144"/>
      <c r="ABF247" s="144"/>
      <c r="ABG247" s="144"/>
      <c r="ABH247" s="144"/>
      <c r="ABI247" s="144"/>
      <c r="ABJ247" s="144"/>
      <c r="ABK247" s="144"/>
      <c r="ABL247" s="144"/>
      <c r="ABM247" s="144"/>
      <c r="ABN247" s="144"/>
      <c r="ABO247" s="144"/>
      <c r="ABP247" s="144"/>
      <c r="ABQ247" s="144"/>
      <c r="ACT247" s="144"/>
      <c r="AGL247" s="144"/>
      <c r="AGM247" s="144"/>
      <c r="AGN247" s="144"/>
      <c r="AGO247" s="144"/>
      <c r="AGP247" s="144"/>
      <c r="AGQ247" s="144"/>
      <c r="AGR247" s="144"/>
      <c r="AGS247" s="144"/>
      <c r="AGT247" s="144"/>
      <c r="AGU247" s="144"/>
      <c r="AGV247" s="144"/>
      <c r="AGW247" s="144"/>
      <c r="AGX247" s="144"/>
      <c r="AGY247" s="144"/>
      <c r="AGZ247" s="144"/>
      <c r="AHA247" s="144"/>
      <c r="AHB247" s="144"/>
      <c r="AHC247" s="144"/>
      <c r="AHD247" s="144"/>
      <c r="AHV247" s="144"/>
      <c r="AHW247" s="144"/>
      <c r="AHX247" s="144"/>
      <c r="AHY247" s="144"/>
      <c r="AHZ247" s="144"/>
      <c r="AIA247" s="144"/>
      <c r="AIB247" s="144"/>
      <c r="AIC247" s="144"/>
      <c r="AID247" s="144"/>
      <c r="AIE247" s="144"/>
      <c r="AIF247" s="144"/>
      <c r="AIG247" s="144"/>
      <c r="AIH247" s="144"/>
      <c r="AII247" s="144"/>
      <c r="AIJ247" s="144"/>
      <c r="AIK247" s="144"/>
      <c r="AIL247" s="144"/>
      <c r="AIM247" s="144"/>
      <c r="AIN247" s="144"/>
      <c r="AIO247" s="144"/>
      <c r="AIP247" s="144"/>
      <c r="AIQ247" s="144"/>
      <c r="AIR247" s="144"/>
      <c r="AIS247" s="144"/>
      <c r="AIT247" s="144"/>
      <c r="AIU247" s="144"/>
      <c r="AIV247" s="144"/>
      <c r="AIW247" s="144"/>
      <c r="AIX247" s="144"/>
      <c r="AIY247" s="144"/>
      <c r="AIZ247" s="144"/>
      <c r="AJA247" s="144"/>
      <c r="AJB247" s="144"/>
      <c r="AJC247" s="144"/>
      <c r="AJD247" s="144"/>
      <c r="AJE247" s="144"/>
      <c r="AJF247" s="144"/>
      <c r="AJG247" s="144"/>
      <c r="AJH247" s="144"/>
      <c r="AJI247" s="144"/>
      <c r="AJJ247" s="144"/>
      <c r="AJK247" s="144"/>
      <c r="AJL247" s="144"/>
      <c r="AJM247" s="144"/>
      <c r="AJN247" s="144"/>
      <c r="AJO247" s="144"/>
      <c r="AJP247" s="144"/>
      <c r="AJQ247" s="144"/>
      <c r="AJR247" s="144"/>
      <c r="AJS247" s="144"/>
      <c r="AJT247" s="144"/>
      <c r="AJU247" s="144"/>
      <c r="AJV247" s="144"/>
      <c r="AJW247" s="144"/>
      <c r="AJX247" s="144"/>
      <c r="AJY247" s="144"/>
      <c r="AJZ247" s="144"/>
      <c r="AKA247" s="144"/>
      <c r="AKB247" s="144"/>
      <c r="AKC247" s="144"/>
      <c r="AKD247" s="144"/>
      <c r="AKE247" s="144"/>
      <c r="AKF247" s="144"/>
      <c r="AKG247" s="144"/>
      <c r="AKH247" s="144"/>
      <c r="AKI247" s="144"/>
      <c r="AKJ247" s="144"/>
      <c r="AKK247" s="144"/>
      <c r="AKL247" s="144"/>
      <c r="AKM247" s="144"/>
      <c r="AKN247" s="144"/>
      <c r="AKO247" s="144"/>
      <c r="AKP247" s="144"/>
      <c r="AKQ247" s="144"/>
      <c r="AKR247" s="144"/>
      <c r="AKS247" s="144"/>
      <c r="AKT247" s="144"/>
      <c r="AKU247" s="144"/>
      <c r="AKV247" s="144"/>
      <c r="AKW247" s="144"/>
      <c r="ALJ247" s="144"/>
      <c r="ALK247" s="144"/>
      <c r="ALL247" s="144"/>
      <c r="ALM247" s="144"/>
      <c r="ALN247" s="144"/>
      <c r="ALO247" s="144"/>
      <c r="ALP247" s="144"/>
      <c r="ALQ247" s="144"/>
      <c r="ALR247" s="144"/>
      <c r="ALS247" s="144"/>
      <c r="ALT247" s="144"/>
      <c r="ALU247" s="144"/>
      <c r="ALV247" s="144"/>
      <c r="ALW247" s="144"/>
      <c r="ALX247" s="144"/>
      <c r="ALY247" s="144"/>
      <c r="ALZ247" s="144"/>
      <c r="AMA247" s="144"/>
      <c r="AMB247" s="144"/>
      <c r="AMC247" s="144"/>
      <c r="AMD247" s="144"/>
      <c r="AME247" s="144"/>
      <c r="AMF247" s="144"/>
      <c r="AMG247" s="144"/>
      <c r="AMH247" s="144"/>
      <c r="AMI247" s="144"/>
      <c r="AMJ247" s="144"/>
      <c r="AMK247" s="144"/>
      <c r="AML247" s="144"/>
      <c r="AMM247" s="144"/>
      <c r="AMN247" s="144"/>
      <c r="AMO247" s="144"/>
      <c r="AMP247" s="144"/>
      <c r="AMQ247" s="144"/>
      <c r="AMR247" s="144"/>
      <c r="AMS247" s="144"/>
      <c r="AMT247" s="144"/>
      <c r="AMU247" s="144"/>
      <c r="AMV247" s="144"/>
      <c r="AMW247" s="144"/>
      <c r="AMX247" s="144"/>
      <c r="AMY247" s="144"/>
      <c r="AMZ247" s="144"/>
      <c r="ANA247" s="144"/>
      <c r="ANB247" s="144"/>
      <c r="ANC247" s="144"/>
      <c r="AND247" s="144"/>
      <c r="ANE247" s="144"/>
      <c r="ANF247" s="144"/>
      <c r="ANG247" s="144"/>
      <c r="ANH247" s="144"/>
      <c r="ANI247" s="144"/>
      <c r="ANJ247" s="144"/>
      <c r="ANK247" s="144"/>
      <c r="ANL247" s="144"/>
      <c r="ANM247" s="144"/>
      <c r="ANN247" s="144"/>
      <c r="ANO247" s="144"/>
      <c r="ANP247" s="144"/>
      <c r="ANQ247" s="144"/>
      <c r="ANR247" s="144"/>
      <c r="ANS247" s="144"/>
      <c r="ANT247" s="144"/>
      <c r="ANU247" s="144"/>
      <c r="ANV247" s="144"/>
      <c r="ANW247" s="144"/>
      <c r="ANX247" s="144"/>
      <c r="ANY247" s="144"/>
      <c r="ANZ247" s="144"/>
      <c r="AOA247" s="144"/>
      <c r="AOB247" s="144"/>
      <c r="AOC247" s="144"/>
      <c r="AOD247" s="144"/>
      <c r="AOE247" s="144"/>
      <c r="AOF247" s="144"/>
      <c r="AOG247" s="144"/>
      <c r="AOH247" s="144"/>
      <c r="AOI247" s="144"/>
      <c r="AOJ247" s="144"/>
      <c r="AOK247" s="144"/>
      <c r="AOL247" s="144"/>
      <c r="AOM247" s="144"/>
      <c r="AON247" s="144"/>
      <c r="AOO247" s="144"/>
      <c r="AOP247" s="144"/>
      <c r="AOQ247" s="144"/>
      <c r="AOR247" s="144"/>
      <c r="AOS247" s="144"/>
      <c r="AOT247" s="144"/>
      <c r="AOU247" s="144"/>
      <c r="AOV247" s="144"/>
      <c r="AOW247" s="144"/>
      <c r="AOX247" s="144"/>
      <c r="AOY247" s="144"/>
      <c r="AOZ247" s="144"/>
      <c r="APA247" s="144"/>
      <c r="APB247" s="144"/>
      <c r="APC247" s="144"/>
      <c r="APD247" s="144"/>
      <c r="APE247" s="144"/>
      <c r="APF247" s="144"/>
      <c r="APG247" s="144"/>
      <c r="APH247" s="144"/>
      <c r="API247" s="144"/>
      <c r="APJ247" s="144"/>
      <c r="APK247" s="144"/>
      <c r="APL247" s="144"/>
      <c r="APM247" s="144"/>
      <c r="APN247" s="144"/>
      <c r="APO247" s="144"/>
      <c r="APP247" s="144"/>
      <c r="APQ247" s="144"/>
      <c r="APR247" s="144"/>
      <c r="APS247" s="144"/>
      <c r="APT247" s="144"/>
      <c r="APU247" s="144"/>
      <c r="APV247" s="144"/>
      <c r="APW247" s="144"/>
      <c r="APX247" s="144"/>
      <c r="APY247" s="144"/>
      <c r="APZ247" s="144"/>
      <c r="AQA247" s="144"/>
      <c r="AQB247" s="144"/>
      <c r="AQC247" s="144"/>
      <c r="AQD247" s="144"/>
      <c r="AQE247" s="144"/>
      <c r="AQF247" s="144"/>
      <c r="AQG247" s="144"/>
      <c r="AQH247" s="144"/>
      <c r="AQI247" s="144"/>
      <c r="AQJ247" s="144"/>
      <c r="AQK247" s="144"/>
      <c r="AQL247" s="144"/>
      <c r="AQM247" s="144"/>
      <c r="AQN247" s="144"/>
      <c r="AQO247" s="144"/>
      <c r="AQP247" s="144"/>
      <c r="AQQ247" s="144"/>
      <c r="AQR247" s="144"/>
      <c r="AQS247" s="144"/>
      <c r="AQT247" s="144"/>
      <c r="AQU247" s="144"/>
      <c r="AQV247" s="144"/>
      <c r="AQW247" s="144"/>
      <c r="AQX247" s="144"/>
      <c r="AQY247" s="144"/>
      <c r="AQZ247" s="144"/>
      <c r="ARA247" s="144"/>
      <c r="ARB247" s="144"/>
      <c r="ARC247" s="144"/>
      <c r="ARD247" s="144"/>
      <c r="ARE247" s="144"/>
      <c r="ARF247" s="144"/>
      <c r="ARG247" s="144"/>
      <c r="ARH247" s="144"/>
      <c r="ARI247" s="144"/>
      <c r="ARJ247" s="144"/>
      <c r="ARK247" s="144"/>
      <c r="ARL247" s="144"/>
      <c r="ARM247" s="144"/>
      <c r="ARN247" s="144"/>
      <c r="ARO247" s="144"/>
      <c r="ARP247" s="144"/>
      <c r="ARQ247" s="144"/>
      <c r="ARR247" s="144"/>
      <c r="ARS247" s="144"/>
      <c r="ART247" s="144"/>
      <c r="ARU247" s="144"/>
      <c r="ARV247" s="144"/>
      <c r="ARW247" s="144"/>
      <c r="ARX247" s="144"/>
      <c r="ARY247" s="144"/>
      <c r="ARZ247" s="144"/>
      <c r="ASA247" s="144"/>
      <c r="ASB247" s="144"/>
      <c r="ASC247" s="144"/>
      <c r="ASD247" s="144"/>
      <c r="ASE247" s="144"/>
      <c r="ASF247" s="144"/>
    </row>
    <row r="248" spans="329:1176" ht="48" customHeight="1">
      <c r="QU248" s="144"/>
      <c r="QV248" s="144"/>
      <c r="QW248" s="144"/>
      <c r="QX248" s="144"/>
      <c r="QY248" s="144"/>
      <c r="QZ248" s="144"/>
      <c r="RA248" s="144"/>
      <c r="RB248" s="144"/>
      <c r="RC248" s="144"/>
      <c r="RD248" s="144"/>
      <c r="RE248" s="144"/>
      <c r="RF248" s="144"/>
      <c r="RG248" s="144"/>
      <c r="XM248" s="144"/>
      <c r="XN248" s="144"/>
      <c r="YX248" s="144"/>
      <c r="YY248" s="144"/>
      <c r="YZ248" s="144"/>
      <c r="AAH248" s="144"/>
      <c r="AAI248" s="144"/>
      <c r="AAJ248" s="144"/>
      <c r="AAK248" s="144"/>
      <c r="AAL248" s="144"/>
      <c r="AAM248" s="144"/>
      <c r="AAN248" s="144"/>
      <c r="AAO248" s="144"/>
      <c r="AAP248" s="144"/>
      <c r="AAQ248" s="144"/>
      <c r="AAW248" s="144"/>
      <c r="AAX248" s="144"/>
      <c r="AAY248" s="144"/>
      <c r="AAZ248" s="144"/>
      <c r="ABA248" s="144"/>
      <c r="ABB248" s="144"/>
      <c r="ABC248" s="144"/>
      <c r="ABD248" s="144"/>
      <c r="ABE248" s="144"/>
      <c r="ABF248" s="144"/>
      <c r="ABG248" s="144"/>
      <c r="ABH248" s="144"/>
      <c r="ABI248" s="144"/>
      <c r="ABJ248" s="144"/>
      <c r="ABK248" s="144"/>
      <c r="ABL248" s="144"/>
      <c r="ABM248" s="144"/>
      <c r="ABN248" s="144"/>
      <c r="ABO248" s="144"/>
      <c r="ABP248" s="144"/>
      <c r="ABQ248" s="144"/>
      <c r="AGL248" s="144"/>
      <c r="AGM248" s="144"/>
      <c r="AGN248" s="144"/>
      <c r="AGO248" s="144"/>
      <c r="AGP248" s="144"/>
      <c r="AGQ248" s="144"/>
      <c r="AGR248" s="144"/>
      <c r="AGS248" s="144"/>
      <c r="AGT248" s="144"/>
      <c r="AGU248" s="144"/>
      <c r="AGV248" s="144"/>
      <c r="AGW248" s="144"/>
      <c r="AGX248" s="144"/>
      <c r="AGY248" s="144"/>
      <c r="AGZ248" s="144"/>
      <c r="AHA248" s="144"/>
      <c r="AHB248" s="144"/>
      <c r="AHC248" s="144"/>
      <c r="AHD248" s="144"/>
      <c r="AHV248" s="144"/>
      <c r="AHW248" s="144"/>
      <c r="AHX248" s="144"/>
      <c r="AHY248" s="144"/>
      <c r="AHZ248" s="144"/>
      <c r="AIA248" s="144"/>
      <c r="AIB248" s="144"/>
      <c r="AIC248" s="144"/>
      <c r="AID248" s="144"/>
      <c r="AIE248" s="144"/>
      <c r="AIF248" s="144"/>
      <c r="AIG248" s="144"/>
      <c r="AIH248" s="144"/>
      <c r="AII248" s="144"/>
      <c r="AIJ248" s="144"/>
      <c r="AIK248" s="144"/>
      <c r="AIL248" s="144"/>
      <c r="AIM248" s="144"/>
      <c r="AIN248" s="144"/>
      <c r="AIO248" s="144"/>
      <c r="AIP248" s="144"/>
      <c r="AIQ248" s="144"/>
      <c r="AIR248" s="144"/>
      <c r="AIS248" s="144"/>
      <c r="AIT248" s="144"/>
      <c r="AIU248" s="144"/>
      <c r="AIV248" s="144"/>
      <c r="AIW248" s="144"/>
      <c r="AIX248" s="144"/>
      <c r="AIY248" s="144"/>
      <c r="AIZ248" s="144"/>
      <c r="AJA248" s="144"/>
      <c r="AJB248" s="144"/>
      <c r="AJC248" s="144"/>
      <c r="AJD248" s="144"/>
      <c r="AJE248" s="144"/>
      <c r="AJF248" s="144"/>
      <c r="AJG248" s="144"/>
      <c r="AJH248" s="144"/>
      <c r="AJI248" s="144"/>
      <c r="AJJ248" s="144"/>
      <c r="AJK248" s="144"/>
      <c r="AJL248" s="144"/>
      <c r="AJM248" s="144"/>
      <c r="AJN248" s="144"/>
      <c r="AJO248" s="144"/>
      <c r="AJP248" s="144"/>
      <c r="AJQ248" s="144"/>
      <c r="AJR248" s="144"/>
      <c r="AJS248" s="144"/>
      <c r="AJT248" s="144"/>
      <c r="AJU248" s="144"/>
      <c r="AJV248" s="144"/>
      <c r="AJW248" s="144"/>
      <c r="AJX248" s="144"/>
      <c r="AJY248" s="144"/>
      <c r="AJZ248" s="144"/>
      <c r="AKA248" s="144"/>
      <c r="AKB248" s="144"/>
      <c r="AKC248" s="144"/>
      <c r="AKD248" s="144"/>
      <c r="AKE248" s="144"/>
      <c r="AKF248" s="144"/>
      <c r="AKG248" s="144"/>
      <c r="AKH248" s="144"/>
      <c r="AKI248" s="144"/>
      <c r="AKJ248" s="144"/>
      <c r="AKK248" s="144"/>
      <c r="AKL248" s="144"/>
      <c r="AKM248" s="144"/>
      <c r="AKN248" s="144"/>
      <c r="AKO248" s="144"/>
      <c r="AKP248" s="144"/>
      <c r="AKQ248" s="144"/>
      <c r="AKR248" s="144"/>
      <c r="AKS248" s="144"/>
      <c r="AKT248" s="144"/>
      <c r="AKU248" s="144"/>
      <c r="AKV248" s="144"/>
      <c r="AKW248" s="144"/>
      <c r="ALJ248" s="144"/>
      <c r="ALK248" s="144"/>
      <c r="ALL248" s="144"/>
      <c r="ALM248" s="144"/>
      <c r="ALN248" s="144"/>
      <c r="ALO248" s="144"/>
      <c r="ALP248" s="144"/>
      <c r="ALQ248" s="144"/>
      <c r="ALR248" s="144"/>
      <c r="ALS248" s="144"/>
      <c r="ALT248" s="144"/>
      <c r="ALU248" s="144"/>
      <c r="ALV248" s="144"/>
      <c r="ALW248" s="144"/>
      <c r="ALX248" s="144"/>
      <c r="ALY248" s="144"/>
      <c r="ALZ248" s="144"/>
      <c r="AMA248" s="144"/>
      <c r="AMB248" s="144"/>
      <c r="AMC248" s="144"/>
      <c r="AMD248" s="144"/>
      <c r="AME248" s="144"/>
      <c r="AMF248" s="144"/>
      <c r="AMG248" s="144"/>
      <c r="AMH248" s="144"/>
      <c r="AMI248" s="144"/>
      <c r="AMJ248" s="144"/>
      <c r="AMK248" s="144"/>
      <c r="AML248" s="144"/>
      <c r="AMM248" s="144"/>
      <c r="AMN248" s="144"/>
      <c r="AMO248" s="144"/>
      <c r="AMP248" s="144"/>
      <c r="AMQ248" s="144"/>
      <c r="AMR248" s="144"/>
      <c r="AMS248" s="144"/>
      <c r="AMT248" s="144"/>
      <c r="AMU248" s="144"/>
      <c r="AMV248" s="144"/>
      <c r="AMW248" s="144"/>
      <c r="AMX248" s="144"/>
      <c r="AMY248" s="144"/>
      <c r="AMZ248" s="144"/>
      <c r="ANA248" s="144"/>
      <c r="ANB248" s="144"/>
      <c r="ANC248" s="144"/>
      <c r="AND248" s="144"/>
      <c r="ANE248" s="144"/>
      <c r="ANF248" s="144"/>
      <c r="ANG248" s="144"/>
      <c r="ANH248" s="144"/>
      <c r="ANI248" s="144"/>
      <c r="ANJ248" s="144"/>
      <c r="ANK248" s="144"/>
      <c r="ANL248" s="144"/>
      <c r="ANM248" s="144"/>
      <c r="ANN248" s="144"/>
      <c r="ANO248" s="144"/>
      <c r="ANP248" s="144"/>
      <c r="ANQ248" s="144"/>
      <c r="ANR248" s="144"/>
      <c r="ANS248" s="144"/>
      <c r="ANT248" s="144"/>
      <c r="ANU248" s="144"/>
      <c r="ANV248" s="144"/>
      <c r="ANW248" s="144"/>
      <c r="ANX248" s="144"/>
      <c r="ANY248" s="144"/>
      <c r="ANZ248" s="144"/>
      <c r="AOA248" s="144"/>
      <c r="AOB248" s="144"/>
      <c r="AOC248" s="144"/>
      <c r="AOD248" s="144"/>
      <c r="AOE248" s="144"/>
      <c r="AOF248" s="144"/>
      <c r="AOG248" s="144"/>
      <c r="AOH248" s="144"/>
      <c r="AOI248" s="144"/>
      <c r="AOJ248" s="144"/>
      <c r="AOK248" s="144"/>
      <c r="AOL248" s="144"/>
      <c r="AOM248" s="144"/>
      <c r="AON248" s="144"/>
      <c r="AOO248" s="144"/>
      <c r="AOP248" s="144"/>
      <c r="AOQ248" s="144"/>
      <c r="AOR248" s="144"/>
      <c r="AOS248" s="144"/>
      <c r="AOT248" s="144"/>
      <c r="AOU248" s="144"/>
      <c r="AOV248" s="144"/>
      <c r="AOW248" s="144"/>
      <c r="AOX248" s="144"/>
      <c r="AOY248" s="144"/>
      <c r="AOZ248" s="144"/>
      <c r="APA248" s="144"/>
      <c r="APB248" s="144"/>
      <c r="APC248" s="144"/>
      <c r="APD248" s="144"/>
      <c r="APE248" s="144"/>
      <c r="APF248" s="144"/>
      <c r="APG248" s="144"/>
      <c r="APH248" s="144"/>
      <c r="API248" s="144"/>
      <c r="APJ248" s="144"/>
      <c r="APK248" s="144"/>
      <c r="APL248" s="144"/>
      <c r="APM248" s="144"/>
      <c r="APN248" s="144"/>
      <c r="APO248" s="144"/>
      <c r="APP248" s="144"/>
      <c r="APQ248" s="144"/>
      <c r="APR248" s="144"/>
      <c r="APS248" s="144"/>
      <c r="APT248" s="144"/>
      <c r="APU248" s="144"/>
      <c r="APV248" s="144"/>
      <c r="APW248" s="144"/>
      <c r="APX248" s="144"/>
      <c r="APY248" s="144"/>
      <c r="APZ248" s="144"/>
      <c r="AQA248" s="144"/>
      <c r="AQB248" s="144"/>
      <c r="AQC248" s="144"/>
      <c r="AQD248" s="144"/>
      <c r="AQE248" s="144"/>
      <c r="AQF248" s="144"/>
      <c r="AQG248" s="144"/>
      <c r="AQH248" s="144"/>
      <c r="AQI248" s="144"/>
      <c r="AQJ248" s="144"/>
      <c r="AQK248" s="144"/>
      <c r="AQL248" s="144"/>
      <c r="AQM248" s="144"/>
      <c r="AQN248" s="144"/>
      <c r="AQO248" s="144"/>
      <c r="AQP248" s="144"/>
      <c r="AQQ248" s="144"/>
      <c r="AQR248" s="144"/>
      <c r="AQS248" s="144"/>
      <c r="AQT248" s="144"/>
      <c r="AQU248" s="144"/>
      <c r="AQV248" s="144"/>
      <c r="AQW248" s="144"/>
      <c r="AQX248" s="144"/>
      <c r="AQY248" s="144"/>
      <c r="AQZ248" s="144"/>
      <c r="ARA248" s="144"/>
      <c r="ARB248" s="144"/>
      <c r="ARC248" s="144"/>
      <c r="ARD248" s="144"/>
      <c r="ARE248" s="144"/>
      <c r="ARF248" s="144"/>
      <c r="ARG248" s="144"/>
      <c r="ARH248" s="144"/>
      <c r="ARI248" s="144"/>
      <c r="ARJ248" s="144"/>
      <c r="ARK248" s="144"/>
      <c r="ARL248" s="144"/>
      <c r="ARM248" s="144"/>
      <c r="ARN248" s="144"/>
      <c r="ARO248" s="144"/>
      <c r="ARP248" s="144"/>
      <c r="ARQ248" s="144"/>
      <c r="ARR248" s="144"/>
      <c r="ARS248" s="144"/>
      <c r="ART248" s="144"/>
      <c r="ARU248" s="144"/>
      <c r="ARV248" s="144"/>
      <c r="ARW248" s="144"/>
      <c r="ARX248" s="144"/>
      <c r="ARY248" s="144"/>
      <c r="ARZ248" s="144"/>
      <c r="ASA248" s="144"/>
      <c r="ASB248" s="144"/>
      <c r="ASC248" s="144"/>
      <c r="ASD248" s="144"/>
      <c r="ASE248" s="144"/>
      <c r="ASF248" s="144"/>
    </row>
    <row r="249" spans="329:1176" ht="48" customHeight="1" thickBot="1">
      <c r="QU249" s="144"/>
      <c r="QV249" s="144"/>
      <c r="QW249" s="144"/>
      <c r="QX249" s="144"/>
      <c r="QY249" s="144"/>
      <c r="QZ249" s="144"/>
      <c r="RA249" s="144"/>
      <c r="RB249" s="144"/>
      <c r="RC249" s="144"/>
      <c r="RD249" s="144"/>
      <c r="RE249" s="144"/>
      <c r="RF249" s="144"/>
      <c r="RG249" s="144"/>
      <c r="XM249" s="144"/>
      <c r="XN249" s="144"/>
      <c r="XO249" s="825"/>
      <c r="XP249" s="665" t="s">
        <v>442</v>
      </c>
      <c r="XQ249" s="666"/>
      <c r="XR249" s="1107"/>
      <c r="XS249" s="1108"/>
      <c r="XT249" s="844" t="s">
        <v>1472</v>
      </c>
      <c r="XU249" s="845"/>
      <c r="XV249" s="884">
        <f>$MN$229</f>
        <v>0.96983668719546179</v>
      </c>
      <c r="XW249" s="884"/>
      <c r="XX249" s="87"/>
      <c r="XY249" s="456"/>
      <c r="XZ249" s="85" t="s">
        <v>467</v>
      </c>
      <c r="YA249" s="757" t="s">
        <v>461</v>
      </c>
      <c r="YB249" s="899"/>
      <c r="YC249" s="819" t="s">
        <v>126</v>
      </c>
      <c r="YD249" s="820"/>
      <c r="YE249" s="675" t="s">
        <v>731</v>
      </c>
      <c r="YF249" s="1094"/>
      <c r="YG249" s="769" t="s">
        <v>473</v>
      </c>
      <c r="YH249" s="769"/>
      <c r="YI249" s="769"/>
      <c r="YJ249" s="769"/>
      <c r="YK249" s="769"/>
      <c r="YL249" s="769" t="s">
        <v>462</v>
      </c>
      <c r="YM249" s="769"/>
      <c r="YN249" s="769"/>
      <c r="YO249" s="769"/>
      <c r="YP249" s="769"/>
      <c r="YQ249" s="769"/>
      <c r="YR249" s="769"/>
      <c r="YS249" s="769"/>
      <c r="YT249" s="769"/>
      <c r="YU249" s="769"/>
      <c r="YV249" s="769"/>
      <c r="YW249" s="769"/>
      <c r="YX249" s="144"/>
      <c r="AAH249" s="144"/>
      <c r="AAI249" s="144"/>
      <c r="AAJ249" s="144"/>
      <c r="AAK249" s="144"/>
      <c r="AAL249" s="144"/>
      <c r="AAM249" s="144"/>
      <c r="AAN249" s="144"/>
      <c r="AAO249" s="144"/>
      <c r="AAP249" s="144"/>
      <c r="AAQ249" s="144"/>
      <c r="AAW249" s="144"/>
      <c r="AAX249" s="144"/>
      <c r="AAY249" s="144"/>
      <c r="AAZ249" s="144"/>
      <c r="ABA249" s="144"/>
      <c r="ABB249" s="144"/>
      <c r="ABC249" s="144"/>
      <c r="ABD249" s="144"/>
      <c r="ABE249" s="144"/>
      <c r="ABF249" s="144"/>
      <c r="ABG249" s="144"/>
      <c r="ABH249" s="144"/>
      <c r="ABI249" s="144"/>
      <c r="ABJ249" s="144"/>
      <c r="ABK249" s="144"/>
      <c r="ABL249" s="144"/>
      <c r="ABM249" s="144"/>
      <c r="ABN249" s="144"/>
      <c r="ABO249" s="144"/>
      <c r="ABP249" s="144"/>
      <c r="ABQ249" s="144"/>
      <c r="AGL249" s="144"/>
      <c r="AGM249" s="144"/>
      <c r="AGN249" s="144"/>
      <c r="AGO249" s="144"/>
      <c r="AGP249" s="144"/>
      <c r="AGQ249" s="144"/>
      <c r="AGR249" s="144"/>
      <c r="AGS249" s="144"/>
      <c r="AGT249" s="144"/>
      <c r="AGU249" s="144"/>
      <c r="AGV249" s="144"/>
      <c r="AGW249" s="144"/>
      <c r="AGX249" s="144"/>
      <c r="AGY249" s="144"/>
      <c r="AGZ249" s="144"/>
      <c r="AHA249" s="144"/>
      <c r="AHB249" s="144"/>
      <c r="AHC249" s="144"/>
      <c r="AHD249" s="144"/>
      <c r="AHV249" s="144"/>
      <c r="AHW249" s="144"/>
      <c r="AHX249" s="144"/>
      <c r="AHY249" s="144"/>
      <c r="AHZ249" s="144"/>
      <c r="AIA249" s="144"/>
      <c r="AIB249" s="144"/>
      <c r="AIC249" s="144"/>
      <c r="AID249" s="144"/>
      <c r="AIE249" s="144"/>
      <c r="AIF249" s="144"/>
      <c r="AIG249" s="144"/>
      <c r="AIH249" s="144"/>
      <c r="AII249" s="144"/>
      <c r="AIJ249" s="144"/>
      <c r="AIK249" s="144"/>
      <c r="AIL249" s="144"/>
      <c r="AIM249" s="144"/>
      <c r="AIN249" s="144"/>
      <c r="AIO249" s="144"/>
      <c r="AIP249" s="144"/>
      <c r="AIQ249" s="144"/>
      <c r="AIR249" s="144"/>
      <c r="AIS249" s="144"/>
      <c r="AIT249" s="144"/>
      <c r="AIU249" s="144"/>
      <c r="AIV249" s="144"/>
      <c r="AIW249" s="144"/>
      <c r="AIX249" s="144"/>
      <c r="AIY249" s="144"/>
      <c r="AIZ249" s="144"/>
      <c r="AJA249" s="144"/>
      <c r="AJB249" s="144"/>
      <c r="AJC249" s="144"/>
      <c r="AJD249" s="144"/>
      <c r="AJE249" s="144"/>
      <c r="AJF249" s="144"/>
      <c r="AJG249" s="144"/>
      <c r="AJH249" s="144"/>
      <c r="AJI249" s="144"/>
      <c r="AJJ249" s="144"/>
      <c r="AJK249" s="144"/>
      <c r="AJL249" s="144"/>
      <c r="AJM249" s="144"/>
      <c r="AJN249" s="144"/>
      <c r="AJO249" s="144"/>
      <c r="AJP249" s="144"/>
      <c r="AJQ249" s="144"/>
      <c r="AJR249" s="144"/>
      <c r="AJS249" s="144"/>
      <c r="AJT249" s="144"/>
      <c r="AJU249" s="144"/>
      <c r="AJV249" s="144"/>
      <c r="AJW249" s="144"/>
      <c r="AJX249" s="144"/>
      <c r="AJY249" s="144"/>
      <c r="AJZ249" s="144"/>
      <c r="AKA249" s="144"/>
      <c r="AKB249" s="144"/>
      <c r="AKC249" s="144"/>
      <c r="AKD249" s="144"/>
      <c r="AKE249" s="144"/>
      <c r="AKF249" s="144"/>
      <c r="AKG249" s="144"/>
      <c r="AKH249" s="144"/>
      <c r="AKI249" s="144"/>
      <c r="AKJ249" s="144"/>
      <c r="AKK249" s="144"/>
      <c r="AKL249" s="144"/>
      <c r="AKM249" s="144"/>
      <c r="AKN249" s="144"/>
      <c r="AKO249" s="144"/>
      <c r="AKP249" s="144"/>
      <c r="AKQ249" s="144"/>
      <c r="AKR249" s="144"/>
      <c r="AKS249" s="144"/>
      <c r="AKT249" s="144"/>
      <c r="AKU249" s="144"/>
      <c r="AKV249" s="144"/>
      <c r="AKW249" s="144"/>
      <c r="ALJ249" s="144"/>
      <c r="ALK249" s="144"/>
      <c r="ALL249" s="144"/>
      <c r="ALM249" s="144"/>
      <c r="ALN249" s="144"/>
      <c r="ALO249" s="144"/>
      <c r="ALP249" s="144"/>
      <c r="ALQ249" s="144"/>
      <c r="ALR249" s="144"/>
      <c r="ALS249" s="144"/>
      <c r="ALT249" s="144"/>
      <c r="ALU249" s="144"/>
      <c r="ALV249" s="144"/>
      <c r="ALW249" s="144"/>
      <c r="ALX249" s="144"/>
      <c r="ALY249" s="144"/>
      <c r="ALZ249" s="144"/>
      <c r="AMA249" s="144"/>
      <c r="AMB249" s="144"/>
      <c r="AMC249" s="144"/>
      <c r="AMD249" s="144"/>
      <c r="AME249" s="144"/>
      <c r="AMF249" s="144"/>
      <c r="AMG249" s="144"/>
      <c r="AMH249" s="144"/>
      <c r="AMI249" s="144"/>
      <c r="AMJ249" s="144"/>
      <c r="AMK249" s="144"/>
      <c r="AML249" s="144"/>
      <c r="AMM249" s="144"/>
      <c r="AMN249" s="144"/>
      <c r="AMO249" s="144"/>
      <c r="AMP249" s="144"/>
      <c r="AMQ249" s="144"/>
      <c r="AMR249" s="144"/>
      <c r="AMS249" s="144"/>
      <c r="AMT249" s="144"/>
      <c r="AMU249" s="144"/>
      <c r="AMV249" s="144"/>
      <c r="AMW249" s="144"/>
      <c r="AMX249" s="144"/>
      <c r="AMY249" s="144"/>
      <c r="AMZ249" s="144"/>
      <c r="ANA249" s="144"/>
      <c r="ANB249" s="144"/>
      <c r="ANC249" s="144"/>
      <c r="AND249" s="144"/>
      <c r="ANE249" s="144"/>
      <c r="ANF249" s="144"/>
      <c r="ANG249" s="144"/>
      <c r="ANH249" s="144"/>
      <c r="ANI249" s="144"/>
      <c r="ANJ249" s="144"/>
      <c r="ANK249" s="144"/>
      <c r="ANL249" s="144"/>
      <c r="ANM249" s="144"/>
      <c r="ANN249" s="144"/>
      <c r="ANO249" s="144"/>
      <c r="ANP249" s="144"/>
      <c r="ANQ249" s="144"/>
      <c r="ANR249" s="144"/>
      <c r="ANS249" s="144"/>
      <c r="ANT249" s="144"/>
      <c r="ANU249" s="144"/>
      <c r="ANV249" s="144"/>
      <c r="ANW249" s="144"/>
      <c r="ANX249" s="144"/>
      <c r="ANY249" s="144"/>
      <c r="ANZ249" s="144"/>
      <c r="AOA249" s="144"/>
      <c r="AOB249" s="144"/>
      <c r="AOC249" s="144"/>
      <c r="AOD249" s="144"/>
      <c r="AOE249" s="144"/>
      <c r="AOF249" s="144"/>
      <c r="AOG249" s="144"/>
      <c r="AOH249" s="144"/>
      <c r="AOI249" s="144"/>
      <c r="AOJ249" s="144"/>
      <c r="AOK249" s="144"/>
      <c r="AOL249" s="144"/>
      <c r="AOM249" s="144"/>
      <c r="AON249" s="144"/>
      <c r="AOO249" s="144"/>
      <c r="AOP249" s="144"/>
      <c r="AOQ249" s="144"/>
      <c r="AOR249" s="144"/>
      <c r="AOS249" s="144"/>
      <c r="AOT249" s="144"/>
      <c r="AOU249" s="144"/>
      <c r="AOV249" s="144"/>
      <c r="AOW249" s="144"/>
      <c r="AOX249" s="144"/>
      <c r="AOY249" s="144"/>
      <c r="AOZ249" s="144"/>
      <c r="APA249" s="144"/>
      <c r="APB249" s="144"/>
      <c r="APC249" s="144"/>
      <c r="APD249" s="144"/>
      <c r="APE249" s="144"/>
      <c r="APF249" s="144"/>
      <c r="APG249" s="144"/>
      <c r="APH249" s="144"/>
      <c r="API249" s="144"/>
      <c r="APJ249" s="144"/>
      <c r="APK249" s="144"/>
      <c r="APL249" s="144"/>
      <c r="APM249" s="144"/>
      <c r="APN249" s="144"/>
      <c r="APO249" s="144"/>
      <c r="APP249" s="144"/>
      <c r="APQ249" s="144"/>
      <c r="APR249" s="144"/>
      <c r="APS249" s="144"/>
      <c r="APT249" s="144"/>
      <c r="APU249" s="144"/>
      <c r="APV249" s="144"/>
      <c r="APW249" s="144"/>
      <c r="APX249" s="144"/>
      <c r="APY249" s="144"/>
      <c r="APZ249" s="144"/>
      <c r="AQA249" s="144"/>
      <c r="AQB249" s="144"/>
      <c r="AQC249" s="144"/>
      <c r="AQD249" s="144"/>
      <c r="AQE249" s="144"/>
      <c r="AQF249" s="144"/>
      <c r="AQG249" s="144"/>
      <c r="AQH249" s="144"/>
      <c r="AQI249" s="144"/>
      <c r="AQJ249" s="144"/>
      <c r="AQK249" s="144"/>
      <c r="AQL249" s="144"/>
      <c r="AQM249" s="144"/>
      <c r="AQN249" s="144"/>
      <c r="AQO249" s="144"/>
      <c r="AQP249" s="144"/>
      <c r="AQQ249" s="144"/>
      <c r="AQR249" s="144"/>
      <c r="AQS249" s="144"/>
      <c r="AQT249" s="144"/>
      <c r="AQU249" s="144"/>
      <c r="AQV249" s="144"/>
      <c r="AQW249" s="144"/>
      <c r="AQX249" s="144"/>
      <c r="AQY249" s="144"/>
      <c r="AQZ249" s="144"/>
      <c r="ARA249" s="144"/>
      <c r="ARB249" s="144"/>
      <c r="ARC249" s="144"/>
      <c r="ARD249" s="144"/>
      <c r="ARE249" s="144"/>
      <c r="ARF249" s="144"/>
      <c r="ARG249" s="144"/>
      <c r="ARH249" s="144"/>
      <c r="ARI249" s="144"/>
      <c r="ARJ249" s="144"/>
      <c r="ARK249" s="144"/>
      <c r="ARL249" s="144"/>
      <c r="ARM249" s="144"/>
      <c r="ARN249" s="144"/>
      <c r="ARO249" s="144"/>
      <c r="ARP249" s="144"/>
      <c r="ARQ249" s="144"/>
      <c r="ARR249" s="144"/>
      <c r="ARS249" s="144"/>
      <c r="ART249" s="144"/>
      <c r="ARU249" s="144"/>
      <c r="ARV249" s="144"/>
      <c r="ARW249" s="144"/>
      <c r="ARX249" s="144"/>
      <c r="ARY249" s="144"/>
      <c r="ARZ249" s="144"/>
      <c r="ASA249" s="144"/>
      <c r="ASB249" s="144"/>
      <c r="ASC249" s="144"/>
      <c r="ASD249" s="144"/>
      <c r="ASE249" s="144"/>
      <c r="ASF249" s="144"/>
    </row>
    <row r="250" spans="329:1176" ht="48" customHeight="1">
      <c r="QU250" s="144"/>
      <c r="QV250" s="144"/>
      <c r="QW250" s="144"/>
      <c r="QX250" s="144"/>
      <c r="QY250" s="144"/>
      <c r="QZ250" s="144"/>
      <c r="RA250" s="144"/>
      <c r="RB250" s="144"/>
      <c r="RC250" s="144"/>
      <c r="RD250" s="144"/>
      <c r="RE250" s="144"/>
      <c r="RF250" s="144"/>
      <c r="RG250" s="144"/>
      <c r="XM250" s="144"/>
      <c r="XN250" s="144"/>
      <c r="XO250" s="826"/>
      <c r="XP250" s="696" t="s">
        <v>1393</v>
      </c>
      <c r="XQ250" s="697"/>
      <c r="XR250" s="756">
        <f>$MN$204</f>
        <v>0.34913719955913641</v>
      </c>
      <c r="XS250" s="756"/>
      <c r="XT250" s="696" t="s">
        <v>1608</v>
      </c>
      <c r="XU250" s="697"/>
      <c r="XV250" s="756">
        <f>YC244</f>
        <v>0.15711173980161139</v>
      </c>
      <c r="XW250" s="756"/>
      <c r="XX250" s="940" t="s">
        <v>1604</v>
      </c>
      <c r="XY250" s="940"/>
      <c r="XZ250" s="940"/>
      <c r="YA250" s="940"/>
      <c r="YB250" s="1003"/>
      <c r="YC250" s="763">
        <f>MN229*(YC237+YC244+MN222)/(MQ200+MN204+MN222)</f>
        <v>0.46224289193227946</v>
      </c>
      <c r="YD250" s="764"/>
      <c r="YE250" s="917" t="s">
        <v>415</v>
      </c>
      <c r="YF250" s="896"/>
      <c r="YG250" s="978"/>
      <c r="YH250" s="1104" t="s">
        <v>1614</v>
      </c>
      <c r="YI250" s="1104"/>
      <c r="YJ250" s="1104"/>
      <c r="YK250" s="1085"/>
      <c r="YL250" s="767"/>
      <c r="YM250" s="767"/>
      <c r="YN250" s="767"/>
      <c r="YO250" s="767"/>
      <c r="YP250" s="767"/>
      <c r="YQ250" s="767"/>
      <c r="YR250" s="767"/>
      <c r="YS250" s="767"/>
      <c r="YT250" s="767"/>
      <c r="YU250" s="767"/>
      <c r="YV250" s="767"/>
      <c r="YW250" s="767"/>
      <c r="YX250" s="144"/>
      <c r="AAH250" s="144"/>
      <c r="AAI250" s="144"/>
      <c r="AAJ250" s="144"/>
      <c r="AAK250" s="144"/>
      <c r="AAL250" s="144"/>
      <c r="AAM250" s="144"/>
      <c r="AAN250" s="144"/>
      <c r="AAO250" s="144"/>
      <c r="AAP250" s="144"/>
      <c r="AAQ250" s="144"/>
      <c r="AAR250" s="144"/>
      <c r="AAS250" s="144"/>
      <c r="AAT250" s="144"/>
      <c r="AAW250" s="144"/>
      <c r="AAX250" s="144"/>
      <c r="AAY250" s="144"/>
      <c r="AAZ250" s="144"/>
      <c r="ABA250" s="144"/>
      <c r="ABB250" s="144"/>
      <c r="ABC250" s="144"/>
      <c r="ABD250" s="144"/>
      <c r="ABE250" s="144"/>
      <c r="ABF250" s="144"/>
      <c r="ABG250" s="144"/>
      <c r="ABH250" s="144"/>
      <c r="ABI250" s="144"/>
      <c r="ABJ250" s="144"/>
      <c r="ABK250" s="144"/>
      <c r="ABL250" s="144"/>
      <c r="ABM250" s="144"/>
      <c r="ABN250" s="144"/>
      <c r="ABO250" s="144"/>
      <c r="ABP250" s="144"/>
      <c r="ABQ250" s="144"/>
      <c r="ACE250" s="144"/>
      <c r="ACF250" s="144"/>
      <c r="ACG250" s="144"/>
      <c r="ACH250" s="144"/>
      <c r="ACI250" s="144"/>
      <c r="ACJ250" s="144"/>
      <c r="AGL250" s="144"/>
      <c r="AGM250" s="144"/>
      <c r="AGN250" s="144"/>
      <c r="AGO250" s="144"/>
      <c r="AGP250" s="144"/>
      <c r="AGQ250" s="144"/>
      <c r="AGR250" s="144"/>
      <c r="AGS250" s="144"/>
      <c r="AGT250" s="144"/>
      <c r="AGU250" s="144"/>
      <c r="AGV250" s="144"/>
      <c r="AGW250" s="144"/>
      <c r="AGX250" s="144"/>
      <c r="AGY250" s="144"/>
      <c r="AGZ250" s="144"/>
      <c r="AHA250" s="144"/>
      <c r="AHB250" s="144"/>
      <c r="AHC250" s="144"/>
      <c r="AHD250" s="144"/>
      <c r="AHV250" s="144"/>
      <c r="AHW250" s="144"/>
      <c r="AHX250" s="144"/>
      <c r="AHY250" s="144"/>
      <c r="AHZ250" s="144"/>
      <c r="AIA250" s="144"/>
      <c r="AIB250" s="144"/>
      <c r="AIC250" s="144"/>
      <c r="AID250" s="144"/>
      <c r="AIE250" s="144"/>
      <c r="AIF250" s="144"/>
      <c r="AIG250" s="144"/>
      <c r="AIH250" s="144"/>
      <c r="AII250" s="144"/>
      <c r="AIJ250" s="144"/>
      <c r="AIK250" s="144"/>
      <c r="AIL250" s="144"/>
      <c r="AIM250" s="144"/>
      <c r="AIN250" s="144"/>
      <c r="AIO250" s="144"/>
      <c r="AIP250" s="144"/>
      <c r="AIQ250" s="144"/>
      <c r="AIR250" s="144"/>
      <c r="AIS250" s="144"/>
      <c r="AIT250" s="144"/>
      <c r="AIU250" s="144"/>
      <c r="AIV250" s="144"/>
      <c r="AIW250" s="144"/>
      <c r="AIX250" s="144"/>
      <c r="AIY250" s="144"/>
      <c r="AIZ250" s="144"/>
      <c r="AJA250" s="144"/>
      <c r="AJB250" s="144"/>
      <c r="AJC250" s="144"/>
      <c r="AJD250" s="144"/>
      <c r="AJE250" s="144"/>
      <c r="AJF250" s="144"/>
      <c r="AJG250" s="144"/>
      <c r="AJH250" s="144"/>
      <c r="AJI250" s="144"/>
      <c r="AJJ250" s="144"/>
      <c r="AJK250" s="144"/>
      <c r="AJL250" s="144"/>
      <c r="AJM250" s="144"/>
      <c r="AJN250" s="144"/>
      <c r="AJO250" s="144"/>
      <c r="AJP250" s="144"/>
      <c r="AJQ250" s="144"/>
      <c r="AJR250" s="144"/>
      <c r="AJS250" s="144"/>
      <c r="AJT250" s="144"/>
      <c r="AJU250" s="144"/>
      <c r="AJV250" s="144"/>
      <c r="AJW250" s="144"/>
      <c r="AJX250" s="144"/>
      <c r="AJY250" s="144"/>
      <c r="AJZ250" s="144"/>
      <c r="AKA250" s="144"/>
      <c r="AKB250" s="144"/>
      <c r="AKC250" s="144"/>
      <c r="AKD250" s="144"/>
      <c r="AKE250" s="144"/>
      <c r="AKF250" s="144"/>
      <c r="AKG250" s="144"/>
      <c r="AKH250" s="144"/>
      <c r="AKI250" s="144"/>
      <c r="AKJ250" s="144"/>
      <c r="AKK250" s="144"/>
      <c r="AKL250" s="144"/>
      <c r="AKM250" s="144"/>
      <c r="AKN250" s="144"/>
      <c r="AKO250" s="144"/>
      <c r="AKP250" s="144"/>
      <c r="AKQ250" s="144"/>
      <c r="AKR250" s="144"/>
      <c r="AKS250" s="144"/>
      <c r="AKT250" s="144"/>
      <c r="AKU250" s="144"/>
      <c r="AKV250" s="144"/>
      <c r="AKW250" s="144"/>
      <c r="ALJ250" s="144"/>
      <c r="ALK250" s="144"/>
      <c r="ALL250" s="144"/>
      <c r="ALM250" s="144"/>
      <c r="ALN250" s="144"/>
      <c r="ALO250" s="144"/>
      <c r="ALP250" s="144"/>
      <c r="ALQ250" s="144"/>
      <c r="ALR250" s="144"/>
      <c r="ALS250" s="144"/>
      <c r="ALT250" s="144"/>
      <c r="ALU250" s="144"/>
      <c r="ALV250" s="144"/>
      <c r="ALW250" s="144"/>
      <c r="ALX250" s="144"/>
      <c r="ALY250" s="144"/>
      <c r="ALZ250" s="144"/>
      <c r="AMA250" s="144"/>
      <c r="AMB250" s="144"/>
      <c r="AMC250" s="144"/>
      <c r="AMD250" s="144"/>
      <c r="AME250" s="144"/>
      <c r="AMF250" s="144"/>
      <c r="AMG250" s="144"/>
      <c r="AMH250" s="144"/>
      <c r="AMI250" s="144"/>
      <c r="AMJ250" s="144"/>
      <c r="AMK250" s="144"/>
      <c r="AML250" s="144"/>
      <c r="AMM250" s="144"/>
      <c r="AMN250" s="144"/>
      <c r="AMO250" s="144"/>
      <c r="AMP250" s="144"/>
      <c r="AMQ250" s="144"/>
      <c r="AMR250" s="144"/>
      <c r="AMS250" s="144"/>
      <c r="AMT250" s="144"/>
      <c r="AMU250" s="144"/>
      <c r="AMV250" s="144"/>
      <c r="AMW250" s="144"/>
      <c r="AMX250" s="144"/>
      <c r="AMY250" s="144"/>
      <c r="AMZ250" s="144"/>
      <c r="ANA250" s="144"/>
      <c r="ANB250" s="144"/>
      <c r="ANC250" s="144"/>
      <c r="AND250" s="144"/>
      <c r="ANE250" s="144"/>
      <c r="ANF250" s="144"/>
      <c r="ANG250" s="144"/>
      <c r="ANH250" s="144"/>
      <c r="ANI250" s="144"/>
      <c r="ANJ250" s="144"/>
      <c r="ANK250" s="144"/>
      <c r="ANL250" s="144"/>
      <c r="ANM250" s="144"/>
      <c r="ANN250" s="144"/>
      <c r="ANO250" s="144"/>
      <c r="ANP250" s="144"/>
      <c r="ANQ250" s="144"/>
      <c r="ANR250" s="144"/>
      <c r="ANS250" s="144"/>
      <c r="ANT250" s="144"/>
      <c r="ANU250" s="144"/>
      <c r="ANV250" s="144"/>
      <c r="ANW250" s="144"/>
      <c r="ANX250" s="144"/>
      <c r="ANY250" s="144"/>
      <c r="ANZ250" s="144"/>
      <c r="AOA250" s="144"/>
      <c r="AOB250" s="144"/>
      <c r="AOC250" s="144"/>
      <c r="AOD250" s="144"/>
      <c r="AOE250" s="144"/>
      <c r="AOF250" s="144"/>
      <c r="AOG250" s="144"/>
      <c r="AOH250" s="144"/>
      <c r="AOI250" s="144"/>
      <c r="AOJ250" s="144"/>
      <c r="AOK250" s="144"/>
      <c r="AOL250" s="144"/>
      <c r="AOM250" s="144"/>
      <c r="AON250" s="144"/>
      <c r="AOO250" s="144"/>
      <c r="AOP250" s="144"/>
      <c r="AOQ250" s="144"/>
      <c r="AOR250" s="144"/>
      <c r="AOS250" s="144"/>
      <c r="AOT250" s="144"/>
      <c r="AOU250" s="144"/>
      <c r="AOV250" s="144"/>
      <c r="AOW250" s="144"/>
      <c r="AOX250" s="144"/>
      <c r="AOY250" s="144"/>
      <c r="AOZ250" s="144"/>
      <c r="APA250" s="144"/>
      <c r="APB250" s="144"/>
      <c r="APC250" s="144"/>
      <c r="APD250" s="144"/>
      <c r="APE250" s="144"/>
      <c r="APF250" s="144"/>
      <c r="APG250" s="144"/>
      <c r="APH250" s="144"/>
      <c r="API250" s="144"/>
      <c r="APJ250" s="144"/>
      <c r="APK250" s="144"/>
      <c r="APL250" s="144"/>
      <c r="APM250" s="144"/>
      <c r="APN250" s="144"/>
      <c r="APO250" s="144"/>
      <c r="APP250" s="144"/>
      <c r="APQ250" s="144"/>
      <c r="APR250" s="144"/>
      <c r="APS250" s="144"/>
      <c r="APT250" s="144"/>
      <c r="APU250" s="144"/>
      <c r="APV250" s="144"/>
      <c r="APW250" s="144"/>
      <c r="APX250" s="144"/>
      <c r="APY250" s="144"/>
      <c r="APZ250" s="144"/>
      <c r="AQA250" s="144"/>
      <c r="AQB250" s="144"/>
      <c r="AQC250" s="144"/>
      <c r="AQD250" s="144"/>
      <c r="AQE250" s="144"/>
      <c r="AQF250" s="144"/>
      <c r="AQG250" s="144"/>
      <c r="AQH250" s="144"/>
      <c r="AQI250" s="144"/>
      <c r="AQJ250" s="144"/>
      <c r="AQK250" s="144"/>
      <c r="AQL250" s="144"/>
      <c r="AQM250" s="144"/>
      <c r="AQN250" s="144"/>
      <c r="AQO250" s="144"/>
      <c r="AQP250" s="144"/>
      <c r="AQQ250" s="144"/>
      <c r="AQR250" s="144"/>
      <c r="AQS250" s="144"/>
      <c r="AQT250" s="144"/>
      <c r="AQU250" s="144"/>
      <c r="AQV250" s="144"/>
      <c r="AQW250" s="144"/>
      <c r="AQX250" s="144"/>
      <c r="AQY250" s="144"/>
      <c r="AQZ250" s="144"/>
      <c r="ARA250" s="144"/>
      <c r="ARB250" s="144"/>
      <c r="ARC250" s="144"/>
      <c r="ARD250" s="144"/>
      <c r="ARE250" s="144"/>
      <c r="ARF250" s="144"/>
      <c r="ARG250" s="144"/>
      <c r="ARH250" s="144"/>
      <c r="ARI250" s="144"/>
      <c r="ARJ250" s="144"/>
      <c r="ARK250" s="144"/>
      <c r="ARL250" s="144"/>
      <c r="ARM250" s="144"/>
      <c r="ARN250" s="144"/>
      <c r="ARO250" s="144"/>
      <c r="ARP250" s="144"/>
      <c r="ARQ250" s="144"/>
      <c r="ARR250" s="144"/>
      <c r="ARS250" s="144"/>
      <c r="ART250" s="144"/>
      <c r="ARU250" s="144"/>
      <c r="ARV250" s="144"/>
      <c r="ARW250" s="144"/>
      <c r="ARX250" s="144"/>
      <c r="ARY250" s="144"/>
      <c r="ARZ250" s="144"/>
      <c r="ASA250" s="144"/>
      <c r="ASB250" s="144"/>
      <c r="ASC250" s="144"/>
      <c r="ASD250" s="144"/>
      <c r="ASE250" s="144"/>
      <c r="ASF250" s="144"/>
    </row>
    <row r="251" spans="329:1176" ht="48" customHeight="1" thickBot="1">
      <c r="LQ251" s="144"/>
      <c r="LR251" s="144"/>
      <c r="LS251" s="144"/>
      <c r="LT251" s="144"/>
      <c r="LU251" s="144"/>
      <c r="LV251" s="144"/>
      <c r="QU251" s="144"/>
      <c r="QV251" s="144"/>
      <c r="QW251" s="144"/>
      <c r="QX251" s="144"/>
      <c r="QY251" s="144"/>
      <c r="QZ251" s="144"/>
      <c r="RA251" s="144"/>
      <c r="RB251" s="144"/>
      <c r="RC251" s="144"/>
      <c r="RD251" s="144"/>
      <c r="RE251" s="144"/>
      <c r="RF251" s="144"/>
      <c r="RG251" s="144"/>
      <c r="XM251" s="144"/>
      <c r="XN251" s="144"/>
      <c r="XO251" s="826"/>
      <c r="XP251" s="885" t="s">
        <v>1391</v>
      </c>
      <c r="XQ251" s="885"/>
      <c r="XR251" s="1129">
        <f>$MQ$200</f>
        <v>4.8197321291167521</v>
      </c>
      <c r="XS251" s="1129"/>
      <c r="XT251" s="863" t="s">
        <v>1609</v>
      </c>
      <c r="XU251" s="863"/>
      <c r="XV251" s="756">
        <f>$YC$233</f>
        <v>4.5751266025686448</v>
      </c>
      <c r="XW251" s="756"/>
      <c r="XX251" s="942"/>
      <c r="XY251" s="942"/>
      <c r="XZ251" s="942"/>
      <c r="YA251" s="942"/>
      <c r="YB251" s="1011"/>
      <c r="YC251" s="765"/>
      <c r="YD251" s="766"/>
      <c r="YE251" s="918"/>
      <c r="YF251" s="898"/>
      <c r="YG251" s="979"/>
      <c r="YH251" s="1105"/>
      <c r="YI251" s="1105"/>
      <c r="YJ251" s="1105"/>
      <c r="YK251" s="1086"/>
      <c r="YL251" s="767"/>
      <c r="YM251" s="767"/>
      <c r="YN251" s="767"/>
      <c r="YO251" s="767"/>
      <c r="YP251" s="767"/>
      <c r="YQ251" s="767"/>
      <c r="YR251" s="767"/>
      <c r="YS251" s="767"/>
      <c r="YT251" s="767"/>
      <c r="YU251" s="767"/>
      <c r="YV251" s="767"/>
      <c r="YW251" s="767"/>
      <c r="YX251" s="144"/>
      <c r="AAI251" s="144"/>
      <c r="AAJ251" s="144"/>
      <c r="AAK251" s="144"/>
      <c r="AAL251" s="144"/>
      <c r="AAM251" s="144"/>
      <c r="AAN251" s="144"/>
      <c r="AAO251" s="144"/>
      <c r="AAP251" s="144"/>
      <c r="AAQ251" s="144"/>
      <c r="AAR251" s="144"/>
      <c r="AAS251" s="144"/>
      <c r="AAT251" s="144"/>
      <c r="AAU251" s="144"/>
      <c r="AAV251" s="144"/>
      <c r="AAW251" s="144"/>
      <c r="AAX251" s="144"/>
      <c r="AAY251" s="144"/>
      <c r="AAZ251" s="144"/>
      <c r="ABA251" s="144"/>
      <c r="ABB251" s="144"/>
      <c r="ABC251" s="144"/>
      <c r="ABD251" s="144"/>
      <c r="ABE251" s="144"/>
      <c r="ABF251" s="144"/>
      <c r="ABG251" s="144"/>
      <c r="ABH251" s="144"/>
      <c r="ABI251" s="144"/>
      <c r="ABJ251" s="144"/>
      <c r="ABK251" s="144"/>
      <c r="ABL251" s="144"/>
      <c r="ABM251" s="144"/>
      <c r="ABN251" s="144"/>
      <c r="ABO251" s="144"/>
      <c r="ABP251" s="144"/>
      <c r="ABQ251" s="144"/>
      <c r="ACE251" s="144"/>
      <c r="ACF251" s="144"/>
      <c r="ACG251" s="144"/>
      <c r="ACH251" s="144"/>
      <c r="ACI251" s="144"/>
      <c r="ACJ251" s="144"/>
      <c r="AGL251" s="144"/>
      <c r="AGM251" s="144"/>
      <c r="AGN251" s="144"/>
      <c r="AGO251" s="144"/>
      <c r="AGP251" s="144"/>
      <c r="AGQ251" s="144"/>
      <c r="AGR251" s="144"/>
      <c r="AGS251" s="144"/>
      <c r="AGT251" s="144"/>
      <c r="AGU251" s="144"/>
      <c r="AGV251" s="144"/>
      <c r="AGW251" s="144"/>
      <c r="AGX251" s="144"/>
      <c r="AGY251" s="144"/>
      <c r="AGZ251" s="144"/>
      <c r="AHA251" s="144"/>
      <c r="AHB251" s="144"/>
      <c r="AHC251" s="144"/>
      <c r="AHD251" s="144"/>
      <c r="AHV251" s="144"/>
      <c r="AHW251" s="144"/>
      <c r="AHX251" s="144"/>
      <c r="AHY251" s="144"/>
      <c r="AHZ251" s="144"/>
      <c r="AIA251" s="144"/>
      <c r="AIB251" s="144"/>
      <c r="AIC251" s="144"/>
      <c r="AID251" s="144"/>
      <c r="AIE251" s="144"/>
      <c r="AIF251" s="144"/>
      <c r="AIG251" s="144"/>
      <c r="AIH251" s="144"/>
      <c r="AII251" s="144"/>
      <c r="AIJ251" s="144"/>
      <c r="AIK251" s="144"/>
      <c r="AIL251" s="144"/>
      <c r="AIM251" s="144"/>
      <c r="AIN251" s="144"/>
      <c r="AIO251" s="144"/>
      <c r="AIP251" s="144"/>
      <c r="AIQ251" s="144"/>
      <c r="AIR251" s="144"/>
      <c r="AIS251" s="144"/>
      <c r="AIT251" s="144"/>
      <c r="AIU251" s="144"/>
      <c r="AIV251" s="144"/>
      <c r="AIW251" s="144"/>
      <c r="AIX251" s="144"/>
      <c r="AIY251" s="144"/>
      <c r="AIZ251" s="144"/>
      <c r="AJA251" s="144"/>
      <c r="AJB251" s="144"/>
      <c r="AJC251" s="144"/>
      <c r="AJD251" s="144"/>
      <c r="AJE251" s="144"/>
      <c r="AJF251" s="144"/>
      <c r="AJG251" s="144"/>
      <c r="AJH251" s="144"/>
      <c r="AJI251" s="144"/>
      <c r="AJJ251" s="144"/>
      <c r="AJK251" s="144"/>
      <c r="AJL251" s="144"/>
      <c r="AJM251" s="144"/>
      <c r="AJN251" s="144"/>
      <c r="AJO251" s="144"/>
      <c r="AJP251" s="144"/>
      <c r="AJQ251" s="144"/>
      <c r="AJR251" s="144"/>
      <c r="AJS251" s="144"/>
      <c r="AJT251" s="144"/>
      <c r="AJU251" s="144"/>
      <c r="AJV251" s="144"/>
      <c r="AJW251" s="144"/>
      <c r="AJX251" s="144"/>
      <c r="AJY251" s="144"/>
      <c r="AJZ251" s="144"/>
      <c r="AKA251" s="144"/>
      <c r="AKB251" s="144"/>
      <c r="AKC251" s="144"/>
      <c r="AKD251" s="144"/>
      <c r="AKE251" s="144"/>
      <c r="AKF251" s="144"/>
      <c r="AKG251" s="144"/>
      <c r="AKH251" s="144"/>
      <c r="AKI251" s="144"/>
      <c r="AKJ251" s="144"/>
      <c r="AKK251" s="144"/>
      <c r="AKL251" s="144"/>
      <c r="ALJ251" s="144"/>
      <c r="ALK251" s="144"/>
      <c r="ALL251" s="144"/>
      <c r="ALM251" s="144"/>
      <c r="ALN251" s="144"/>
      <c r="ALO251" s="144"/>
      <c r="ALP251" s="144"/>
      <c r="ALQ251" s="144"/>
      <c r="ALR251" s="144"/>
      <c r="ALS251" s="144"/>
      <c r="ALT251" s="144"/>
      <c r="ALU251" s="144"/>
      <c r="ALV251" s="144"/>
      <c r="ALW251" s="144"/>
      <c r="ALX251" s="144"/>
      <c r="ALY251" s="144"/>
      <c r="ALZ251" s="144"/>
      <c r="AMA251" s="144"/>
      <c r="AMB251" s="144"/>
      <c r="AMC251" s="144"/>
      <c r="AMD251" s="144"/>
      <c r="AME251" s="144"/>
      <c r="AMF251" s="144"/>
      <c r="AMG251" s="144"/>
      <c r="AMH251" s="144"/>
      <c r="AMI251" s="144"/>
      <c r="AMJ251" s="144"/>
      <c r="AMK251" s="144"/>
      <c r="AML251" s="144"/>
      <c r="AMM251" s="144"/>
      <c r="AMN251" s="144"/>
      <c r="AMO251" s="144"/>
      <c r="AMP251" s="144"/>
      <c r="AMQ251" s="144"/>
      <c r="AMR251" s="144"/>
      <c r="AMS251" s="144"/>
      <c r="AMT251" s="144"/>
      <c r="AMU251" s="144"/>
      <c r="AMV251" s="144"/>
      <c r="AMW251" s="144"/>
      <c r="AMX251" s="144"/>
      <c r="AMY251" s="144"/>
      <c r="AMZ251" s="144"/>
      <c r="ANA251" s="144"/>
      <c r="ANB251" s="144"/>
      <c r="ANC251" s="144"/>
      <c r="AND251" s="144"/>
      <c r="ANE251" s="144"/>
      <c r="ANF251" s="144"/>
      <c r="ANG251" s="144"/>
      <c r="ANH251" s="144"/>
      <c r="ANI251" s="144"/>
      <c r="ANJ251" s="144"/>
      <c r="ANK251" s="144"/>
      <c r="ANL251" s="144"/>
      <c r="ANM251" s="144"/>
      <c r="ANN251" s="144"/>
      <c r="ANO251" s="144"/>
      <c r="ANP251" s="144"/>
      <c r="ANQ251" s="144"/>
      <c r="ANR251" s="144"/>
      <c r="ANS251" s="144"/>
      <c r="ANT251" s="144"/>
      <c r="ANU251" s="144"/>
      <c r="ANV251" s="144"/>
      <c r="ANW251" s="144"/>
      <c r="ANX251" s="144"/>
      <c r="ANY251" s="144"/>
      <c r="ANZ251" s="144"/>
      <c r="AOA251" s="144"/>
      <c r="AOB251" s="144"/>
      <c r="AOC251" s="144"/>
      <c r="AOD251" s="144"/>
      <c r="AOE251" s="144"/>
      <c r="AOF251" s="144"/>
      <c r="AOG251" s="144"/>
      <c r="AOH251" s="144"/>
      <c r="AOI251" s="144"/>
      <c r="AOJ251" s="144"/>
      <c r="AOK251" s="144"/>
      <c r="AOL251" s="144"/>
      <c r="AOM251" s="144"/>
      <c r="AON251" s="144"/>
      <c r="AOO251" s="144"/>
      <c r="AOP251" s="144"/>
      <c r="AOQ251" s="144"/>
      <c r="AOR251" s="144"/>
      <c r="AOS251" s="144"/>
      <c r="AOT251" s="144"/>
      <c r="AOU251" s="144"/>
      <c r="AOV251" s="144"/>
      <c r="AOW251" s="144"/>
      <c r="AOX251" s="144"/>
      <c r="AOY251" s="144"/>
      <c r="AOZ251" s="144"/>
      <c r="APA251" s="144"/>
      <c r="APB251" s="144"/>
      <c r="APC251" s="144"/>
      <c r="APD251" s="144"/>
      <c r="APE251" s="144"/>
      <c r="APF251" s="144"/>
      <c r="APG251" s="144"/>
      <c r="APH251" s="144"/>
      <c r="API251" s="144"/>
      <c r="APJ251" s="144"/>
      <c r="APK251" s="144"/>
      <c r="APL251" s="144"/>
      <c r="APM251" s="144"/>
      <c r="APN251" s="144"/>
      <c r="APO251" s="144"/>
      <c r="APP251" s="144"/>
      <c r="APQ251" s="144"/>
      <c r="APR251" s="144"/>
      <c r="APS251" s="144"/>
      <c r="APT251" s="144"/>
      <c r="APU251" s="144"/>
      <c r="APV251" s="144"/>
      <c r="APW251" s="144"/>
      <c r="APX251" s="144"/>
      <c r="APY251" s="144"/>
      <c r="APZ251" s="144"/>
      <c r="AQA251" s="144"/>
      <c r="AQB251" s="144"/>
      <c r="AQC251" s="144"/>
      <c r="AQD251" s="144"/>
      <c r="AQE251" s="144"/>
      <c r="AQF251" s="144"/>
      <c r="AQG251" s="144"/>
      <c r="AQH251" s="144"/>
      <c r="AQI251" s="144"/>
      <c r="AQJ251" s="144"/>
      <c r="AQK251" s="144"/>
      <c r="AQL251" s="144"/>
      <c r="AQM251" s="144"/>
      <c r="AQN251" s="144"/>
      <c r="AQO251" s="144"/>
      <c r="AQP251" s="144"/>
      <c r="AQQ251" s="144"/>
      <c r="AQR251" s="144"/>
      <c r="AQS251" s="144"/>
      <c r="AQT251" s="144"/>
      <c r="AQU251" s="144"/>
      <c r="AQV251" s="144"/>
      <c r="AQW251" s="144"/>
      <c r="AQX251" s="144"/>
      <c r="AQY251" s="144"/>
      <c r="AQZ251" s="144"/>
      <c r="ARA251" s="144"/>
      <c r="ARB251" s="144"/>
      <c r="ARC251" s="144"/>
      <c r="ARD251" s="144"/>
      <c r="ARE251" s="144"/>
      <c r="ARF251" s="144"/>
      <c r="ARG251" s="144"/>
      <c r="ARH251" s="144"/>
      <c r="ARI251" s="144"/>
      <c r="ARJ251" s="144"/>
      <c r="ARK251" s="144"/>
      <c r="ARL251" s="144"/>
      <c r="ARM251" s="144"/>
      <c r="ARN251" s="144"/>
      <c r="ARO251" s="144"/>
      <c r="ARP251" s="144"/>
      <c r="ARQ251" s="144"/>
      <c r="ARR251" s="144"/>
      <c r="ARS251" s="144"/>
      <c r="ART251" s="144"/>
      <c r="ARU251" s="144"/>
      <c r="ARV251" s="144"/>
      <c r="ARW251" s="144"/>
      <c r="ARX251" s="144"/>
      <c r="ARY251" s="144"/>
      <c r="ARZ251" s="144"/>
      <c r="ASA251" s="144"/>
      <c r="ASB251" s="144"/>
      <c r="ASC251" s="144"/>
      <c r="ASD251" s="144"/>
      <c r="ASE251" s="144"/>
      <c r="ASF251" s="144"/>
    </row>
    <row r="252" spans="329:1176" ht="48" customHeight="1" thickBot="1">
      <c r="LQ252" s="144"/>
      <c r="LR252" s="144"/>
      <c r="LS252" s="144"/>
      <c r="LT252" s="144"/>
      <c r="LU252" s="144"/>
      <c r="LV252" s="144"/>
      <c r="QU252" s="144"/>
      <c r="QV252" s="144"/>
      <c r="QW252" s="144"/>
      <c r="QX252" s="144"/>
      <c r="QY252" s="144"/>
      <c r="QZ252" s="144"/>
      <c r="RA252" s="144"/>
      <c r="RB252" s="144"/>
      <c r="RC252" s="144"/>
      <c r="RD252" s="144"/>
      <c r="RE252" s="144"/>
      <c r="RF252" s="144"/>
      <c r="RG252" s="144"/>
      <c r="XM252" s="144"/>
      <c r="XN252" s="144"/>
      <c r="XO252" s="827"/>
      <c r="XP252" s="709" t="s">
        <v>1392</v>
      </c>
      <c r="XQ252" s="709"/>
      <c r="XR252" s="883">
        <f>$MN$222</f>
        <v>3.9395141989168017</v>
      </c>
      <c r="XS252" s="883"/>
      <c r="XT252" s="930"/>
      <c r="XU252" s="931"/>
      <c r="XV252" s="931"/>
      <c r="XW252" s="951"/>
      <c r="XX252" s="944"/>
      <c r="XY252" s="944"/>
      <c r="XZ252" s="944"/>
      <c r="YA252" s="944"/>
      <c r="YB252" s="1004"/>
      <c r="YC252" s="221"/>
      <c r="YD252" s="222"/>
      <c r="YE252" s="222"/>
      <c r="YF252" s="222"/>
      <c r="YG252" s="272"/>
      <c r="YH252" s="272"/>
      <c r="YI252" s="272"/>
      <c r="YJ252" s="272"/>
      <c r="YK252" s="272"/>
      <c r="YL252" s="768"/>
      <c r="YM252" s="768"/>
      <c r="YN252" s="768"/>
      <c r="YO252" s="768"/>
      <c r="YP252" s="768"/>
      <c r="YQ252" s="768"/>
      <c r="YR252" s="768"/>
      <c r="YS252" s="768"/>
      <c r="YT252" s="768"/>
      <c r="YU252" s="768"/>
      <c r="YV252" s="768"/>
      <c r="YW252" s="768"/>
      <c r="YX252" s="144"/>
      <c r="AAI252" s="144"/>
      <c r="AAJ252" s="144"/>
      <c r="AAK252" s="144"/>
      <c r="AAL252" s="144"/>
      <c r="AAM252" s="144"/>
      <c r="AAN252" s="144"/>
      <c r="AAO252" s="144"/>
      <c r="AAP252" s="144"/>
      <c r="AAQ252" s="144"/>
      <c r="AAR252" s="144"/>
      <c r="AAS252" s="144"/>
      <c r="AAT252" s="144"/>
      <c r="AAU252" s="144"/>
      <c r="AAV252" s="144"/>
      <c r="AAW252" s="144"/>
      <c r="AAX252" s="144"/>
      <c r="AAY252" s="144"/>
      <c r="AAZ252" s="144"/>
      <c r="ABA252" s="144"/>
      <c r="ABB252" s="144"/>
      <c r="ABC252" s="144"/>
      <c r="ABD252" s="144"/>
      <c r="ABE252" s="144"/>
      <c r="ABF252" s="144"/>
      <c r="ABG252" s="144"/>
      <c r="ABH252" s="144"/>
      <c r="ABI252" s="144"/>
      <c r="ABJ252" s="144"/>
      <c r="ABK252" s="144"/>
      <c r="ABL252" s="144"/>
      <c r="ABM252" s="144"/>
      <c r="ABN252" s="144"/>
      <c r="ABO252" s="144"/>
      <c r="ABP252" s="144"/>
      <c r="ABQ252" s="144"/>
      <c r="ACE252" s="144"/>
      <c r="ACF252" s="144"/>
      <c r="ACG252" s="144"/>
      <c r="ACH252" s="144"/>
      <c r="ACI252" s="144"/>
      <c r="ACJ252" s="144"/>
      <c r="AGL252" s="144"/>
      <c r="AGM252" s="144"/>
      <c r="AGN252" s="144"/>
      <c r="AGO252" s="144"/>
      <c r="AGP252" s="144"/>
      <c r="AGQ252" s="144"/>
      <c r="AGR252" s="144"/>
      <c r="AGS252" s="144"/>
      <c r="AGT252" s="144"/>
      <c r="AGU252" s="144"/>
      <c r="AGV252" s="144"/>
      <c r="AGW252" s="144"/>
      <c r="AGX252" s="144"/>
      <c r="AGY252" s="144"/>
      <c r="AGZ252" s="144"/>
      <c r="AHA252" s="144"/>
      <c r="AHB252" s="144"/>
      <c r="AHC252" s="144"/>
      <c r="AHD252" s="144"/>
      <c r="AHV252" s="144"/>
      <c r="AHW252" s="144"/>
      <c r="AHX252" s="144"/>
      <c r="AHY252" s="144"/>
      <c r="AHZ252" s="144"/>
      <c r="AIA252" s="144"/>
      <c r="AIB252" s="144"/>
      <c r="AIC252" s="144"/>
      <c r="AID252" s="144"/>
      <c r="AIE252" s="144"/>
      <c r="AIF252" s="144"/>
      <c r="AIG252" s="144"/>
      <c r="AIH252" s="144"/>
      <c r="AII252" s="144"/>
      <c r="AIJ252" s="144"/>
      <c r="AIK252" s="144"/>
      <c r="AIL252" s="144"/>
      <c r="AIM252" s="144"/>
      <c r="AIN252" s="144"/>
      <c r="AIO252" s="144"/>
      <c r="AIP252" s="144"/>
      <c r="AIQ252" s="144"/>
      <c r="AIR252" s="144"/>
      <c r="AIS252" s="144"/>
      <c r="AIT252" s="144"/>
      <c r="AIU252" s="144"/>
      <c r="AIV252" s="144"/>
      <c r="AIW252" s="144"/>
      <c r="AIX252" s="144"/>
      <c r="AIY252" s="144"/>
      <c r="AIZ252" s="144"/>
      <c r="AJA252" s="144"/>
      <c r="AJB252" s="144"/>
      <c r="AJC252" s="144"/>
      <c r="AJD252" s="144"/>
      <c r="AJE252" s="144"/>
      <c r="AJF252" s="144"/>
      <c r="AJG252" s="144"/>
      <c r="AJH252" s="144"/>
      <c r="AJI252" s="144"/>
      <c r="AJJ252" s="144"/>
      <c r="AJK252" s="144"/>
      <c r="AJL252" s="144"/>
      <c r="AJM252" s="144"/>
      <c r="AJN252" s="144"/>
      <c r="AJO252" s="144"/>
      <c r="AJP252" s="144"/>
      <c r="AJQ252" s="144"/>
      <c r="AJR252" s="144"/>
      <c r="AJS252" s="144"/>
      <c r="AJT252" s="144"/>
      <c r="AJU252" s="144"/>
      <c r="AJV252" s="144"/>
      <c r="AJW252" s="144"/>
      <c r="AJX252" s="144"/>
      <c r="AJY252" s="144"/>
      <c r="AJZ252" s="144"/>
      <c r="AKA252" s="144"/>
      <c r="AKB252" s="144"/>
      <c r="AKC252" s="144"/>
      <c r="AKD252" s="144"/>
      <c r="AKE252" s="144"/>
      <c r="AKF252" s="144"/>
      <c r="AKG252" s="144"/>
      <c r="AKH252" s="144"/>
      <c r="AKI252" s="144"/>
      <c r="AKJ252" s="144"/>
      <c r="AKK252" s="144"/>
      <c r="AKL252" s="144"/>
      <c r="ALJ252" s="144"/>
      <c r="ALK252" s="144"/>
      <c r="ALL252" s="144"/>
      <c r="ALM252" s="144"/>
      <c r="ALN252" s="144"/>
      <c r="ALO252" s="144"/>
      <c r="ALP252" s="144"/>
      <c r="ALQ252" s="144"/>
      <c r="ALR252" s="144"/>
      <c r="ALS252" s="144"/>
      <c r="ALT252" s="144"/>
      <c r="ALU252" s="144"/>
      <c r="ALV252" s="144"/>
      <c r="ALW252" s="144"/>
      <c r="ALX252" s="144"/>
      <c r="ALY252" s="144"/>
      <c r="ALZ252" s="144"/>
      <c r="AMA252" s="144"/>
      <c r="AMB252" s="144"/>
      <c r="AMC252" s="144"/>
      <c r="AMD252" s="144"/>
      <c r="AME252" s="144"/>
      <c r="AMF252" s="144"/>
      <c r="AMG252" s="144"/>
      <c r="AMH252" s="144"/>
      <c r="AMI252" s="144"/>
      <c r="AMJ252" s="144"/>
      <c r="AMK252" s="144"/>
      <c r="AML252" s="144"/>
      <c r="AMM252" s="144"/>
      <c r="AMN252" s="144"/>
      <c r="AMO252" s="144"/>
      <c r="AMP252" s="144"/>
      <c r="AMQ252" s="144"/>
      <c r="AMR252" s="144"/>
      <c r="AMS252" s="144"/>
      <c r="AMT252" s="144"/>
      <c r="AMU252" s="144"/>
      <c r="AMV252" s="144"/>
      <c r="AMW252" s="144"/>
      <c r="AMX252" s="144"/>
      <c r="AMY252" s="144"/>
      <c r="AMZ252" s="144"/>
      <c r="ANA252" s="144"/>
      <c r="ANB252" s="144"/>
      <c r="ANC252" s="144"/>
      <c r="AND252" s="144"/>
      <c r="ANE252" s="144"/>
      <c r="ANF252" s="144"/>
      <c r="ANG252" s="144"/>
      <c r="ANH252" s="144"/>
      <c r="ANI252" s="144"/>
      <c r="ANJ252" s="144"/>
      <c r="ANK252" s="144"/>
      <c r="ANL252" s="144"/>
      <c r="ANM252" s="144"/>
      <c r="ANN252" s="144"/>
      <c r="ANO252" s="144"/>
      <c r="ANP252" s="144"/>
      <c r="ANQ252" s="144"/>
      <c r="ANR252" s="144"/>
      <c r="ANS252" s="144"/>
      <c r="ANT252" s="144"/>
      <c r="ANU252" s="144"/>
      <c r="ANV252" s="144"/>
      <c r="ANW252" s="144"/>
      <c r="ANX252" s="144"/>
      <c r="ANY252" s="144"/>
      <c r="ANZ252" s="144"/>
      <c r="AOA252" s="144"/>
      <c r="AOB252" s="144"/>
      <c r="AOC252" s="144"/>
      <c r="AOD252" s="144"/>
      <c r="AOE252" s="144"/>
      <c r="AOF252" s="144"/>
      <c r="AOG252" s="144"/>
      <c r="AOH252" s="144"/>
      <c r="AOI252" s="144"/>
      <c r="AOJ252" s="144"/>
      <c r="AOK252" s="144"/>
      <c r="AOL252" s="144"/>
      <c r="AOM252" s="144"/>
      <c r="AON252" s="144"/>
      <c r="AOO252" s="144"/>
      <c r="AOP252" s="144"/>
      <c r="AOQ252" s="144"/>
      <c r="AOR252" s="144"/>
      <c r="AOS252" s="144"/>
      <c r="AOT252" s="144"/>
      <c r="AOU252" s="144"/>
      <c r="AOV252" s="144"/>
      <c r="AOW252" s="144"/>
      <c r="AOX252" s="144"/>
      <c r="AOY252" s="144"/>
      <c r="AOZ252" s="144"/>
      <c r="APA252" s="144"/>
      <c r="APB252" s="144"/>
      <c r="APC252" s="144"/>
      <c r="APD252" s="144"/>
      <c r="APE252" s="144"/>
      <c r="APF252" s="144"/>
      <c r="APG252" s="144"/>
      <c r="APH252" s="144"/>
      <c r="API252" s="144"/>
      <c r="APJ252" s="144"/>
      <c r="APK252" s="144"/>
      <c r="APL252" s="144"/>
      <c r="APM252" s="144"/>
      <c r="APN252" s="144"/>
      <c r="APO252" s="144"/>
      <c r="APP252" s="144"/>
      <c r="APQ252" s="144"/>
      <c r="APR252" s="144"/>
      <c r="APS252" s="144"/>
      <c r="APT252" s="144"/>
      <c r="APU252" s="144"/>
      <c r="APV252" s="144"/>
      <c r="APW252" s="144"/>
      <c r="APX252" s="144"/>
      <c r="APY252" s="144"/>
      <c r="APZ252" s="144"/>
      <c r="AQA252" s="144"/>
      <c r="AQB252" s="144"/>
      <c r="AQC252" s="144"/>
      <c r="AQD252" s="144"/>
      <c r="AQE252" s="144"/>
      <c r="AQF252" s="144"/>
      <c r="AQG252" s="144"/>
      <c r="AQH252" s="144"/>
      <c r="AQI252" s="144"/>
      <c r="AQJ252" s="144"/>
      <c r="AQK252" s="144"/>
      <c r="AQL252" s="144"/>
      <c r="AQM252" s="144"/>
      <c r="AQN252" s="144"/>
      <c r="AQO252" s="144"/>
      <c r="AQP252" s="144"/>
      <c r="AQQ252" s="144"/>
      <c r="AQR252" s="144"/>
      <c r="AQS252" s="144"/>
      <c r="AQT252" s="144"/>
      <c r="AQU252" s="144"/>
      <c r="AQV252" s="144"/>
      <c r="AQW252" s="144"/>
      <c r="AQX252" s="144"/>
      <c r="AQY252" s="144"/>
      <c r="AQZ252" s="144"/>
      <c r="ARA252" s="144"/>
      <c r="ARB252" s="144"/>
      <c r="ARC252" s="144"/>
      <c r="ARD252" s="144"/>
      <c r="ARE252" s="144"/>
      <c r="ARF252" s="144"/>
      <c r="ARG252" s="144"/>
      <c r="ARH252" s="144"/>
      <c r="ARI252" s="144"/>
      <c r="ARJ252" s="144"/>
      <c r="ARK252" s="144"/>
      <c r="ARL252" s="144"/>
      <c r="ARM252" s="144"/>
      <c r="ARN252" s="144"/>
      <c r="ARO252" s="144"/>
      <c r="ARP252" s="144"/>
      <c r="ARQ252" s="144"/>
      <c r="ARR252" s="144"/>
      <c r="ARS252" s="144"/>
      <c r="ART252" s="144"/>
      <c r="ARU252" s="144"/>
      <c r="ARV252" s="144"/>
      <c r="ARW252" s="144"/>
      <c r="ARX252" s="144"/>
      <c r="ARY252" s="144"/>
      <c r="ARZ252" s="144"/>
      <c r="ASA252" s="144"/>
      <c r="ASB252" s="144"/>
      <c r="ASC252" s="144"/>
      <c r="ASD252" s="144"/>
      <c r="ASE252" s="144"/>
      <c r="ASF252" s="144"/>
    </row>
    <row r="253" spans="329:1176" ht="48" customHeight="1">
      <c r="LQ253" s="144"/>
      <c r="LR253" s="144"/>
      <c r="LS253" s="144"/>
      <c r="LT253" s="144"/>
      <c r="LU253" s="144"/>
      <c r="LV253" s="144"/>
      <c r="QU253" s="144"/>
      <c r="QV253" s="144"/>
      <c r="QW253" s="144"/>
      <c r="QX253" s="144"/>
      <c r="QY253" s="144"/>
      <c r="QZ253" s="144"/>
      <c r="RA253" s="144"/>
      <c r="RB253" s="144"/>
      <c r="RC253" s="144"/>
      <c r="RD253" s="144"/>
      <c r="RE253" s="144"/>
      <c r="RF253" s="144"/>
      <c r="RG253" s="144"/>
      <c r="XM253" s="144"/>
      <c r="XN253" s="144"/>
      <c r="AAI253" s="144"/>
      <c r="AAJ253" s="144"/>
      <c r="AAK253" s="144"/>
      <c r="AAL253" s="144"/>
      <c r="AAM253" s="144"/>
      <c r="AAN253" s="144"/>
      <c r="AAO253" s="144"/>
      <c r="AAP253" s="144"/>
      <c r="AAQ253" s="144"/>
      <c r="AAR253" s="144"/>
      <c r="AAS253" s="144"/>
      <c r="AAT253" s="144"/>
      <c r="AAU253" s="144"/>
      <c r="AAV253" s="144"/>
      <c r="AAW253" s="144"/>
      <c r="AAX253" s="144"/>
      <c r="AAY253" s="144"/>
      <c r="AAZ253" s="144"/>
      <c r="ABA253" s="144"/>
      <c r="ABB253" s="144"/>
      <c r="ABC253" s="144"/>
      <c r="ABD253" s="144"/>
      <c r="ABE253" s="144"/>
      <c r="ABF253" s="144"/>
      <c r="ABG253" s="144"/>
      <c r="ABH253" s="144"/>
      <c r="ABI253" s="144"/>
      <c r="ABJ253" s="144"/>
      <c r="ABK253" s="144"/>
      <c r="ABL253" s="144"/>
      <c r="ABM253" s="144"/>
      <c r="ABN253" s="144"/>
      <c r="ABO253" s="144"/>
      <c r="ABP253" s="144"/>
      <c r="ABQ253" s="144"/>
      <c r="ACE253" s="144"/>
      <c r="ACF253" s="144"/>
      <c r="ACG253" s="144"/>
      <c r="ACH253" s="144"/>
      <c r="ACI253" s="144"/>
      <c r="ACJ253" s="144"/>
      <c r="AGL253" s="144"/>
      <c r="AGM253" s="144"/>
      <c r="AGN253" s="144"/>
      <c r="AGO253" s="144"/>
      <c r="AGP253" s="144"/>
      <c r="AGQ253" s="144"/>
      <c r="AGR253" s="144"/>
      <c r="AGS253" s="144"/>
      <c r="AGT253" s="144"/>
      <c r="AGU253" s="144"/>
      <c r="AGV253" s="144"/>
      <c r="AGW253" s="144"/>
      <c r="AGX253" s="144"/>
      <c r="AGY253" s="144"/>
      <c r="AGZ253" s="144"/>
      <c r="AHA253" s="144"/>
      <c r="AHB253" s="144"/>
      <c r="AHC253" s="144"/>
      <c r="AHD253" s="144"/>
      <c r="AHV253" s="144"/>
      <c r="AHW253" s="144"/>
      <c r="AHX253" s="144"/>
      <c r="AHY253" s="144"/>
      <c r="AHZ253" s="144"/>
      <c r="AIA253" s="144"/>
      <c r="AIB253" s="144"/>
      <c r="AIC253" s="144"/>
      <c r="AID253" s="144"/>
      <c r="AIE253" s="144"/>
      <c r="AIF253" s="144"/>
      <c r="AIG253" s="144"/>
      <c r="AIH253" s="144"/>
      <c r="AII253" s="144"/>
      <c r="AIJ253" s="144"/>
      <c r="AIK253" s="144"/>
      <c r="AIL253" s="144"/>
      <c r="AIM253" s="144"/>
      <c r="AIN253" s="144"/>
      <c r="AIO253" s="144"/>
      <c r="AIP253" s="144"/>
      <c r="AIQ253" s="144"/>
      <c r="AIR253" s="144"/>
      <c r="AIS253" s="144"/>
      <c r="AIT253" s="144"/>
      <c r="AIU253" s="144"/>
      <c r="AIV253" s="144"/>
      <c r="AIW253" s="144"/>
      <c r="AIX253" s="144"/>
      <c r="AIY253" s="144"/>
      <c r="AIZ253" s="144"/>
      <c r="AJA253" s="144"/>
      <c r="AJB253" s="144"/>
      <c r="AJC253" s="144"/>
      <c r="AJD253" s="144"/>
      <c r="AJE253" s="144"/>
      <c r="AJF253" s="144"/>
      <c r="AJG253" s="144"/>
      <c r="AJH253" s="144"/>
      <c r="AJI253" s="144"/>
      <c r="AJJ253" s="144"/>
      <c r="AJK253" s="144"/>
      <c r="AJL253" s="144"/>
      <c r="AJM253" s="144"/>
      <c r="AJN253" s="144"/>
      <c r="AJO253" s="144"/>
      <c r="AJP253" s="144"/>
      <c r="AJQ253" s="144"/>
      <c r="AJR253" s="144"/>
      <c r="AJS253" s="144"/>
      <c r="AJT253" s="144"/>
      <c r="AJU253" s="144"/>
      <c r="AJV253" s="144"/>
      <c r="AJW253" s="144"/>
      <c r="AJX253" s="144"/>
      <c r="AJY253" s="144"/>
      <c r="AJZ253" s="144"/>
      <c r="AKA253" s="144"/>
      <c r="AKB253" s="144"/>
      <c r="AKC253" s="144"/>
      <c r="AKD253" s="144"/>
      <c r="AKE253" s="144"/>
      <c r="AKF253" s="144"/>
      <c r="AKG253" s="144"/>
      <c r="AKH253" s="144"/>
      <c r="AKI253" s="144"/>
      <c r="AKJ253" s="144"/>
      <c r="AKK253" s="144"/>
      <c r="AKL253" s="144"/>
      <c r="ALJ253" s="144"/>
      <c r="ALK253" s="144"/>
      <c r="ALL253" s="144"/>
      <c r="ALM253" s="144"/>
      <c r="ALN253" s="144"/>
      <c r="ALO253" s="144"/>
      <c r="ALP253" s="144"/>
      <c r="ALQ253" s="144"/>
      <c r="ALR253" s="144"/>
      <c r="ALS253" s="144"/>
      <c r="ALT253" s="144"/>
      <c r="ALU253" s="144"/>
      <c r="ALV253" s="144"/>
      <c r="ALW253" s="144"/>
      <c r="ALX253" s="144"/>
      <c r="ALY253" s="144"/>
      <c r="ALZ253" s="144"/>
      <c r="AMA253" s="144"/>
      <c r="AMB253" s="144"/>
      <c r="AMC253" s="144"/>
      <c r="AMD253" s="144"/>
      <c r="AME253" s="144"/>
      <c r="AMF253" s="144"/>
      <c r="AMG253" s="144"/>
      <c r="AMH253" s="144"/>
      <c r="AMI253" s="144"/>
      <c r="AMJ253" s="144"/>
      <c r="AMK253" s="144"/>
      <c r="AML253" s="144"/>
      <c r="AMM253" s="144"/>
      <c r="AMN253" s="144"/>
      <c r="AMO253" s="144"/>
      <c r="AMP253" s="144"/>
      <c r="AMQ253" s="144"/>
      <c r="AMR253" s="144"/>
      <c r="AMS253" s="144"/>
      <c r="AMT253" s="144"/>
      <c r="AMU253" s="144"/>
      <c r="AMV253" s="144"/>
      <c r="AMW253" s="144"/>
      <c r="AMX253" s="144"/>
      <c r="AMY253" s="144"/>
      <c r="AMZ253" s="144"/>
      <c r="ANA253" s="144"/>
      <c r="ANB253" s="144"/>
      <c r="ANC253" s="144"/>
      <c r="AND253" s="144"/>
      <c r="ANE253" s="144"/>
      <c r="ANF253" s="144"/>
      <c r="ANG253" s="144"/>
      <c r="ANH253" s="144"/>
      <c r="ANI253" s="144"/>
      <c r="ANJ253" s="144"/>
      <c r="ANK253" s="144"/>
      <c r="ANL253" s="144"/>
      <c r="ANM253" s="144"/>
      <c r="ANN253" s="144"/>
      <c r="ANO253" s="144"/>
      <c r="ANP253" s="144"/>
      <c r="ANQ253" s="144"/>
      <c r="ANR253" s="144"/>
      <c r="ANS253" s="144"/>
      <c r="ANT253" s="144"/>
      <c r="ANU253" s="144"/>
      <c r="ANV253" s="144"/>
      <c r="ANW253" s="144"/>
      <c r="ANX253" s="144"/>
      <c r="ANY253" s="144"/>
      <c r="ANZ253" s="144"/>
      <c r="AOA253" s="144"/>
      <c r="AOB253" s="144"/>
      <c r="AOC253" s="144"/>
      <c r="AOD253" s="144"/>
      <c r="AOE253" s="144"/>
      <c r="AOF253" s="144"/>
      <c r="AOG253" s="144"/>
      <c r="AOH253" s="144"/>
      <c r="AOI253" s="144"/>
      <c r="AOJ253" s="144"/>
      <c r="AOK253" s="144"/>
      <c r="AOL253" s="144"/>
      <c r="AOM253" s="144"/>
      <c r="AON253" s="144"/>
      <c r="AOO253" s="144"/>
      <c r="AOP253" s="144"/>
      <c r="AOQ253" s="144"/>
      <c r="AOR253" s="144"/>
      <c r="AOS253" s="144"/>
      <c r="AOT253" s="144"/>
      <c r="AOU253" s="144"/>
      <c r="AOV253" s="144"/>
      <c r="AOW253" s="144"/>
      <c r="AOX253" s="144"/>
      <c r="AOY253" s="144"/>
      <c r="AOZ253" s="144"/>
      <c r="APA253" s="144"/>
      <c r="APB253" s="144"/>
      <c r="APC253" s="144"/>
      <c r="APD253" s="144"/>
      <c r="APE253" s="144"/>
      <c r="APF253" s="144"/>
      <c r="APG253" s="144"/>
      <c r="APH253" s="144"/>
      <c r="API253" s="144"/>
      <c r="APJ253" s="144"/>
      <c r="APK253" s="144"/>
      <c r="APL253" s="144"/>
      <c r="APM253" s="144"/>
      <c r="APN253" s="144"/>
      <c r="APO253" s="144"/>
      <c r="APP253" s="144"/>
      <c r="APQ253" s="144"/>
      <c r="APR253" s="144"/>
      <c r="APS253" s="144"/>
      <c r="APT253" s="144"/>
      <c r="APU253" s="144"/>
      <c r="APV253" s="144"/>
      <c r="APW253" s="144"/>
      <c r="APX253" s="144"/>
      <c r="APY253" s="144"/>
      <c r="APZ253" s="144"/>
      <c r="AQA253" s="144"/>
      <c r="AQB253" s="144"/>
      <c r="AQC253" s="144"/>
      <c r="AQD253" s="144"/>
      <c r="AQE253" s="144"/>
      <c r="AQF253" s="144"/>
      <c r="AQG253" s="144"/>
      <c r="AQH253" s="144"/>
      <c r="AQI253" s="144"/>
      <c r="AQJ253" s="144"/>
      <c r="AQK253" s="144"/>
      <c r="AQL253" s="144"/>
      <c r="AQM253" s="144"/>
      <c r="AQN253" s="144"/>
      <c r="AQO253" s="144"/>
      <c r="AQP253" s="144"/>
      <c r="AQQ253" s="144"/>
      <c r="AQR253" s="144"/>
      <c r="AQS253" s="144"/>
      <c r="AQT253" s="144"/>
      <c r="AQU253" s="144"/>
      <c r="AQV253" s="144"/>
      <c r="AQW253" s="144"/>
      <c r="AQX253" s="144"/>
      <c r="AQY253" s="144"/>
      <c r="AQZ253" s="144"/>
      <c r="ARA253" s="144"/>
      <c r="ARB253" s="144"/>
      <c r="ARC253" s="144"/>
      <c r="ARD253" s="144"/>
      <c r="ARE253" s="144"/>
      <c r="ARF253" s="144"/>
      <c r="ARG253" s="144"/>
      <c r="ARH253" s="144"/>
      <c r="ARI253" s="144"/>
      <c r="ARJ253" s="144"/>
      <c r="ARK253" s="144"/>
      <c r="ARL253" s="144"/>
      <c r="ARM253" s="144"/>
      <c r="ARN253" s="144"/>
      <c r="ARO253" s="144"/>
      <c r="ARP253" s="144"/>
      <c r="ARQ253" s="144"/>
      <c r="ARR253" s="144"/>
      <c r="ARS253" s="144"/>
      <c r="ART253" s="144"/>
      <c r="ARU253" s="144"/>
      <c r="ARV253" s="144"/>
      <c r="ARW253" s="144"/>
      <c r="ARX253" s="144"/>
      <c r="ARY253" s="144"/>
      <c r="ARZ253" s="144"/>
      <c r="ASA253" s="144"/>
      <c r="ASB253" s="144"/>
      <c r="ASC253" s="144"/>
      <c r="ASD253" s="144"/>
      <c r="ASE253" s="144"/>
      <c r="ASF253" s="144"/>
    </row>
    <row r="254" spans="329:1176" ht="48" customHeight="1">
      <c r="LQ254" s="144"/>
      <c r="LR254" s="144"/>
      <c r="LS254" s="144"/>
      <c r="LT254" s="144"/>
      <c r="LU254" s="144"/>
      <c r="LV254" s="144"/>
      <c r="QU254" s="144"/>
      <c r="QV254" s="144"/>
      <c r="QW254" s="144"/>
      <c r="QX254" s="144"/>
      <c r="QY254" s="144"/>
      <c r="QZ254" s="144"/>
      <c r="RA254" s="144"/>
      <c r="RB254" s="144"/>
      <c r="RC254" s="144"/>
      <c r="RD254" s="144"/>
      <c r="RE254" s="144"/>
      <c r="RF254" s="144"/>
      <c r="RG254" s="144"/>
      <c r="XM254" s="144"/>
      <c r="XN254" s="144"/>
      <c r="XQ254" s="216"/>
      <c r="XR254" s="665" t="s">
        <v>945</v>
      </c>
      <c r="XS254" s="667"/>
      <c r="XT254" s="216"/>
      <c r="XU254" s="685" t="s">
        <v>1151</v>
      </c>
      <c r="XV254" s="686"/>
      <c r="XW254" s="686"/>
      <c r="XX254" s="686"/>
      <c r="XY254" s="686"/>
      <c r="XZ254" s="686"/>
      <c r="YA254" s="686"/>
      <c r="YB254" s="686"/>
      <c r="YC254" s="686"/>
      <c r="YD254" s="686"/>
      <c r="YE254" s="687"/>
      <c r="YF254" s="216"/>
      <c r="YZ254" s="144"/>
      <c r="ZA254" s="144"/>
      <c r="ZB254" s="144"/>
      <c r="ZC254" s="144"/>
      <c r="ZD254" s="144"/>
      <c r="ZE254" s="144"/>
      <c r="AAI254" s="144"/>
      <c r="AAJ254" s="144"/>
      <c r="AAR254" s="144"/>
      <c r="AAS254" s="144"/>
      <c r="AAT254" s="144"/>
      <c r="AAU254" s="144"/>
      <c r="AAV254" s="144"/>
      <c r="AAW254" s="144"/>
      <c r="AAX254" s="144"/>
      <c r="AAY254" s="144"/>
      <c r="AAZ254" s="144"/>
      <c r="ABA254" s="144"/>
      <c r="ABB254" s="144"/>
      <c r="ABC254" s="144"/>
      <c r="ABD254" s="144"/>
      <c r="ABE254" s="144"/>
      <c r="ABF254" s="144"/>
      <c r="ABG254" s="144"/>
      <c r="ABH254" s="144"/>
      <c r="ABI254" s="144"/>
      <c r="ABJ254" s="144"/>
      <c r="ABK254" s="144"/>
      <c r="ABL254" s="144"/>
      <c r="ABM254" s="144"/>
      <c r="ABN254" s="144"/>
      <c r="ABO254" s="144"/>
      <c r="ABP254" s="144"/>
      <c r="ABQ254" s="144"/>
      <c r="ABR254" s="144"/>
      <c r="ABS254" s="144"/>
      <c r="ABT254" s="144"/>
      <c r="ABU254" s="144"/>
      <c r="ABV254" s="144"/>
      <c r="ABW254" s="144"/>
      <c r="ABX254" s="144"/>
      <c r="ABY254" s="144"/>
      <c r="ABZ254" s="144"/>
      <c r="ACA254" s="144"/>
      <c r="ACB254" s="144"/>
      <c r="ACC254" s="144"/>
      <c r="ACD254" s="144"/>
      <c r="ACE254" s="144"/>
      <c r="ACF254" s="144"/>
      <c r="ACG254" s="144"/>
      <c r="ACH254" s="144"/>
      <c r="ACI254" s="144"/>
      <c r="ACJ254" s="144"/>
      <c r="AFS254" s="144"/>
      <c r="AFT254" s="144"/>
      <c r="AFU254" s="144"/>
      <c r="AFV254" s="144"/>
      <c r="AFW254" s="144"/>
      <c r="AFX254" s="144"/>
      <c r="AFY254" s="144"/>
      <c r="AFZ254" s="144"/>
      <c r="AGA254" s="144"/>
      <c r="AGB254" s="144"/>
      <c r="AGC254" s="144"/>
      <c r="AGD254" s="144"/>
      <c r="AGE254" s="144"/>
      <c r="AGF254" s="144"/>
      <c r="AGG254" s="144"/>
      <c r="AGH254" s="144"/>
      <c r="AGI254" s="144"/>
      <c r="AGJ254" s="144"/>
      <c r="AGK254" s="144"/>
      <c r="AGL254" s="144"/>
      <c r="AGM254" s="144"/>
      <c r="AGN254" s="144"/>
      <c r="AGO254" s="144"/>
      <c r="AGP254" s="144"/>
      <c r="AGQ254" s="144"/>
      <c r="AGR254" s="144"/>
      <c r="AGS254" s="144"/>
      <c r="AGT254" s="144"/>
      <c r="AGU254" s="144"/>
      <c r="AGV254" s="144"/>
      <c r="AGW254" s="144"/>
      <c r="AGX254" s="144"/>
      <c r="AGY254" s="144"/>
      <c r="AGZ254" s="144"/>
      <c r="AHA254" s="144"/>
      <c r="AHB254" s="144"/>
      <c r="AHC254" s="144"/>
      <c r="AHD254" s="144"/>
      <c r="AHV254" s="144"/>
      <c r="AHW254" s="144"/>
      <c r="AHX254" s="144"/>
      <c r="AHY254" s="144"/>
      <c r="AHZ254" s="144"/>
      <c r="AIA254" s="144"/>
      <c r="AIB254" s="144"/>
      <c r="AIC254" s="144"/>
      <c r="AID254" s="144"/>
      <c r="AIE254" s="144"/>
      <c r="AIF254" s="144"/>
      <c r="AIG254" s="144"/>
      <c r="AIH254" s="144"/>
      <c r="AII254" s="144"/>
      <c r="AIJ254" s="144"/>
      <c r="AIK254" s="144"/>
      <c r="AIL254" s="144"/>
      <c r="AIM254" s="144"/>
      <c r="AIN254" s="144"/>
      <c r="AIO254" s="144"/>
      <c r="AIP254" s="144"/>
      <c r="AIQ254" s="144"/>
      <c r="AIR254" s="144"/>
      <c r="AIS254" s="144"/>
      <c r="AIT254" s="144"/>
      <c r="AIU254" s="144"/>
      <c r="AIV254" s="144"/>
      <c r="AIW254" s="144"/>
      <c r="AIX254" s="144"/>
      <c r="AIY254" s="144"/>
      <c r="AIZ254" s="144"/>
      <c r="AJA254" s="144"/>
      <c r="AJB254" s="144"/>
      <c r="AJC254" s="144"/>
      <c r="AJD254" s="144"/>
      <c r="AJE254" s="144"/>
      <c r="AJF254" s="144"/>
      <c r="AJG254" s="144"/>
      <c r="AJH254" s="144"/>
      <c r="AJI254" s="144"/>
      <c r="AJJ254" s="144"/>
      <c r="AJK254" s="144"/>
      <c r="AJL254" s="144"/>
      <c r="AJM254" s="144"/>
      <c r="AJN254" s="144"/>
      <c r="AJO254" s="144"/>
      <c r="AJP254" s="144"/>
      <c r="AJQ254" s="144"/>
      <c r="AJR254" s="144"/>
      <c r="AJS254" s="144"/>
      <c r="AJT254" s="144"/>
      <c r="AJU254" s="144"/>
      <c r="AJV254" s="144"/>
      <c r="AJW254" s="144"/>
      <c r="AJX254" s="144"/>
      <c r="AJY254" s="144"/>
      <c r="AJZ254" s="144"/>
      <c r="AKA254" s="144"/>
      <c r="AKB254" s="144"/>
      <c r="AKC254" s="144"/>
      <c r="AKD254" s="144"/>
      <c r="AKE254" s="144"/>
      <c r="AKF254" s="144"/>
      <c r="AKG254" s="144"/>
      <c r="AKH254" s="144"/>
      <c r="AKI254" s="144"/>
      <c r="AKJ254" s="144"/>
      <c r="AKK254" s="144"/>
      <c r="AKL254" s="144"/>
      <c r="ALJ254" s="144"/>
      <c r="ALK254" s="144"/>
      <c r="ALL254" s="144"/>
      <c r="ALM254" s="144"/>
      <c r="ALN254" s="144"/>
      <c r="ALO254" s="144"/>
      <c r="ALP254" s="144"/>
      <c r="ALQ254" s="144"/>
      <c r="ALR254" s="144"/>
      <c r="ALS254" s="144"/>
      <c r="ALT254" s="144"/>
      <c r="ALU254" s="144"/>
      <c r="ALV254" s="144"/>
      <c r="ALW254" s="144"/>
      <c r="ALX254" s="144"/>
      <c r="ALY254" s="144"/>
      <c r="ALZ254" s="144"/>
      <c r="AMA254" s="144"/>
      <c r="AMB254" s="144"/>
      <c r="AMC254" s="144"/>
      <c r="AMD254" s="144"/>
      <c r="AME254" s="144"/>
      <c r="AMF254" s="144"/>
      <c r="AMG254" s="144"/>
      <c r="AMH254" s="144"/>
      <c r="AMI254" s="144"/>
      <c r="AMJ254" s="144"/>
      <c r="AMK254" s="144"/>
      <c r="AML254" s="144"/>
      <c r="AMM254" s="144"/>
      <c r="AMN254" s="144"/>
      <c r="AMO254" s="144"/>
      <c r="AMP254" s="144"/>
      <c r="AMQ254" s="144"/>
      <c r="AMR254" s="144"/>
      <c r="AMS254" s="144"/>
      <c r="AMT254" s="144"/>
      <c r="AMU254" s="144"/>
      <c r="AMV254" s="144"/>
      <c r="AMW254" s="144"/>
      <c r="AMX254" s="144"/>
      <c r="AMY254" s="144"/>
      <c r="AMZ254" s="144"/>
      <c r="ANA254" s="144"/>
      <c r="ANB254" s="144"/>
      <c r="ANC254" s="144"/>
      <c r="AND254" s="144"/>
      <c r="ANE254" s="144"/>
      <c r="ANF254" s="144"/>
      <c r="ANG254" s="144"/>
      <c r="ANH254" s="144"/>
      <c r="ANI254" s="144"/>
      <c r="ANJ254" s="144"/>
      <c r="ANK254" s="144"/>
      <c r="ANL254" s="144"/>
      <c r="ANM254" s="144"/>
      <c r="ANN254" s="144"/>
      <c r="ANO254" s="144"/>
      <c r="ANP254" s="144"/>
      <c r="ANQ254" s="144"/>
      <c r="ANR254" s="144"/>
      <c r="ANS254" s="144"/>
      <c r="ANT254" s="144"/>
      <c r="ANU254" s="144"/>
      <c r="ANV254" s="144"/>
      <c r="ANW254" s="144"/>
      <c r="ANX254" s="144"/>
      <c r="ANY254" s="144"/>
      <c r="ANZ254" s="144"/>
      <c r="AOA254" s="144"/>
      <c r="AOB254" s="144"/>
      <c r="AOC254" s="144"/>
      <c r="AOD254" s="144"/>
      <c r="AOE254" s="144"/>
      <c r="AOF254" s="144"/>
      <c r="AOG254" s="144"/>
      <c r="AOH254" s="144"/>
      <c r="AOI254" s="144"/>
      <c r="AOJ254" s="144"/>
      <c r="AOK254" s="144"/>
      <c r="AOL254" s="144"/>
      <c r="AOM254" s="144"/>
      <c r="AON254" s="144"/>
      <c r="AOO254" s="144"/>
      <c r="AOP254" s="144"/>
      <c r="AOQ254" s="144"/>
      <c r="AOR254" s="144"/>
      <c r="AOS254" s="144"/>
      <c r="AOT254" s="144"/>
      <c r="AOU254" s="144"/>
      <c r="AOV254" s="144"/>
      <c r="AOW254" s="144"/>
      <c r="AOX254" s="144"/>
      <c r="AOY254" s="144"/>
      <c r="AOZ254" s="144"/>
      <c r="APA254" s="144"/>
      <c r="APB254" s="144"/>
      <c r="APC254" s="144"/>
      <c r="APD254" s="144"/>
      <c r="APE254" s="144"/>
      <c r="APF254" s="144"/>
      <c r="APG254" s="144"/>
      <c r="APH254" s="144"/>
      <c r="API254" s="144"/>
      <c r="APJ254" s="144"/>
      <c r="APK254" s="144"/>
      <c r="APL254" s="144"/>
      <c r="APM254" s="144"/>
      <c r="APN254" s="144"/>
      <c r="APO254" s="144"/>
      <c r="APP254" s="144"/>
      <c r="APQ254" s="144"/>
      <c r="APR254" s="144"/>
      <c r="APS254" s="144"/>
      <c r="APT254" s="144"/>
      <c r="APU254" s="144"/>
      <c r="APV254" s="144"/>
      <c r="APW254" s="144"/>
      <c r="APX254" s="144"/>
      <c r="APY254" s="144"/>
      <c r="APZ254" s="144"/>
      <c r="AQA254" s="144"/>
      <c r="AQB254" s="144"/>
      <c r="AQC254" s="144"/>
      <c r="AQD254" s="144"/>
      <c r="AQE254" s="144"/>
      <c r="AQF254" s="144"/>
      <c r="AQG254" s="144"/>
      <c r="AQH254" s="144"/>
      <c r="AQI254" s="144"/>
      <c r="AQJ254" s="144"/>
      <c r="AQK254" s="144"/>
      <c r="AQL254" s="144"/>
      <c r="AQM254" s="144"/>
      <c r="AQN254" s="144"/>
      <c r="AQO254" s="144"/>
      <c r="AQP254" s="144"/>
      <c r="AQQ254" s="144"/>
      <c r="AQR254" s="144"/>
      <c r="AQS254" s="144"/>
      <c r="AQT254" s="144"/>
      <c r="AQU254" s="144"/>
      <c r="AQV254" s="144"/>
      <c r="AQW254" s="144"/>
      <c r="AQX254" s="144"/>
      <c r="AQY254" s="144"/>
      <c r="AQZ254" s="144"/>
      <c r="ARA254" s="144"/>
      <c r="ARB254" s="144"/>
      <c r="ARC254" s="144"/>
      <c r="ARD254" s="144"/>
      <c r="ARE254" s="144"/>
      <c r="ARF254" s="144"/>
      <c r="ARG254" s="144"/>
      <c r="ARH254" s="144"/>
      <c r="ARI254" s="144"/>
      <c r="ARJ254" s="144"/>
      <c r="ARK254" s="144"/>
      <c r="ARL254" s="144"/>
      <c r="ARM254" s="144"/>
      <c r="ARN254" s="144"/>
      <c r="ARO254" s="144"/>
      <c r="ARP254" s="144"/>
      <c r="ARQ254" s="144"/>
      <c r="ARR254" s="144"/>
      <c r="ARS254" s="144"/>
      <c r="ART254" s="144"/>
      <c r="ARU254" s="144"/>
      <c r="ARV254" s="144"/>
      <c r="ARW254" s="144"/>
      <c r="ARX254" s="144"/>
      <c r="ARY254" s="144"/>
      <c r="ARZ254" s="144"/>
      <c r="ASA254" s="144"/>
      <c r="ASB254" s="144"/>
      <c r="ASC254" s="144"/>
      <c r="ASD254" s="144"/>
      <c r="ASE254" s="144"/>
      <c r="ASF254" s="144"/>
    </row>
    <row r="255" spans="329:1176" ht="48" customHeight="1">
      <c r="LQ255" s="144"/>
      <c r="LR255" s="144"/>
      <c r="LS255" s="144"/>
      <c r="LT255" s="144"/>
      <c r="LU255" s="144"/>
      <c r="LV255" s="144"/>
      <c r="QU255" s="144"/>
      <c r="QV255" s="144"/>
      <c r="QW255" s="144"/>
      <c r="QX255" s="144"/>
      <c r="QY255" s="144"/>
      <c r="QZ255" s="144"/>
      <c r="RA255" s="144"/>
      <c r="RB255" s="144"/>
      <c r="RC255" s="144"/>
      <c r="RD255" s="144"/>
      <c r="RE255" s="144"/>
      <c r="RF255" s="144"/>
      <c r="RG255" s="144"/>
      <c r="XM255" s="144"/>
      <c r="XN255" s="144"/>
      <c r="YW255" s="144"/>
      <c r="YZ255" s="144"/>
      <c r="ZA255" s="144"/>
      <c r="ZB255" s="144"/>
      <c r="ZC255" s="144"/>
      <c r="ZD255" s="144"/>
      <c r="ZE255" s="144"/>
      <c r="ZF255" s="144"/>
      <c r="ZG255" s="144"/>
      <c r="ZH255" s="144"/>
      <c r="ZI255" s="144"/>
      <c r="ZJ255" s="144"/>
      <c r="AAI255" s="144"/>
      <c r="AAJ255" s="144"/>
      <c r="AAR255" s="144"/>
      <c r="AAS255" s="144"/>
      <c r="AAT255" s="144"/>
      <c r="AAU255" s="144"/>
      <c r="AAV255" s="144"/>
      <c r="AAW255" s="144"/>
      <c r="AAX255" s="144"/>
      <c r="AAY255" s="144"/>
      <c r="AAZ255" s="144"/>
      <c r="ABA255" s="144"/>
      <c r="ABB255" s="144"/>
      <c r="ABC255" s="144"/>
      <c r="ABD255" s="144"/>
      <c r="ABE255" s="144"/>
      <c r="ABF255" s="144"/>
      <c r="ABG255" s="144"/>
      <c r="ABH255" s="144"/>
      <c r="ABI255" s="144"/>
      <c r="ABJ255" s="144"/>
      <c r="ABK255" s="144"/>
      <c r="ABL255" s="144"/>
      <c r="ABM255" s="144"/>
      <c r="ABN255" s="144"/>
      <c r="ABO255" s="144"/>
      <c r="ABP255" s="144"/>
      <c r="ABQ255" s="144"/>
      <c r="ABR255" s="144"/>
      <c r="ABS255" s="144"/>
      <c r="ABT255" s="144"/>
      <c r="ABU255" s="144"/>
      <c r="ABV255" s="144"/>
      <c r="ABW255" s="144"/>
      <c r="ABX255" s="144"/>
      <c r="ABY255" s="144"/>
      <c r="ABZ255" s="144"/>
      <c r="ACA255" s="144"/>
      <c r="ACB255" s="144"/>
      <c r="ACC255" s="144"/>
      <c r="ACD255" s="144"/>
      <c r="ACE255" s="144"/>
      <c r="ACF255" s="144"/>
      <c r="ACG255" s="144"/>
      <c r="ACH255" s="144"/>
      <c r="ACI255" s="144"/>
      <c r="ACJ255" s="144"/>
      <c r="AFS255" s="144"/>
      <c r="AFT255" s="144"/>
      <c r="AFU255" s="144"/>
      <c r="AFV255" s="144"/>
      <c r="AFW255" s="144"/>
      <c r="AFX255" s="144"/>
      <c r="AFY255" s="144"/>
      <c r="AFZ255" s="144"/>
      <c r="AGA255" s="144"/>
      <c r="AGB255" s="144"/>
      <c r="AGC255" s="144"/>
      <c r="AGD255" s="144"/>
      <c r="AGE255" s="144"/>
      <c r="AGF255" s="144"/>
      <c r="AGG255" s="144"/>
      <c r="AGH255" s="144"/>
      <c r="AGI255" s="144"/>
      <c r="AGJ255" s="144"/>
      <c r="AGK255" s="144"/>
      <c r="AGL255" s="144"/>
      <c r="AGM255" s="144"/>
      <c r="AGN255" s="144"/>
      <c r="AGO255" s="144"/>
      <c r="AGP255" s="144"/>
      <c r="AGQ255" s="144"/>
      <c r="AGR255" s="144"/>
      <c r="AGS255" s="144"/>
      <c r="AGT255" s="144"/>
      <c r="AGU255" s="144"/>
      <c r="AGV255" s="144"/>
      <c r="AGW255" s="144"/>
      <c r="AGX255" s="144"/>
      <c r="AGY255" s="144"/>
      <c r="AGZ255" s="144"/>
      <c r="AHA255" s="144"/>
      <c r="AHB255" s="144"/>
      <c r="AHC255" s="144"/>
      <c r="AHD255" s="144"/>
      <c r="AHV255" s="144"/>
      <c r="AHW255" s="144"/>
      <c r="AHX255" s="144"/>
      <c r="AHY255" s="144"/>
      <c r="AHZ255" s="144"/>
      <c r="AIA255" s="144"/>
      <c r="AIB255" s="144"/>
      <c r="AIC255" s="144"/>
      <c r="AID255" s="144"/>
      <c r="AIE255" s="144"/>
      <c r="AIF255" s="144"/>
      <c r="AIG255" s="144"/>
      <c r="AIH255" s="144"/>
      <c r="AII255" s="144"/>
      <c r="AIJ255" s="144"/>
      <c r="AIK255" s="144"/>
      <c r="AIL255" s="144"/>
      <c r="AIM255" s="144"/>
      <c r="AIN255" s="144"/>
      <c r="AIO255" s="144"/>
      <c r="AIP255" s="144"/>
      <c r="AIQ255" s="144"/>
      <c r="AIR255" s="144"/>
      <c r="AIS255" s="144"/>
      <c r="AIT255" s="144"/>
      <c r="AIU255" s="144"/>
      <c r="AIV255" s="144"/>
      <c r="AIW255" s="144"/>
      <c r="AIX255" s="144"/>
      <c r="AIY255" s="144"/>
      <c r="AIZ255" s="144"/>
      <c r="AJA255" s="144"/>
      <c r="AJB255" s="144"/>
      <c r="AJC255" s="144"/>
      <c r="AJD255" s="144"/>
      <c r="AJE255" s="144"/>
      <c r="AJF255" s="144"/>
      <c r="AJG255" s="144"/>
      <c r="AJH255" s="144"/>
      <c r="AJI255" s="144"/>
      <c r="AJJ255" s="144"/>
      <c r="AJK255" s="144"/>
      <c r="AJL255" s="144"/>
      <c r="AJM255" s="144"/>
      <c r="AJN255" s="144"/>
      <c r="AJO255" s="144"/>
      <c r="AJP255" s="144"/>
      <c r="AJQ255" s="144"/>
      <c r="AJR255" s="144"/>
      <c r="AJS255" s="144"/>
      <c r="AJT255" s="144"/>
      <c r="AJU255" s="144"/>
      <c r="AJV255" s="144"/>
      <c r="AJW255" s="144"/>
      <c r="AJX255" s="144"/>
      <c r="AJY255" s="144"/>
      <c r="AJZ255" s="144"/>
      <c r="AKA255" s="144"/>
      <c r="AKB255" s="144"/>
      <c r="AKC255" s="144"/>
      <c r="AKD255" s="144"/>
      <c r="AKE255" s="144"/>
      <c r="AKF255" s="144"/>
      <c r="AKG255" s="144"/>
      <c r="AKH255" s="144"/>
      <c r="AKI255" s="144"/>
      <c r="AKJ255" s="144"/>
      <c r="AKK255" s="144"/>
      <c r="AKL255" s="144"/>
      <c r="AKM255" s="144"/>
      <c r="AKN255" s="144"/>
      <c r="AKO255" s="144"/>
      <c r="AKP255" s="144"/>
      <c r="AKQ255" s="144"/>
      <c r="AKR255" s="144"/>
      <c r="AKS255" s="144"/>
      <c r="AKT255" s="144"/>
      <c r="AKU255" s="144"/>
      <c r="AKV255" s="144"/>
      <c r="AKW255" s="144"/>
      <c r="AKX255" s="144"/>
      <c r="AKY255" s="144"/>
      <c r="AKZ255" s="144"/>
      <c r="ALA255" s="144"/>
      <c r="ALB255" s="144"/>
      <c r="ALC255" s="144"/>
      <c r="ALD255" s="144"/>
      <c r="ALE255" s="144"/>
      <c r="ALF255" s="144"/>
      <c r="ALG255" s="144"/>
      <c r="ALH255" s="144"/>
      <c r="ALI255" s="144"/>
      <c r="ALJ255" s="144"/>
      <c r="ALK255" s="144"/>
      <c r="ALL255" s="144"/>
      <c r="ALM255" s="144"/>
      <c r="ALN255" s="144"/>
      <c r="ALO255" s="144"/>
      <c r="ALP255" s="144"/>
      <c r="ALQ255" s="144"/>
      <c r="ALR255" s="144"/>
      <c r="ALS255" s="144"/>
      <c r="ALT255" s="144"/>
      <c r="ALU255" s="144"/>
      <c r="ALV255" s="144"/>
      <c r="ALW255" s="144"/>
      <c r="ALX255" s="144"/>
      <c r="ALY255" s="144"/>
      <c r="ALZ255" s="144"/>
      <c r="AMA255" s="144"/>
      <c r="AMB255" s="144"/>
      <c r="AMC255" s="144"/>
      <c r="AMD255" s="144"/>
      <c r="AME255" s="144"/>
      <c r="AMF255" s="144"/>
      <c r="AMG255" s="144"/>
      <c r="AMH255" s="144"/>
      <c r="AMI255" s="144"/>
      <c r="AMJ255" s="144"/>
      <c r="AMK255" s="144"/>
      <c r="AML255" s="144"/>
      <c r="AMM255" s="144"/>
      <c r="AMN255" s="144"/>
      <c r="AMO255" s="144"/>
      <c r="AMP255" s="144"/>
      <c r="AMQ255" s="144"/>
      <c r="AMR255" s="144"/>
      <c r="AMS255" s="144"/>
      <c r="AMT255" s="144"/>
      <c r="AMU255" s="144"/>
      <c r="AMV255" s="144"/>
      <c r="AMW255" s="144"/>
      <c r="AMX255" s="144"/>
      <c r="AMY255" s="144"/>
      <c r="AMZ255" s="144"/>
      <c r="ANA255" s="144"/>
      <c r="ANB255" s="144"/>
      <c r="ANC255" s="144"/>
      <c r="AND255" s="144"/>
      <c r="ANE255" s="144"/>
      <c r="ANF255" s="144"/>
      <c r="ANG255" s="144"/>
      <c r="ANH255" s="144"/>
      <c r="ANI255" s="144"/>
      <c r="ANJ255" s="144"/>
      <c r="ANK255" s="144"/>
      <c r="ANL255" s="144"/>
      <c r="ANM255" s="144"/>
      <c r="ANN255" s="144"/>
      <c r="ANO255" s="144"/>
      <c r="ANP255" s="144"/>
      <c r="ANQ255" s="144"/>
      <c r="ANR255" s="144"/>
      <c r="ANS255" s="144"/>
      <c r="ANT255" s="144"/>
      <c r="ANU255" s="144"/>
      <c r="ANV255" s="144"/>
      <c r="ANW255" s="144"/>
      <c r="ANX255" s="144"/>
      <c r="ANY255" s="144"/>
      <c r="ANZ255" s="144"/>
      <c r="AOA255" s="144"/>
      <c r="AOB255" s="144"/>
      <c r="AOC255" s="144"/>
      <c r="AOD255" s="144"/>
      <c r="AOE255" s="144"/>
      <c r="AOF255" s="144"/>
      <c r="AOG255" s="144"/>
      <c r="AOH255" s="144"/>
      <c r="AOI255" s="144"/>
      <c r="AOJ255" s="144"/>
      <c r="AOK255" s="144"/>
      <c r="AOL255" s="144"/>
      <c r="AOM255" s="144"/>
      <c r="AON255" s="144"/>
      <c r="AOO255" s="144"/>
      <c r="AOP255" s="144"/>
      <c r="AOQ255" s="144"/>
      <c r="AOR255" s="144"/>
      <c r="AOS255" s="144"/>
      <c r="AOT255" s="144"/>
      <c r="AOU255" s="144"/>
      <c r="AOV255" s="144"/>
      <c r="AOW255" s="144"/>
      <c r="AOX255" s="144"/>
      <c r="AOY255" s="144"/>
      <c r="AOZ255" s="144"/>
      <c r="APA255" s="144"/>
      <c r="APB255" s="144"/>
      <c r="APC255" s="144"/>
      <c r="APD255" s="144"/>
      <c r="APE255" s="144"/>
      <c r="APF255" s="144"/>
      <c r="APG255" s="144"/>
      <c r="APH255" s="144"/>
      <c r="API255" s="144"/>
      <c r="APJ255" s="144"/>
      <c r="APK255" s="144"/>
      <c r="APL255" s="144"/>
      <c r="APM255" s="144"/>
      <c r="APN255" s="144"/>
      <c r="APO255" s="144"/>
      <c r="APP255" s="144"/>
      <c r="APQ255" s="144"/>
      <c r="APR255" s="144"/>
      <c r="APS255" s="144"/>
      <c r="APT255" s="144"/>
      <c r="APU255" s="144"/>
      <c r="APV255" s="144"/>
      <c r="APW255" s="144"/>
      <c r="APX255" s="144"/>
      <c r="APY255" s="144"/>
      <c r="APZ255" s="144"/>
      <c r="AQA255" s="144"/>
      <c r="AQB255" s="144"/>
      <c r="AQC255" s="144"/>
      <c r="AQD255" s="144"/>
      <c r="AQE255" s="144"/>
      <c r="AQF255" s="144"/>
      <c r="AQG255" s="144"/>
      <c r="AQH255" s="144"/>
      <c r="AQI255" s="144"/>
      <c r="AQJ255" s="144"/>
      <c r="AQK255" s="144"/>
      <c r="AQL255" s="144"/>
      <c r="AQM255" s="144"/>
      <c r="AQN255" s="144"/>
      <c r="AQO255" s="144"/>
      <c r="AQP255" s="144"/>
      <c r="AQQ255" s="144"/>
      <c r="AQR255" s="144"/>
      <c r="AQS255" s="144"/>
      <c r="AQT255" s="144"/>
      <c r="AQU255" s="144"/>
      <c r="AQV255" s="144"/>
      <c r="AQW255" s="144"/>
      <c r="AQX255" s="144"/>
      <c r="AQY255" s="144"/>
      <c r="AQZ255" s="144"/>
      <c r="ARA255" s="144"/>
      <c r="ARB255" s="144"/>
      <c r="ARC255" s="144"/>
      <c r="ARD255" s="144"/>
      <c r="ARE255" s="144"/>
      <c r="ARF255" s="144"/>
      <c r="ARG255" s="144"/>
      <c r="ARH255" s="144"/>
      <c r="ARI255" s="144"/>
      <c r="ARJ255" s="144"/>
      <c r="ARK255" s="144"/>
      <c r="ARL255" s="144"/>
      <c r="ARM255" s="144"/>
      <c r="ARN255" s="144"/>
      <c r="ARO255" s="144"/>
      <c r="ARP255" s="144"/>
      <c r="ARQ255" s="144"/>
      <c r="ARR255" s="144"/>
      <c r="ARS255" s="144"/>
      <c r="ART255" s="144"/>
      <c r="ARU255" s="144"/>
      <c r="ARV255" s="144"/>
      <c r="ARW255" s="144"/>
      <c r="ARX255" s="144"/>
      <c r="ARY255" s="144"/>
      <c r="ARZ255" s="144"/>
      <c r="ASA255" s="144"/>
      <c r="ASB255" s="144"/>
      <c r="ASC255" s="144"/>
      <c r="ASD255" s="144"/>
      <c r="ASE255" s="144"/>
      <c r="ASF255" s="144"/>
    </row>
    <row r="256" spans="329:1176" ht="48" customHeight="1" thickBot="1">
      <c r="LQ256" s="144"/>
      <c r="LR256" s="144"/>
      <c r="LS256" s="144"/>
      <c r="LT256" s="144"/>
      <c r="LU256" s="144"/>
      <c r="LV256" s="144"/>
      <c r="QU256" s="144"/>
      <c r="QV256" s="144"/>
      <c r="QW256" s="144"/>
      <c r="QX256" s="144"/>
      <c r="QY256" s="144"/>
      <c r="QZ256" s="144"/>
      <c r="RA256" s="144"/>
      <c r="RB256" s="144"/>
      <c r="RC256" s="144"/>
      <c r="RD256" s="144"/>
      <c r="RE256" s="144"/>
      <c r="RF256" s="144"/>
      <c r="RG256" s="144"/>
      <c r="XM256" s="144"/>
      <c r="XN256" s="144"/>
      <c r="XO256" s="825"/>
      <c r="XP256" s="665" t="s">
        <v>442</v>
      </c>
      <c r="XQ256" s="666"/>
      <c r="XR256" s="456"/>
      <c r="XS256" s="87"/>
      <c r="XT256" s="87"/>
      <c r="XU256" s="87"/>
      <c r="XV256" s="87"/>
      <c r="XW256" s="87"/>
      <c r="XX256" s="87"/>
      <c r="XY256" s="456"/>
      <c r="XZ256" s="85" t="s">
        <v>467</v>
      </c>
      <c r="YA256" s="757" t="s">
        <v>461</v>
      </c>
      <c r="YB256" s="899"/>
      <c r="YC256" s="819" t="s">
        <v>126</v>
      </c>
      <c r="YD256" s="820"/>
      <c r="YE256" s="675" t="s">
        <v>731</v>
      </c>
      <c r="YF256" s="676"/>
      <c r="YG256" s="821" t="s">
        <v>473</v>
      </c>
      <c r="YH256" s="822"/>
      <c r="YI256" s="822"/>
      <c r="YJ256" s="823"/>
      <c r="YK256" s="769" t="s">
        <v>462</v>
      </c>
      <c r="YL256" s="769"/>
      <c r="YM256" s="769"/>
      <c r="YN256" s="769"/>
      <c r="YO256" s="769"/>
      <c r="YP256" s="769"/>
      <c r="YS256" s="144"/>
      <c r="YT256" s="144"/>
      <c r="YU256" s="144"/>
      <c r="YV256" s="144"/>
      <c r="YW256" s="144"/>
      <c r="YZ256" s="144"/>
      <c r="ZA256" s="144"/>
      <c r="ZB256" s="144"/>
      <c r="ZC256" s="144"/>
      <c r="ZD256" s="144"/>
      <c r="ZE256" s="144"/>
      <c r="ZF256" s="144"/>
      <c r="ZG256" s="144"/>
      <c r="ZH256" s="144"/>
      <c r="ZI256" s="144"/>
      <c r="ZJ256" s="144"/>
      <c r="AAI256" s="144"/>
      <c r="AAJ256" s="144"/>
      <c r="AAR256" s="144"/>
      <c r="AAS256" s="144"/>
      <c r="AAT256" s="144"/>
      <c r="AAU256" s="144"/>
      <c r="AAV256" s="144"/>
      <c r="AAW256" s="144"/>
      <c r="AAX256" s="144"/>
      <c r="AAY256" s="144"/>
      <c r="AAZ256" s="144"/>
      <c r="ABA256" s="144"/>
      <c r="ABB256" s="144"/>
      <c r="ABC256" s="144"/>
      <c r="ABD256" s="144"/>
      <c r="ABE256" s="144"/>
      <c r="ABF256" s="144"/>
      <c r="ABG256" s="144"/>
      <c r="ABH256" s="144"/>
      <c r="ABI256" s="144"/>
      <c r="ABJ256" s="144"/>
      <c r="ABK256" s="144"/>
      <c r="ABL256" s="144"/>
      <c r="ABM256" s="144"/>
      <c r="ABN256" s="144"/>
      <c r="ABO256" s="144"/>
      <c r="ABP256" s="144"/>
      <c r="ABQ256" s="144"/>
      <c r="ABR256" s="144"/>
      <c r="ABS256" s="144"/>
      <c r="ABT256" s="144"/>
      <c r="ABU256" s="144"/>
      <c r="ABV256" s="144"/>
      <c r="ABW256" s="144"/>
      <c r="ABX256" s="144"/>
      <c r="ABY256" s="144"/>
      <c r="ABZ256" s="144"/>
      <c r="ACA256" s="144"/>
      <c r="ACB256" s="144"/>
      <c r="ACC256" s="144"/>
      <c r="ACD256" s="144"/>
      <c r="ACE256" s="144"/>
      <c r="ACF256" s="144"/>
      <c r="ACG256" s="144"/>
      <c r="ACH256" s="144"/>
      <c r="ACI256" s="144"/>
      <c r="ACJ256" s="144"/>
      <c r="AFS256" s="144"/>
      <c r="AFT256" s="144"/>
      <c r="AFU256" s="144"/>
      <c r="AFV256" s="144"/>
      <c r="AFW256" s="144"/>
      <c r="AFX256" s="144"/>
      <c r="AFY256" s="144"/>
      <c r="AFZ256" s="144"/>
      <c r="AGA256" s="144"/>
      <c r="AGB256" s="144"/>
      <c r="AGC256" s="144"/>
      <c r="AGD256" s="144"/>
      <c r="AGE256" s="144"/>
      <c r="AGF256" s="144"/>
      <c r="AGG256" s="144"/>
      <c r="AGH256" s="144"/>
      <c r="AGI256" s="144"/>
      <c r="AGJ256" s="144"/>
      <c r="AGK256" s="144"/>
      <c r="AGL256" s="144"/>
      <c r="AGM256" s="144"/>
      <c r="AGN256" s="144"/>
      <c r="AGO256" s="144"/>
      <c r="AGP256" s="144"/>
      <c r="AGQ256" s="144"/>
      <c r="AGR256" s="144"/>
      <c r="AGS256" s="144"/>
      <c r="AGT256" s="144"/>
      <c r="AGU256" s="144"/>
      <c r="AGV256" s="144"/>
      <c r="AGW256" s="144"/>
      <c r="AGX256" s="144"/>
      <c r="AGY256" s="144"/>
      <c r="AGZ256" s="144"/>
      <c r="AHA256" s="144"/>
      <c r="AHB256" s="144"/>
      <c r="AHC256" s="144"/>
      <c r="AHD256" s="144"/>
      <c r="AHE256" s="144"/>
      <c r="AHF256" s="144"/>
      <c r="AHG256" s="144"/>
      <c r="AHH256" s="144"/>
      <c r="AHI256" s="144"/>
      <c r="AHJ256" s="144"/>
      <c r="AHK256" s="144"/>
      <c r="AHL256" s="144"/>
      <c r="AHM256" s="144"/>
      <c r="AHN256" s="144"/>
      <c r="AHO256" s="144"/>
      <c r="AHP256" s="144"/>
      <c r="AHQ256" s="144"/>
      <c r="AHR256" s="144"/>
      <c r="AHS256" s="144"/>
      <c r="AHT256" s="144"/>
      <c r="AHU256" s="144"/>
      <c r="AHV256" s="144"/>
      <c r="AHW256" s="144"/>
      <c r="AHX256" s="144"/>
      <c r="AHY256" s="144"/>
      <c r="AHZ256" s="144"/>
      <c r="AIA256" s="144"/>
      <c r="AIB256" s="144"/>
      <c r="AIC256" s="144"/>
      <c r="AID256" s="144"/>
      <c r="AIE256" s="144"/>
      <c r="AIF256" s="144"/>
      <c r="AIG256" s="144"/>
      <c r="AIH256" s="144"/>
      <c r="AII256" s="144"/>
      <c r="AIJ256" s="144"/>
      <c r="AIK256" s="144"/>
      <c r="AIL256" s="144"/>
      <c r="AIM256" s="144"/>
      <c r="AIN256" s="144"/>
      <c r="AIO256" s="144"/>
      <c r="AIP256" s="144"/>
      <c r="AIQ256" s="144"/>
      <c r="AIR256" s="144"/>
      <c r="AIS256" s="144"/>
      <c r="AIT256" s="144"/>
      <c r="AIU256" s="144"/>
      <c r="AIV256" s="144"/>
      <c r="AIW256" s="144"/>
      <c r="AIX256" s="144"/>
      <c r="AIY256" s="144"/>
      <c r="AIZ256" s="144"/>
      <c r="AJA256" s="144"/>
      <c r="AJB256" s="144"/>
      <c r="AJC256" s="144"/>
      <c r="AJD256" s="144"/>
      <c r="AJE256" s="144"/>
      <c r="AJF256" s="144"/>
      <c r="AJG256" s="144"/>
      <c r="AJH256" s="144"/>
      <c r="AJI256" s="144"/>
      <c r="AJJ256" s="144"/>
      <c r="AJK256" s="144"/>
      <c r="AJL256" s="144"/>
      <c r="AJM256" s="144"/>
      <c r="AJN256" s="144"/>
      <c r="AJO256" s="144"/>
      <c r="AJP256" s="144"/>
      <c r="AJQ256" s="144"/>
      <c r="AJR256" s="144"/>
      <c r="AJS256" s="144"/>
      <c r="AJT256" s="144"/>
      <c r="AJU256" s="144"/>
      <c r="AJV256" s="144"/>
      <c r="AJW256" s="144"/>
      <c r="AJX256" s="144"/>
      <c r="AJY256" s="144"/>
      <c r="AJZ256" s="144"/>
      <c r="AKA256" s="144"/>
      <c r="AKB256" s="144"/>
      <c r="AKC256" s="144"/>
      <c r="AKD256" s="144"/>
      <c r="AKE256" s="144"/>
      <c r="AKF256" s="144"/>
      <c r="AKG256" s="144"/>
      <c r="AKH256" s="144"/>
      <c r="AKI256" s="144"/>
      <c r="AKJ256" s="144"/>
      <c r="AKK256" s="144"/>
      <c r="AKL256" s="144"/>
      <c r="AKM256" s="144"/>
      <c r="AKN256" s="144"/>
      <c r="AKO256" s="144"/>
      <c r="AKP256" s="144"/>
      <c r="AKQ256" s="144"/>
      <c r="AKR256" s="144"/>
      <c r="AKS256" s="144"/>
      <c r="AKT256" s="144"/>
      <c r="AKU256" s="144"/>
      <c r="AKV256" s="144"/>
      <c r="AKW256" s="144"/>
      <c r="AKX256" s="144"/>
      <c r="AKY256" s="144"/>
      <c r="AKZ256" s="144"/>
      <c r="ALA256" s="144"/>
      <c r="ALB256" s="144"/>
      <c r="ALC256" s="144"/>
      <c r="ALD256" s="144"/>
      <c r="ALE256" s="144"/>
      <c r="ALF256" s="144"/>
      <c r="ALG256" s="144"/>
      <c r="ALH256" s="144"/>
      <c r="ALI256" s="144"/>
      <c r="ALJ256" s="144"/>
      <c r="ALK256" s="144"/>
      <c r="ALL256" s="144"/>
      <c r="ALM256" s="144"/>
      <c r="ALN256" s="144"/>
      <c r="ALO256" s="144"/>
      <c r="ALP256" s="144"/>
      <c r="ALQ256" s="144"/>
      <c r="ALR256" s="144"/>
      <c r="ALS256" s="144"/>
      <c r="ALT256" s="144"/>
      <c r="ALU256" s="144"/>
      <c r="ALV256" s="144"/>
      <c r="ALW256" s="144"/>
      <c r="ALX256" s="144"/>
      <c r="ALY256" s="144"/>
      <c r="ALZ256" s="144"/>
      <c r="AMA256" s="144"/>
      <c r="AMB256" s="144"/>
      <c r="AMC256" s="144"/>
      <c r="AMD256" s="144"/>
      <c r="AME256" s="144"/>
      <c r="AMF256" s="144"/>
      <c r="AMG256" s="144"/>
      <c r="AMH256" s="144"/>
      <c r="AMI256" s="144"/>
      <c r="AMJ256" s="144"/>
      <c r="AMK256" s="144"/>
      <c r="AML256" s="144"/>
      <c r="AMM256" s="144"/>
      <c r="AMN256" s="144"/>
      <c r="AMO256" s="144"/>
      <c r="AMP256" s="144"/>
      <c r="AMQ256" s="144"/>
      <c r="AMR256" s="144"/>
      <c r="AMS256" s="144"/>
      <c r="AMT256" s="144"/>
      <c r="AMU256" s="144"/>
      <c r="AMV256" s="144"/>
      <c r="AMW256" s="144"/>
      <c r="AMX256" s="144"/>
      <c r="AMY256" s="144"/>
      <c r="AMZ256" s="144"/>
      <c r="ANA256" s="144"/>
      <c r="ANB256" s="144"/>
      <c r="ANC256" s="144"/>
      <c r="AND256" s="144"/>
      <c r="ANE256" s="144"/>
      <c r="ANF256" s="144"/>
      <c r="ANG256" s="144"/>
      <c r="ANH256" s="144"/>
      <c r="ANI256" s="144"/>
      <c r="ANJ256" s="144"/>
      <c r="ANK256" s="144"/>
      <c r="ANL256" s="144"/>
      <c r="ANM256" s="144"/>
      <c r="ANN256" s="144"/>
      <c r="ANO256" s="144"/>
      <c r="ANP256" s="144"/>
      <c r="ANQ256" s="144"/>
      <c r="ANR256" s="144"/>
      <c r="ANS256" s="144"/>
      <c r="ANT256" s="144"/>
      <c r="ANU256" s="144"/>
      <c r="ANV256" s="144"/>
      <c r="ANW256" s="144"/>
      <c r="ANX256" s="144"/>
      <c r="ANY256" s="144"/>
      <c r="ANZ256" s="144"/>
      <c r="AOA256" s="144"/>
      <c r="AOB256" s="144"/>
      <c r="AOC256" s="144"/>
      <c r="AOD256" s="144"/>
      <c r="AOE256" s="144"/>
      <c r="AOF256" s="144"/>
      <c r="AOG256" s="144"/>
      <c r="AOH256" s="144"/>
      <c r="AOI256" s="144"/>
      <c r="AOJ256" s="144"/>
      <c r="AOK256" s="144"/>
      <c r="AOL256" s="144"/>
      <c r="AOM256" s="144"/>
      <c r="AON256" s="144"/>
      <c r="AOO256" s="144"/>
      <c r="AOP256" s="144"/>
      <c r="AOQ256" s="144"/>
      <c r="AOR256" s="144"/>
      <c r="AOS256" s="144"/>
      <c r="AOT256" s="144"/>
      <c r="AOU256" s="144"/>
      <c r="AOV256" s="144"/>
      <c r="AOW256" s="144"/>
      <c r="AOX256" s="144"/>
      <c r="AOY256" s="144"/>
      <c r="AOZ256" s="144"/>
      <c r="APA256" s="144"/>
      <c r="APB256" s="144"/>
      <c r="APC256" s="144"/>
      <c r="APD256" s="144"/>
      <c r="APE256" s="144"/>
      <c r="APF256" s="144"/>
      <c r="APG256" s="144"/>
      <c r="APH256" s="144"/>
      <c r="API256" s="144"/>
      <c r="APJ256" s="144"/>
      <c r="APK256" s="144"/>
      <c r="APL256" s="144"/>
      <c r="APM256" s="144"/>
      <c r="APN256" s="144"/>
      <c r="APO256" s="144"/>
      <c r="APP256" s="144"/>
      <c r="APQ256" s="144"/>
      <c r="APR256" s="144"/>
      <c r="APS256" s="144"/>
      <c r="APT256" s="144"/>
      <c r="APU256" s="144"/>
      <c r="APV256" s="144"/>
      <c r="APW256" s="144"/>
      <c r="APX256" s="144"/>
      <c r="APY256" s="144"/>
      <c r="APZ256" s="144"/>
      <c r="AQA256" s="144"/>
      <c r="AQB256" s="144"/>
      <c r="AQC256" s="144"/>
      <c r="AQD256" s="144"/>
      <c r="AQE256" s="144"/>
      <c r="AQF256" s="144"/>
      <c r="AQG256" s="144"/>
      <c r="AQH256" s="144"/>
      <c r="AQI256" s="144"/>
      <c r="AQJ256" s="144"/>
      <c r="AQK256" s="144"/>
      <c r="AQL256" s="144"/>
      <c r="AQM256" s="144"/>
      <c r="AQN256" s="144"/>
      <c r="AQO256" s="144"/>
      <c r="AQP256" s="144"/>
      <c r="AQQ256" s="144"/>
      <c r="AQR256" s="144"/>
      <c r="AQS256" s="144"/>
      <c r="AQT256" s="144"/>
      <c r="AQU256" s="144"/>
      <c r="AQV256" s="144"/>
      <c r="AQW256" s="144"/>
      <c r="AQX256" s="144"/>
      <c r="AQY256" s="144"/>
      <c r="AQZ256" s="144"/>
      <c r="ARA256" s="144"/>
      <c r="ARB256" s="144"/>
      <c r="ARC256" s="144"/>
      <c r="ARD256" s="144"/>
      <c r="ARE256" s="144"/>
      <c r="ARF256" s="144"/>
      <c r="ARG256" s="144"/>
      <c r="ARH256" s="144"/>
      <c r="ARI256" s="144"/>
      <c r="ARJ256" s="144"/>
      <c r="ARK256" s="144"/>
      <c r="ARL256" s="144"/>
      <c r="ARM256" s="144"/>
      <c r="ARN256" s="144"/>
      <c r="ARO256" s="144"/>
      <c r="ARP256" s="144"/>
      <c r="ARQ256" s="144"/>
      <c r="ARR256" s="144"/>
      <c r="ARS256" s="144"/>
      <c r="ART256" s="144"/>
      <c r="ARU256" s="144"/>
      <c r="ARV256" s="144"/>
      <c r="ARW256" s="144"/>
      <c r="ARX256" s="144"/>
      <c r="ARY256" s="144"/>
      <c r="ARZ256" s="144"/>
      <c r="ASA256" s="144"/>
      <c r="ASB256" s="144"/>
      <c r="ASC256" s="144"/>
      <c r="ASD256" s="144"/>
      <c r="ASE256" s="144"/>
      <c r="ASF256" s="144"/>
    </row>
    <row r="257" spans="448:1176" ht="48" customHeight="1">
      <c r="QU257" s="144"/>
      <c r="QV257" s="144"/>
      <c r="QW257" s="144"/>
      <c r="QX257" s="144"/>
      <c r="QY257" s="144"/>
      <c r="QZ257" s="144"/>
      <c r="RA257" s="144"/>
      <c r="RB257" s="144"/>
      <c r="RC257" s="144"/>
      <c r="RD257" s="144"/>
      <c r="RE257" s="144"/>
      <c r="RF257" s="144"/>
      <c r="RG257" s="144"/>
      <c r="XN257" s="144"/>
      <c r="XO257" s="826"/>
      <c r="XP257" s="700" t="s">
        <v>1588</v>
      </c>
      <c r="XQ257" s="701"/>
      <c r="XR257" s="701"/>
      <c r="XS257" s="701"/>
      <c r="XT257" s="701"/>
      <c r="XU257" s="701"/>
      <c r="XV257" s="701"/>
      <c r="XW257" s="701"/>
      <c r="XX257" s="701"/>
      <c r="XY257" s="701"/>
      <c r="XZ257" s="701"/>
      <c r="YA257" s="701"/>
      <c r="YB257" s="702"/>
      <c r="YC257" s="763">
        <f>AQ6/((YC274^2+YC278^2)^0.5)</f>
        <v>325.88529230752243</v>
      </c>
      <c r="YD257" s="764"/>
      <c r="YE257" s="1062" t="s">
        <v>35</v>
      </c>
      <c r="YF257" s="1063"/>
      <c r="YG257" s="712"/>
      <c r="YH257" s="716" t="s">
        <v>1522</v>
      </c>
      <c r="YI257" s="717"/>
      <c r="YJ257" s="746"/>
      <c r="YK257" s="767"/>
      <c r="YL257" s="767"/>
      <c r="YM257" s="767"/>
      <c r="YN257" s="767"/>
      <c r="YO257" s="767"/>
      <c r="YP257" s="767"/>
      <c r="YS257" s="144"/>
      <c r="YT257" s="144"/>
      <c r="YU257" s="144"/>
      <c r="YV257" s="144"/>
      <c r="YW257" s="144"/>
      <c r="YZ257" s="144"/>
      <c r="ZA257" s="144"/>
      <c r="ZB257" s="144"/>
      <c r="ZC257" s="144"/>
      <c r="ZD257" s="144"/>
      <c r="ZE257" s="144"/>
      <c r="ZF257" s="144"/>
      <c r="ZG257" s="144"/>
      <c r="ZH257" s="144"/>
      <c r="ZI257" s="144"/>
      <c r="ZJ257" s="144"/>
      <c r="AAE257" s="144"/>
      <c r="AAF257" s="144"/>
      <c r="AAG257" s="144"/>
      <c r="AAH257" s="144"/>
      <c r="AAI257" s="144"/>
      <c r="AAJ257" s="144"/>
      <c r="AAK257" s="144"/>
      <c r="AAL257" s="144"/>
      <c r="AAM257" s="144"/>
      <c r="AAN257" s="144"/>
      <c r="AAO257" s="144"/>
      <c r="AAP257" s="144"/>
      <c r="AAQ257" s="144"/>
      <c r="AAR257" s="144"/>
      <c r="AAS257" s="144"/>
      <c r="AAT257" s="144"/>
      <c r="AAU257" s="144"/>
      <c r="AAV257" s="144"/>
      <c r="AAW257" s="144"/>
      <c r="AAX257" s="144"/>
      <c r="AAY257" s="144"/>
      <c r="AAZ257" s="144"/>
      <c r="ABA257" s="144"/>
      <c r="ABB257" s="144"/>
      <c r="ABC257" s="144"/>
      <c r="ABD257" s="144"/>
      <c r="ABE257" s="144"/>
      <c r="ABF257" s="144"/>
      <c r="ABG257" s="144"/>
      <c r="ABH257" s="144"/>
      <c r="ABI257" s="144"/>
      <c r="ABJ257" s="144"/>
      <c r="ABK257" s="144"/>
      <c r="ABL257" s="144"/>
      <c r="ABM257" s="144"/>
      <c r="ABN257" s="144"/>
      <c r="ABO257" s="144"/>
      <c r="ABP257" s="144"/>
      <c r="ABQ257" s="144"/>
      <c r="ABR257" s="144"/>
      <c r="ABS257" s="144"/>
      <c r="ABT257" s="144"/>
      <c r="ABU257" s="144"/>
      <c r="ABV257" s="144"/>
      <c r="ABW257" s="144"/>
      <c r="ABX257" s="144"/>
      <c r="ABY257" s="144"/>
      <c r="ABZ257" s="144"/>
      <c r="ACA257" s="144"/>
      <c r="ACB257" s="144"/>
      <c r="ACC257" s="144"/>
      <c r="ACD257" s="144"/>
      <c r="ACE257" s="144"/>
      <c r="ACF257" s="144"/>
      <c r="ACG257" s="144"/>
      <c r="ACH257" s="144"/>
      <c r="ACI257" s="144"/>
      <c r="ACJ257" s="144"/>
      <c r="AFS257" s="144"/>
      <c r="AFT257" s="144"/>
      <c r="AFU257" s="144"/>
      <c r="AFV257" s="144"/>
      <c r="AFW257" s="144"/>
      <c r="AFX257" s="144"/>
      <c r="AFY257" s="144"/>
      <c r="AFZ257" s="144"/>
      <c r="AGA257" s="144"/>
      <c r="AGB257" s="144"/>
      <c r="AGC257" s="144"/>
      <c r="AGD257" s="144"/>
      <c r="AGE257" s="144"/>
      <c r="AGF257" s="144"/>
      <c r="AGG257" s="144"/>
      <c r="AGH257" s="144"/>
      <c r="AGI257" s="144"/>
      <c r="AGJ257" s="144"/>
      <c r="AGK257" s="144"/>
      <c r="AGL257" s="144"/>
      <c r="AGM257" s="144"/>
      <c r="AGN257" s="144"/>
      <c r="AGO257" s="144"/>
      <c r="AGP257" s="144"/>
      <c r="AGQ257" s="144"/>
      <c r="AGR257" s="144"/>
      <c r="AGS257" s="144"/>
      <c r="AGT257" s="144"/>
      <c r="AGU257" s="144"/>
      <c r="AGV257" s="144"/>
      <c r="AGW257" s="144"/>
      <c r="AGX257" s="144"/>
      <c r="AGY257" s="144"/>
      <c r="AGZ257" s="144"/>
      <c r="AHA257" s="144"/>
      <c r="AHB257" s="144"/>
      <c r="AHC257" s="144"/>
      <c r="AHD257" s="144"/>
      <c r="AHE257" s="144"/>
      <c r="AHF257" s="144"/>
      <c r="AHG257" s="144"/>
      <c r="AHH257" s="144"/>
      <c r="AHI257" s="144"/>
      <c r="AHJ257" s="144"/>
      <c r="AHK257" s="144"/>
      <c r="AHL257" s="144"/>
      <c r="AHM257" s="144"/>
      <c r="AHN257" s="144"/>
      <c r="AHO257" s="144"/>
      <c r="AHP257" s="144"/>
      <c r="AHQ257" s="144"/>
      <c r="AHR257" s="144"/>
      <c r="AHS257" s="144"/>
      <c r="AHT257" s="144"/>
      <c r="AHU257" s="144"/>
      <c r="AHV257" s="144"/>
      <c r="AHW257" s="144"/>
      <c r="AHX257" s="144"/>
      <c r="AHY257" s="144"/>
      <c r="AHZ257" s="144"/>
      <c r="AIA257" s="144"/>
      <c r="AIB257" s="144"/>
      <c r="AIC257" s="144"/>
      <c r="AID257" s="144"/>
      <c r="AIE257" s="144"/>
      <c r="AIF257" s="144"/>
      <c r="AIG257" s="144"/>
      <c r="AIH257" s="144"/>
      <c r="AII257" s="144"/>
      <c r="AIJ257" s="144"/>
      <c r="AIK257" s="144"/>
      <c r="AIL257" s="144"/>
      <c r="AIM257" s="144"/>
      <c r="AIN257" s="144"/>
      <c r="AIO257" s="144"/>
      <c r="AIP257" s="144"/>
      <c r="AIQ257" s="144"/>
      <c r="AIR257" s="144"/>
      <c r="AIS257" s="144"/>
      <c r="AIT257" s="144"/>
      <c r="AIU257" s="144"/>
      <c r="AIV257" s="144"/>
      <c r="AIW257" s="144"/>
      <c r="AIX257" s="144"/>
      <c r="AIY257" s="144"/>
      <c r="AIZ257" s="144"/>
      <c r="AJA257" s="144"/>
      <c r="AJB257" s="144"/>
      <c r="AJC257" s="144"/>
      <c r="AJD257" s="144"/>
      <c r="AJE257" s="144"/>
      <c r="AJF257" s="144"/>
      <c r="AJG257" s="144"/>
      <c r="AJH257" s="144"/>
      <c r="AJI257" s="144"/>
      <c r="AJJ257" s="144"/>
      <c r="AJK257" s="144"/>
      <c r="AJL257" s="144"/>
      <c r="AJM257" s="144"/>
      <c r="AJN257" s="144"/>
      <c r="AJO257" s="144"/>
      <c r="AJP257" s="144"/>
      <c r="AJQ257" s="144"/>
      <c r="AJR257" s="144"/>
      <c r="AJS257" s="144"/>
      <c r="AJT257" s="144"/>
      <c r="AJU257" s="144"/>
      <c r="AJV257" s="144"/>
      <c r="AJW257" s="144"/>
      <c r="AJX257" s="144"/>
      <c r="AJY257" s="144"/>
      <c r="AJZ257" s="144"/>
      <c r="AKA257" s="144"/>
      <c r="AKB257" s="144"/>
      <c r="AKC257" s="144"/>
      <c r="AKD257" s="144"/>
      <c r="AKE257" s="144"/>
      <c r="AKF257" s="144"/>
      <c r="AKG257" s="144"/>
      <c r="AKH257" s="144"/>
      <c r="AKI257" s="144"/>
      <c r="AKJ257" s="144"/>
      <c r="AKK257" s="144"/>
      <c r="AKL257" s="144"/>
      <c r="AKM257" s="144"/>
      <c r="AKN257" s="144"/>
      <c r="AKO257" s="144"/>
      <c r="AKP257" s="144"/>
      <c r="AKQ257" s="144"/>
      <c r="AKR257" s="144"/>
      <c r="AKS257" s="144"/>
      <c r="AKT257" s="144"/>
      <c r="AKU257" s="144"/>
      <c r="AKV257" s="144"/>
      <c r="AKW257" s="144"/>
      <c r="AKX257" s="144"/>
      <c r="AKY257" s="144"/>
      <c r="AKZ257" s="144"/>
      <c r="ALA257" s="144"/>
      <c r="ALB257" s="144"/>
      <c r="ALC257" s="144"/>
      <c r="ALD257" s="144"/>
      <c r="ALE257" s="144"/>
      <c r="ALF257" s="144"/>
      <c r="ALG257" s="144"/>
      <c r="ALH257" s="144"/>
      <c r="ALI257" s="144"/>
      <c r="ALJ257" s="144"/>
      <c r="ALK257" s="144"/>
      <c r="ALL257" s="144"/>
      <c r="ALM257" s="144"/>
      <c r="ALN257" s="144"/>
      <c r="ALO257" s="144"/>
      <c r="ALP257" s="144"/>
      <c r="ALQ257" s="144"/>
      <c r="ALR257" s="144"/>
      <c r="ALS257" s="144"/>
      <c r="ALT257" s="144"/>
      <c r="ALU257" s="144"/>
      <c r="ALV257" s="144"/>
      <c r="ALW257" s="144"/>
      <c r="ALX257" s="144"/>
      <c r="ALY257" s="144"/>
      <c r="ALZ257" s="144"/>
      <c r="AMA257" s="144"/>
      <c r="AMB257" s="144"/>
      <c r="AMC257" s="144"/>
      <c r="AMD257" s="144"/>
      <c r="AME257" s="144"/>
      <c r="AMF257" s="144"/>
      <c r="AMG257" s="144"/>
      <c r="AMH257" s="144"/>
      <c r="AMI257" s="144"/>
      <c r="AMJ257" s="144"/>
      <c r="AMK257" s="144"/>
      <c r="AML257" s="144"/>
      <c r="AMM257" s="144"/>
      <c r="AMN257" s="144"/>
      <c r="AMO257" s="144"/>
      <c r="AMP257" s="144"/>
      <c r="AMQ257" s="144"/>
      <c r="AMR257" s="144"/>
      <c r="AMS257" s="144"/>
      <c r="AMT257" s="144"/>
      <c r="AMU257" s="144"/>
      <c r="AMV257" s="144"/>
      <c r="AMW257" s="144"/>
      <c r="AMX257" s="144"/>
      <c r="AMY257" s="144"/>
      <c r="AMZ257" s="144"/>
      <c r="ANA257" s="144"/>
      <c r="ANB257" s="144"/>
      <c r="ANC257" s="144"/>
      <c r="AND257" s="144"/>
      <c r="ANE257" s="144"/>
      <c r="ANF257" s="144"/>
      <c r="ANG257" s="144"/>
      <c r="ANH257" s="144"/>
      <c r="ANI257" s="144"/>
      <c r="ANJ257" s="144"/>
      <c r="ANK257" s="144"/>
      <c r="ANL257" s="144"/>
      <c r="ANM257" s="144"/>
      <c r="ANN257" s="144"/>
      <c r="ANO257" s="144"/>
      <c r="ANP257" s="144"/>
      <c r="ANQ257" s="144"/>
      <c r="ANR257" s="144"/>
      <c r="ANS257" s="144"/>
      <c r="ANT257" s="144"/>
      <c r="ANU257" s="144"/>
      <c r="ANV257" s="144"/>
      <c r="ANW257" s="144"/>
      <c r="ANX257" s="144"/>
      <c r="ANY257" s="144"/>
      <c r="ANZ257" s="144"/>
      <c r="AOA257" s="144"/>
      <c r="AOB257" s="144"/>
      <c r="AOC257" s="144"/>
      <c r="AOD257" s="144"/>
      <c r="AOE257" s="144"/>
      <c r="AOF257" s="144"/>
      <c r="AOG257" s="144"/>
      <c r="AOH257" s="144"/>
      <c r="AOI257" s="144"/>
      <c r="AOJ257" s="144"/>
      <c r="AOK257" s="144"/>
      <c r="AOL257" s="144"/>
      <c r="AOM257" s="144"/>
      <c r="AON257" s="144"/>
      <c r="AOO257" s="144"/>
      <c r="AOP257" s="144"/>
      <c r="AOQ257" s="144"/>
      <c r="AOR257" s="144"/>
      <c r="AOS257" s="144"/>
      <c r="AOT257" s="144"/>
      <c r="AOU257" s="144"/>
      <c r="AOV257" s="144"/>
      <c r="AOW257" s="144"/>
      <c r="AOX257" s="144"/>
      <c r="AOY257" s="144"/>
      <c r="AOZ257" s="144"/>
      <c r="APA257" s="144"/>
      <c r="APB257" s="144"/>
      <c r="APC257" s="144"/>
      <c r="APD257" s="144"/>
      <c r="APE257" s="144"/>
      <c r="APF257" s="144"/>
      <c r="APG257" s="144"/>
      <c r="APH257" s="144"/>
      <c r="API257" s="144"/>
      <c r="APJ257" s="144"/>
      <c r="APK257" s="144"/>
      <c r="APL257" s="144"/>
      <c r="APM257" s="144"/>
      <c r="APN257" s="144"/>
      <c r="APO257" s="144"/>
      <c r="APP257" s="144"/>
      <c r="APQ257" s="144"/>
      <c r="APR257" s="144"/>
      <c r="APS257" s="144"/>
      <c r="APT257" s="144"/>
      <c r="APU257" s="144"/>
      <c r="APV257" s="144"/>
      <c r="APW257" s="144"/>
      <c r="APX257" s="144"/>
      <c r="APY257" s="144"/>
      <c r="APZ257" s="144"/>
      <c r="AQA257" s="144"/>
      <c r="AQB257" s="144"/>
      <c r="AQC257" s="144"/>
      <c r="AQD257" s="144"/>
      <c r="AQE257" s="144"/>
      <c r="AQF257" s="144"/>
      <c r="AQG257" s="144"/>
      <c r="AQH257" s="144"/>
      <c r="AQI257" s="144"/>
      <c r="AQJ257" s="144"/>
      <c r="AQK257" s="144"/>
      <c r="AQL257" s="144"/>
      <c r="AQM257" s="144"/>
      <c r="AQN257" s="144"/>
      <c r="AQO257" s="144"/>
      <c r="AQP257" s="144"/>
      <c r="AQQ257" s="144"/>
      <c r="AQR257" s="144"/>
      <c r="AQS257" s="144"/>
      <c r="AQT257" s="144"/>
      <c r="AQU257" s="144"/>
      <c r="AQV257" s="144"/>
      <c r="AQW257" s="144"/>
      <c r="AQX257" s="144"/>
      <c r="AQY257" s="144"/>
      <c r="AQZ257" s="144"/>
      <c r="ARA257" s="144"/>
      <c r="ARB257" s="144"/>
      <c r="ARC257" s="144"/>
      <c r="ARD257" s="144"/>
      <c r="ARE257" s="144"/>
      <c r="ARF257" s="144"/>
      <c r="ARG257" s="144"/>
      <c r="ARH257" s="144"/>
      <c r="ARI257" s="144"/>
      <c r="ARJ257" s="144"/>
      <c r="ARK257" s="144"/>
      <c r="ARL257" s="144"/>
      <c r="ARM257" s="144"/>
      <c r="ARN257" s="144"/>
      <c r="ARO257" s="144"/>
      <c r="ARP257" s="144"/>
      <c r="ARQ257" s="144"/>
      <c r="ARR257" s="144"/>
      <c r="ARS257" s="144"/>
      <c r="ART257" s="144"/>
      <c r="ARU257" s="144"/>
      <c r="ARV257" s="144"/>
      <c r="ARW257" s="144"/>
      <c r="ARX257" s="144"/>
      <c r="ARY257" s="144"/>
      <c r="ARZ257" s="144"/>
      <c r="ASA257" s="144"/>
      <c r="ASB257" s="144"/>
      <c r="ASC257" s="144"/>
      <c r="ASD257" s="144"/>
      <c r="ASE257" s="144"/>
      <c r="ASF257" s="144"/>
    </row>
    <row r="258" spans="448:1176" ht="48" customHeight="1" thickBot="1">
      <c r="QU258" s="144"/>
      <c r="QV258" s="144"/>
      <c r="QW258" s="144"/>
      <c r="QX258" s="144"/>
      <c r="QY258" s="144"/>
      <c r="QZ258" s="144"/>
      <c r="RA258" s="144"/>
      <c r="RB258" s="144"/>
      <c r="RC258" s="144"/>
      <c r="RD258" s="144"/>
      <c r="RE258" s="144"/>
      <c r="RF258" s="144"/>
      <c r="RG258" s="144"/>
      <c r="RH258" s="144"/>
      <c r="RI258" s="144"/>
      <c r="RJ258" s="144"/>
      <c r="RK258" s="144"/>
      <c r="RL258" s="144"/>
      <c r="XM258" s="144"/>
      <c r="XN258" s="144"/>
      <c r="XO258" s="826"/>
      <c r="XP258" s="703"/>
      <c r="XQ258" s="704"/>
      <c r="XR258" s="704"/>
      <c r="XS258" s="704"/>
      <c r="XT258" s="704"/>
      <c r="XU258" s="704"/>
      <c r="XV258" s="704"/>
      <c r="XW258" s="704"/>
      <c r="XX258" s="704"/>
      <c r="XY258" s="704"/>
      <c r="XZ258" s="704"/>
      <c r="YA258" s="704"/>
      <c r="YB258" s="705"/>
      <c r="YC258" s="765"/>
      <c r="YD258" s="766"/>
      <c r="YE258" s="1064"/>
      <c r="YF258" s="1065"/>
      <c r="YG258" s="713"/>
      <c r="YH258" s="718"/>
      <c r="YI258" s="719"/>
      <c r="YJ258" s="747"/>
      <c r="YK258" s="767"/>
      <c r="YL258" s="767"/>
      <c r="YM258" s="767"/>
      <c r="YN258" s="767"/>
      <c r="YO258" s="767"/>
      <c r="YP258" s="767"/>
      <c r="YS258" s="144"/>
      <c r="YT258" s="144"/>
      <c r="YU258" s="144"/>
      <c r="YV258" s="144"/>
      <c r="YW258" s="144"/>
      <c r="YZ258" s="144"/>
      <c r="ZA258" s="144"/>
      <c r="ZB258" s="144"/>
      <c r="ZC258" s="144"/>
      <c r="ZD258" s="144"/>
      <c r="ZE258" s="144"/>
      <c r="ZF258" s="144"/>
      <c r="ZG258" s="144"/>
      <c r="ZH258" s="144"/>
      <c r="ZI258" s="144"/>
      <c r="ZJ258" s="144"/>
      <c r="AAE258" s="144"/>
      <c r="AAF258" s="144"/>
      <c r="AAG258" s="144"/>
      <c r="AAH258" s="144"/>
      <c r="AAI258" s="144"/>
      <c r="AAJ258" s="144"/>
      <c r="AAK258" s="144"/>
      <c r="AAL258" s="144"/>
      <c r="AAM258" s="144"/>
      <c r="AAN258" s="144"/>
      <c r="AAO258" s="144"/>
      <c r="AAP258" s="144"/>
      <c r="AAQ258" s="144"/>
      <c r="AAR258" s="144"/>
      <c r="AAS258" s="144"/>
      <c r="AAT258" s="144"/>
      <c r="AAU258" s="144"/>
      <c r="AAV258" s="144"/>
      <c r="AAW258" s="144"/>
      <c r="AAX258" s="144"/>
      <c r="AAY258" s="144"/>
      <c r="AAZ258" s="144"/>
      <c r="ABA258" s="144"/>
      <c r="ABB258" s="144"/>
      <c r="ABC258" s="144"/>
      <c r="ABD258" s="144"/>
      <c r="ABE258" s="144"/>
      <c r="ABF258" s="144"/>
      <c r="ABG258" s="144"/>
      <c r="ABH258" s="144"/>
      <c r="ABI258" s="144"/>
      <c r="ABJ258" s="144"/>
      <c r="ABK258" s="144"/>
      <c r="ABL258" s="144"/>
      <c r="ABM258" s="144"/>
      <c r="ABN258" s="144"/>
      <c r="ABO258" s="144"/>
      <c r="ABP258" s="144"/>
      <c r="ABQ258" s="144"/>
      <c r="ABR258" s="144"/>
      <c r="ABS258" s="144"/>
      <c r="ABT258" s="144"/>
      <c r="ABU258" s="144"/>
      <c r="ABV258" s="144"/>
      <c r="ABW258" s="144"/>
      <c r="ABX258" s="144"/>
      <c r="ABY258" s="144"/>
      <c r="ABZ258" s="144"/>
      <c r="ACA258" s="144"/>
      <c r="ACB258" s="144"/>
      <c r="ACC258" s="144"/>
      <c r="ACD258" s="144"/>
      <c r="ACE258" s="144"/>
      <c r="ACF258" s="144"/>
      <c r="ACG258" s="144"/>
      <c r="ACH258" s="144"/>
      <c r="ACI258" s="144"/>
      <c r="ACJ258" s="144"/>
      <c r="AFS258" s="144"/>
      <c r="AFT258" s="144"/>
      <c r="AFU258" s="144"/>
      <c r="AFV258" s="144"/>
      <c r="AFW258" s="144"/>
      <c r="AFX258" s="144"/>
      <c r="AFY258" s="144"/>
      <c r="AFZ258" s="144"/>
      <c r="AGA258" s="144"/>
      <c r="AGB258" s="144"/>
      <c r="AGC258" s="144"/>
      <c r="AGD258" s="144"/>
      <c r="AGE258" s="144"/>
      <c r="AGF258" s="144"/>
      <c r="AGG258" s="144"/>
      <c r="AGH258" s="144"/>
      <c r="AGI258" s="144"/>
      <c r="AGJ258" s="144"/>
      <c r="AGK258" s="144"/>
      <c r="AGL258" s="144"/>
      <c r="AGM258" s="144"/>
      <c r="AGN258" s="144"/>
      <c r="AGO258" s="144"/>
      <c r="AGP258" s="144"/>
      <c r="AGQ258" s="144"/>
      <c r="AGR258" s="144"/>
      <c r="AGS258" s="144"/>
      <c r="AGT258" s="144"/>
      <c r="AGU258" s="144"/>
      <c r="AGV258" s="144"/>
      <c r="AGW258" s="144"/>
      <c r="AGX258" s="144"/>
      <c r="AGY258" s="144"/>
      <c r="AGZ258" s="144"/>
      <c r="AHA258" s="144"/>
      <c r="AHB258" s="144"/>
      <c r="AHC258" s="144"/>
      <c r="AHD258" s="144"/>
      <c r="AHE258" s="144"/>
      <c r="AHF258" s="144"/>
      <c r="AHG258" s="144"/>
      <c r="AHH258" s="144"/>
      <c r="AHI258" s="144"/>
      <c r="AHJ258" s="144"/>
      <c r="AHK258" s="144"/>
      <c r="AHL258" s="144"/>
      <c r="AHM258" s="144"/>
      <c r="AHN258" s="144"/>
      <c r="AHO258" s="144"/>
      <c r="AHP258" s="144"/>
      <c r="AHQ258" s="144"/>
      <c r="AHR258" s="144"/>
      <c r="AHS258" s="144"/>
      <c r="AHT258" s="144"/>
      <c r="AHU258" s="144"/>
      <c r="AHV258" s="144"/>
      <c r="AHW258" s="144"/>
      <c r="AHX258" s="144"/>
      <c r="AHY258" s="144"/>
      <c r="AHZ258" s="144"/>
      <c r="AIA258" s="144"/>
      <c r="AIB258" s="144"/>
      <c r="AIC258" s="144"/>
      <c r="AID258" s="144"/>
      <c r="AIE258" s="144"/>
      <c r="AIF258" s="144"/>
      <c r="AIG258" s="144"/>
      <c r="AIH258" s="144"/>
      <c r="AII258" s="144"/>
      <c r="AIJ258" s="144"/>
      <c r="AIK258" s="144"/>
      <c r="AIL258" s="144"/>
      <c r="AIM258" s="144"/>
      <c r="AIN258" s="144"/>
      <c r="AIO258" s="144"/>
      <c r="AIP258" s="144"/>
      <c r="AIQ258" s="144"/>
      <c r="AIR258" s="144"/>
      <c r="AIS258" s="144"/>
      <c r="AIT258" s="144"/>
      <c r="AIU258" s="144"/>
      <c r="AIV258" s="144"/>
      <c r="AIW258" s="144"/>
      <c r="AIX258" s="144"/>
      <c r="AIY258" s="144"/>
      <c r="AIZ258" s="144"/>
      <c r="AJA258" s="144"/>
      <c r="AJB258" s="144"/>
      <c r="AJC258" s="144"/>
      <c r="AJD258" s="144"/>
      <c r="AJE258" s="144"/>
      <c r="AJF258" s="144"/>
      <c r="AJG258" s="144"/>
      <c r="AJH258" s="144"/>
      <c r="AJI258" s="144"/>
      <c r="AJJ258" s="144"/>
      <c r="AJK258" s="144"/>
      <c r="AJL258" s="144"/>
      <c r="AJM258" s="144"/>
      <c r="AJN258" s="144"/>
      <c r="AJO258" s="144"/>
      <c r="AJP258" s="144"/>
      <c r="AJQ258" s="144"/>
      <c r="AJR258" s="144"/>
      <c r="AJS258" s="144"/>
      <c r="AJT258" s="144"/>
      <c r="AJU258" s="144"/>
      <c r="AJV258" s="144"/>
      <c r="AJW258" s="144"/>
      <c r="AJX258" s="144"/>
      <c r="AJY258" s="144"/>
      <c r="AJZ258" s="144"/>
      <c r="AKA258" s="144"/>
      <c r="AKB258" s="144"/>
      <c r="AKC258" s="144"/>
      <c r="AKD258" s="144"/>
      <c r="AKE258" s="144"/>
      <c r="AKF258" s="144"/>
      <c r="AKG258" s="144"/>
      <c r="AKH258" s="144"/>
      <c r="AKI258" s="144"/>
      <c r="AKJ258" s="144"/>
      <c r="AKK258" s="144"/>
      <c r="AKL258" s="144"/>
      <c r="AKM258" s="144"/>
      <c r="AKN258" s="144"/>
      <c r="AKO258" s="144"/>
      <c r="AKP258" s="144"/>
      <c r="AKQ258" s="144"/>
      <c r="AKR258" s="144"/>
      <c r="AKS258" s="144"/>
      <c r="AKT258" s="144"/>
      <c r="AKU258" s="144"/>
      <c r="AKV258" s="144"/>
      <c r="AKW258" s="144"/>
      <c r="AKX258" s="144"/>
      <c r="AKY258" s="144"/>
      <c r="AKZ258" s="144"/>
      <c r="ALA258" s="144"/>
      <c r="ALB258" s="144"/>
      <c r="ALC258" s="144"/>
      <c r="ALD258" s="144"/>
      <c r="ALE258" s="144"/>
      <c r="ALF258" s="144"/>
      <c r="ALG258" s="144"/>
      <c r="ALH258" s="144"/>
      <c r="ALI258" s="144"/>
      <c r="ALJ258" s="144"/>
      <c r="ALK258" s="144"/>
      <c r="ALL258" s="144"/>
      <c r="ALM258" s="144"/>
      <c r="ALN258" s="144"/>
      <c r="ALO258" s="144"/>
      <c r="ALP258" s="144"/>
      <c r="ALQ258" s="144"/>
      <c r="ALR258" s="144"/>
      <c r="ALS258" s="144"/>
      <c r="ALT258" s="144"/>
      <c r="ALU258" s="144"/>
      <c r="ALV258" s="144"/>
      <c r="ALW258" s="144"/>
      <c r="ALX258" s="144"/>
      <c r="ALY258" s="144"/>
      <c r="ALZ258" s="144"/>
      <c r="AMA258" s="144"/>
      <c r="AMB258" s="144"/>
      <c r="AMC258" s="144"/>
      <c r="AMD258" s="144"/>
      <c r="AME258" s="144"/>
      <c r="AMF258" s="144"/>
      <c r="AMG258" s="144"/>
      <c r="AMH258" s="144"/>
      <c r="AMI258" s="144"/>
      <c r="AMJ258" s="144"/>
      <c r="AMK258" s="144"/>
      <c r="AML258" s="144"/>
      <c r="AMM258" s="144"/>
      <c r="AMN258" s="144"/>
      <c r="AMO258" s="144"/>
      <c r="AMP258" s="144"/>
      <c r="AMQ258" s="144"/>
      <c r="AMR258" s="144"/>
      <c r="AMS258" s="144"/>
      <c r="AMT258" s="144"/>
      <c r="AMU258" s="144"/>
      <c r="AMV258" s="144"/>
      <c r="AMW258" s="144"/>
      <c r="AMX258" s="144"/>
      <c r="AMY258" s="144"/>
      <c r="AMZ258" s="144"/>
      <c r="ANA258" s="144"/>
      <c r="ANB258" s="144"/>
      <c r="ANC258" s="144"/>
      <c r="AND258" s="144"/>
      <c r="ANE258" s="144"/>
      <c r="ANF258" s="144"/>
      <c r="ANG258" s="144"/>
      <c r="ANH258" s="144"/>
      <c r="ANI258" s="144"/>
      <c r="ANJ258" s="144"/>
      <c r="ANK258" s="144"/>
      <c r="ANL258" s="144"/>
      <c r="ANM258" s="144"/>
      <c r="ANN258" s="144"/>
      <c r="ANO258" s="144"/>
      <c r="ANP258" s="144"/>
      <c r="ANQ258" s="144"/>
      <c r="ANR258" s="144"/>
      <c r="ANS258" s="144"/>
      <c r="ANT258" s="144"/>
      <c r="ANU258" s="144"/>
      <c r="ANV258" s="144"/>
      <c r="ANW258" s="144"/>
      <c r="ANX258" s="144"/>
      <c r="ANY258" s="144"/>
      <c r="ANZ258" s="144"/>
      <c r="AOA258" s="144"/>
      <c r="AOB258" s="144"/>
      <c r="AOC258" s="144"/>
      <c r="AOD258" s="144"/>
      <c r="AOE258" s="144"/>
      <c r="AOF258" s="144"/>
      <c r="AOG258" s="144"/>
      <c r="AOH258" s="144"/>
      <c r="AOI258" s="144"/>
      <c r="AOJ258" s="144"/>
      <c r="AOK258" s="144"/>
      <c r="AOL258" s="144"/>
      <c r="AOM258" s="144"/>
      <c r="AON258" s="144"/>
      <c r="AOO258" s="144"/>
      <c r="AOP258" s="144"/>
      <c r="AOQ258" s="144"/>
      <c r="AOR258" s="144"/>
      <c r="AOS258" s="144"/>
      <c r="AOT258" s="144"/>
      <c r="AOU258" s="144"/>
      <c r="AOV258" s="144"/>
      <c r="AOW258" s="144"/>
      <c r="AOX258" s="144"/>
      <c r="AOY258" s="144"/>
      <c r="AOZ258" s="144"/>
      <c r="APA258" s="144"/>
      <c r="APB258" s="144"/>
      <c r="APC258" s="144"/>
      <c r="APD258" s="144"/>
      <c r="APE258" s="144"/>
      <c r="APF258" s="144"/>
      <c r="APG258" s="144"/>
      <c r="APH258" s="144"/>
      <c r="API258" s="144"/>
      <c r="APJ258" s="144"/>
      <c r="APK258" s="144"/>
      <c r="APL258" s="144"/>
      <c r="APM258" s="144"/>
      <c r="APN258" s="144"/>
      <c r="APO258" s="144"/>
      <c r="APP258" s="144"/>
      <c r="APQ258" s="144"/>
      <c r="APR258" s="144"/>
      <c r="APS258" s="144"/>
      <c r="APT258" s="144"/>
      <c r="APU258" s="144"/>
      <c r="APV258" s="144"/>
      <c r="APW258" s="144"/>
      <c r="APX258" s="144"/>
      <c r="APY258" s="144"/>
      <c r="APZ258" s="144"/>
      <c r="AQA258" s="144"/>
      <c r="AQB258" s="144"/>
      <c r="AQC258" s="144"/>
      <c r="AQD258" s="144"/>
      <c r="AQE258" s="144"/>
      <c r="AQF258" s="144"/>
      <c r="AQG258" s="144"/>
      <c r="AQH258" s="144"/>
      <c r="AQI258" s="144"/>
      <c r="AQJ258" s="144"/>
      <c r="AQK258" s="144"/>
      <c r="AQL258" s="144"/>
      <c r="AQM258" s="144"/>
      <c r="AQN258" s="144"/>
      <c r="AQO258" s="144"/>
      <c r="AQP258" s="144"/>
      <c r="AQQ258" s="144"/>
      <c r="AQR258" s="144"/>
      <c r="AQS258" s="144"/>
      <c r="AQT258" s="144"/>
      <c r="AQU258" s="144"/>
      <c r="AQV258" s="144"/>
      <c r="AQW258" s="144"/>
      <c r="AQX258" s="144"/>
      <c r="AQY258" s="144"/>
      <c r="AQZ258" s="144"/>
      <c r="ARA258" s="144"/>
      <c r="ARB258" s="144"/>
      <c r="ARC258" s="144"/>
      <c r="ARD258" s="144"/>
      <c r="ARE258" s="144"/>
      <c r="ARF258" s="144"/>
      <c r="ARG258" s="144"/>
      <c r="ARH258" s="144"/>
      <c r="ARI258" s="144"/>
      <c r="ARJ258" s="144"/>
      <c r="ARK258" s="144"/>
      <c r="ARL258" s="144"/>
      <c r="ARM258" s="144"/>
      <c r="ARN258" s="144"/>
      <c r="ARO258" s="144"/>
      <c r="ARP258" s="144"/>
      <c r="ARQ258" s="144"/>
      <c r="ARR258" s="144"/>
      <c r="ARS258" s="144"/>
      <c r="ART258" s="144"/>
      <c r="ARU258" s="144"/>
      <c r="ARV258" s="144"/>
      <c r="ARW258" s="144"/>
      <c r="ARX258" s="144"/>
      <c r="ARY258" s="144"/>
      <c r="ARZ258" s="144"/>
      <c r="ASA258" s="144"/>
      <c r="ASB258" s="144"/>
      <c r="ASC258" s="144"/>
      <c r="ASD258" s="144"/>
      <c r="ASE258" s="144"/>
      <c r="ASF258" s="144"/>
    </row>
    <row r="259" spans="448:1176" ht="48" customHeight="1" thickBot="1">
      <c r="QU259" s="144"/>
      <c r="QV259" s="144"/>
      <c r="QW259" s="144"/>
      <c r="QX259" s="144"/>
      <c r="QY259" s="144"/>
      <c r="QZ259" s="144"/>
      <c r="RA259" s="144"/>
      <c r="RB259" s="144"/>
      <c r="RC259" s="144"/>
      <c r="RD259" s="144"/>
      <c r="RE259" s="144"/>
      <c r="RF259" s="144"/>
      <c r="RG259" s="144"/>
      <c r="RH259" s="144"/>
      <c r="RI259" s="144"/>
      <c r="RJ259" s="144"/>
      <c r="RK259" s="144"/>
      <c r="RL259" s="144"/>
      <c r="XM259" s="144"/>
      <c r="XN259" s="144"/>
      <c r="XO259" s="827"/>
      <c r="XP259" s="706"/>
      <c r="XQ259" s="707"/>
      <c r="XR259" s="707"/>
      <c r="XS259" s="707"/>
      <c r="XT259" s="707"/>
      <c r="XU259" s="707"/>
      <c r="XV259" s="707"/>
      <c r="XW259" s="707"/>
      <c r="XX259" s="707"/>
      <c r="XY259" s="707"/>
      <c r="XZ259" s="707"/>
      <c r="YA259" s="707"/>
      <c r="YB259" s="708"/>
      <c r="YC259" s="1012"/>
      <c r="YD259" s="1013"/>
      <c r="YE259" s="1013"/>
      <c r="YF259" s="1013"/>
      <c r="YG259" s="1013"/>
      <c r="YH259" s="1013"/>
      <c r="YI259" s="1013"/>
      <c r="YJ259" s="1014"/>
      <c r="YK259" s="768"/>
      <c r="YL259" s="768"/>
      <c r="YM259" s="768"/>
      <c r="YN259" s="768"/>
      <c r="YO259" s="768"/>
      <c r="YP259" s="768"/>
      <c r="YS259" s="144"/>
      <c r="YT259" s="144"/>
      <c r="YU259" s="144"/>
      <c r="YV259" s="144"/>
      <c r="YW259" s="144"/>
      <c r="YX259" s="144"/>
      <c r="YZ259" s="144"/>
      <c r="ZA259" s="144"/>
      <c r="ZB259" s="144"/>
      <c r="ZC259" s="144"/>
      <c r="ZD259" s="144"/>
      <c r="ZE259" s="144"/>
      <c r="ZF259" s="144"/>
      <c r="ZG259" s="144"/>
      <c r="ZH259" s="144"/>
      <c r="ZI259" s="144"/>
      <c r="ZJ259" s="144"/>
      <c r="AAE259" s="144"/>
      <c r="AAM259" s="144"/>
      <c r="AAN259" s="144"/>
      <c r="AAO259" s="144"/>
      <c r="AAP259" s="144"/>
      <c r="AAQ259" s="144"/>
      <c r="AAR259" s="144"/>
      <c r="AAS259" s="144"/>
      <c r="AAT259" s="144"/>
      <c r="AAU259" s="144"/>
      <c r="AAV259" s="144"/>
      <c r="AAW259" s="144"/>
      <c r="AAX259" s="144"/>
      <c r="AAY259" s="144"/>
      <c r="AAZ259" s="144"/>
      <c r="ABA259" s="144"/>
      <c r="ABB259" s="144"/>
      <c r="ABC259" s="144"/>
      <c r="ABD259" s="144"/>
      <c r="ABE259" s="144"/>
      <c r="ABF259" s="144"/>
      <c r="ABG259" s="144"/>
      <c r="ABH259" s="144"/>
      <c r="ABI259" s="144"/>
      <c r="ABJ259" s="144"/>
      <c r="ABK259" s="144"/>
      <c r="ABL259" s="144"/>
      <c r="ABM259" s="144"/>
      <c r="ABN259" s="144"/>
      <c r="ABO259" s="144"/>
      <c r="ABP259" s="144"/>
      <c r="ABQ259" s="144"/>
      <c r="ABR259" s="144"/>
      <c r="ABS259" s="144"/>
      <c r="ABT259" s="144"/>
      <c r="ABU259" s="144"/>
      <c r="ABV259" s="144"/>
      <c r="ABW259" s="144"/>
      <c r="ABX259" s="144"/>
      <c r="ABY259" s="144"/>
      <c r="ABZ259" s="144"/>
      <c r="ACA259" s="144"/>
      <c r="ACB259" s="144"/>
      <c r="ACC259" s="144"/>
      <c r="ACD259" s="144"/>
      <c r="ACE259" s="144"/>
      <c r="ACF259" s="144"/>
      <c r="ACG259" s="144"/>
      <c r="ACH259" s="144"/>
      <c r="ACI259" s="144"/>
      <c r="ACJ259" s="144"/>
      <c r="AFS259" s="144"/>
      <c r="AFT259" s="144"/>
      <c r="AFU259" s="144"/>
      <c r="AFV259" s="144"/>
      <c r="AFW259" s="144"/>
      <c r="AFX259" s="144"/>
      <c r="AFY259" s="144"/>
      <c r="AFZ259" s="144"/>
      <c r="AGA259" s="144"/>
      <c r="AGB259" s="144"/>
      <c r="AGC259" s="144"/>
      <c r="AGD259" s="144"/>
      <c r="AGE259" s="144"/>
      <c r="AGF259" s="144"/>
      <c r="AGG259" s="144"/>
      <c r="AGH259" s="144"/>
      <c r="AGI259" s="144"/>
      <c r="AGJ259" s="144"/>
      <c r="AGK259" s="144"/>
      <c r="AGL259" s="144"/>
      <c r="AGM259" s="144"/>
      <c r="AGN259" s="144"/>
      <c r="AGO259" s="144"/>
      <c r="AGP259" s="144"/>
      <c r="AGQ259" s="144"/>
      <c r="AGR259" s="144"/>
      <c r="AGS259" s="144"/>
      <c r="AGT259" s="144"/>
      <c r="AGU259" s="144"/>
      <c r="AGV259" s="144"/>
      <c r="AGW259" s="144"/>
      <c r="AGX259" s="144"/>
      <c r="AGY259" s="144"/>
      <c r="AGZ259" s="144"/>
      <c r="AHA259" s="144"/>
      <c r="AHB259" s="144"/>
      <c r="AHC259" s="144"/>
      <c r="AHD259" s="144"/>
      <c r="AHE259" s="144"/>
      <c r="AHF259" s="144"/>
      <c r="AHG259" s="144"/>
      <c r="AHH259" s="144"/>
      <c r="AHI259" s="144"/>
      <c r="AHJ259" s="144"/>
      <c r="AHK259" s="144"/>
      <c r="AHL259" s="144"/>
      <c r="AHM259" s="144"/>
      <c r="AHN259" s="144"/>
      <c r="AHO259" s="144"/>
      <c r="AHP259" s="144"/>
      <c r="AHQ259" s="144"/>
      <c r="AHR259" s="144"/>
      <c r="AHS259" s="144"/>
      <c r="AHT259" s="144"/>
      <c r="AHU259" s="144"/>
      <c r="AHV259" s="144"/>
      <c r="AHW259" s="144"/>
      <c r="AHX259" s="144"/>
      <c r="AHY259" s="144"/>
      <c r="AHZ259" s="144"/>
      <c r="AIA259" s="144"/>
      <c r="AIB259" s="144"/>
      <c r="AIC259" s="144"/>
      <c r="AID259" s="144"/>
      <c r="AIE259" s="144"/>
      <c r="AIF259" s="144"/>
      <c r="AIG259" s="144"/>
      <c r="AIH259" s="144"/>
      <c r="AII259" s="144"/>
      <c r="AIJ259" s="144"/>
      <c r="AIK259" s="144"/>
      <c r="AIL259" s="144"/>
      <c r="AIM259" s="144"/>
      <c r="AIN259" s="144"/>
      <c r="AIO259" s="144"/>
      <c r="AIP259" s="144"/>
      <c r="AIQ259" s="144"/>
      <c r="AIR259" s="144"/>
      <c r="AIS259" s="144"/>
      <c r="AIT259" s="144"/>
      <c r="AIU259" s="144"/>
      <c r="AIV259" s="144"/>
      <c r="AIW259" s="144"/>
      <c r="AIX259" s="144"/>
      <c r="AIY259" s="144"/>
      <c r="AIZ259" s="144"/>
      <c r="AJA259" s="144"/>
      <c r="AJB259" s="144"/>
      <c r="AJC259" s="144"/>
      <c r="AJD259" s="144"/>
      <c r="AJE259" s="144"/>
      <c r="AJF259" s="144"/>
      <c r="AJG259" s="144"/>
      <c r="AJH259" s="144"/>
      <c r="AJI259" s="144"/>
      <c r="AJJ259" s="144"/>
      <c r="AJK259" s="144"/>
      <c r="AJL259" s="144"/>
      <c r="AJM259" s="144"/>
      <c r="AJN259" s="144"/>
      <c r="AJO259" s="144"/>
      <c r="AJP259" s="144"/>
      <c r="AJQ259" s="144"/>
      <c r="AJR259" s="144"/>
      <c r="AJS259" s="144"/>
      <c r="AJT259" s="144"/>
      <c r="AJU259" s="144"/>
      <c r="AJV259" s="144"/>
      <c r="AJW259" s="144"/>
      <c r="AJX259" s="144"/>
      <c r="AJY259" s="144"/>
      <c r="AJZ259" s="144"/>
      <c r="AKA259" s="144"/>
      <c r="AKB259" s="144"/>
      <c r="AKC259" s="144"/>
      <c r="AKD259" s="144"/>
      <c r="AKE259" s="144"/>
      <c r="AKF259" s="144"/>
      <c r="AKG259" s="144"/>
      <c r="AKH259" s="144"/>
      <c r="AKI259" s="144"/>
      <c r="AKJ259" s="144"/>
      <c r="AKK259" s="144"/>
      <c r="AKL259" s="144"/>
      <c r="AKM259" s="144"/>
      <c r="AKN259" s="144"/>
      <c r="AKO259" s="144"/>
      <c r="AKP259" s="144"/>
      <c r="AKQ259" s="144"/>
      <c r="AKR259" s="144"/>
      <c r="AKS259" s="144"/>
      <c r="AKT259" s="144"/>
      <c r="AKU259" s="144"/>
      <c r="AKV259" s="144"/>
      <c r="AKW259" s="144"/>
      <c r="AKX259" s="144"/>
      <c r="AKY259" s="144"/>
      <c r="AKZ259" s="144"/>
      <c r="ALA259" s="144"/>
      <c r="ALB259" s="144"/>
      <c r="ALC259" s="144"/>
      <c r="ALD259" s="144"/>
      <c r="ALE259" s="144"/>
      <c r="ALF259" s="144"/>
      <c r="ALG259" s="144"/>
      <c r="ALH259" s="144"/>
      <c r="ALI259" s="144"/>
      <c r="ALJ259" s="144"/>
      <c r="ALK259" s="144"/>
      <c r="ALL259" s="144"/>
      <c r="ALM259" s="144"/>
      <c r="ALN259" s="144"/>
      <c r="ALO259" s="144"/>
      <c r="ALP259" s="144"/>
      <c r="ALQ259" s="144"/>
      <c r="ALR259" s="144"/>
      <c r="ALS259" s="144"/>
      <c r="ALT259" s="144"/>
      <c r="ALU259" s="144"/>
      <c r="ALV259" s="144"/>
      <c r="ALW259" s="144"/>
      <c r="ALX259" s="144"/>
      <c r="ALY259" s="144"/>
      <c r="ALZ259" s="144"/>
      <c r="AMA259" s="144"/>
      <c r="AMB259" s="144"/>
      <c r="AMC259" s="144"/>
      <c r="AMD259" s="144"/>
      <c r="AME259" s="144"/>
      <c r="AMF259" s="144"/>
      <c r="AMG259" s="144"/>
      <c r="AMH259" s="144"/>
      <c r="AMI259" s="144"/>
      <c r="AMJ259" s="144"/>
      <c r="AMK259" s="144"/>
      <c r="AML259" s="144"/>
      <c r="AMM259" s="144"/>
      <c r="AMN259" s="144"/>
      <c r="AMO259" s="144"/>
      <c r="AMP259" s="144"/>
      <c r="AMQ259" s="144"/>
      <c r="AMR259" s="144"/>
      <c r="AMS259" s="144"/>
      <c r="AMT259" s="144"/>
      <c r="AMU259" s="144"/>
      <c r="AMV259" s="144"/>
      <c r="AMW259" s="144"/>
      <c r="AMX259" s="144"/>
      <c r="AMY259" s="144"/>
      <c r="AMZ259" s="144"/>
      <c r="ANA259" s="144"/>
      <c r="ANB259" s="144"/>
      <c r="ANC259" s="144"/>
      <c r="AND259" s="144"/>
      <c r="ANE259" s="144"/>
      <c r="ANF259" s="144"/>
      <c r="ANG259" s="144"/>
      <c r="ANH259" s="144"/>
      <c r="ANI259" s="144"/>
      <c r="ANJ259" s="144"/>
      <c r="ANK259" s="144"/>
      <c r="ANL259" s="144"/>
      <c r="ANM259" s="144"/>
      <c r="ANN259" s="144"/>
      <c r="ANO259" s="144"/>
      <c r="ANP259" s="144"/>
      <c r="ANQ259" s="144"/>
      <c r="ANR259" s="144"/>
      <c r="ANS259" s="144"/>
      <c r="ANT259" s="144"/>
      <c r="ANU259" s="144"/>
      <c r="ANV259" s="144"/>
      <c r="ANW259" s="144"/>
      <c r="ANX259" s="144"/>
      <c r="ANY259" s="144"/>
      <c r="ANZ259" s="144"/>
      <c r="AOA259" s="144"/>
      <c r="AOB259" s="144"/>
      <c r="AOC259" s="144"/>
      <c r="AOD259" s="144"/>
      <c r="AOE259" s="144"/>
      <c r="AOF259" s="144"/>
      <c r="AOG259" s="144"/>
      <c r="AOH259" s="144"/>
      <c r="AOI259" s="144"/>
      <c r="AOJ259" s="144"/>
      <c r="AOK259" s="144"/>
      <c r="AOL259" s="144"/>
      <c r="AOM259" s="144"/>
      <c r="AON259" s="144"/>
      <c r="AOO259" s="144"/>
      <c r="AOP259" s="144"/>
      <c r="AOQ259" s="144"/>
      <c r="AOR259" s="144"/>
      <c r="AOS259" s="144"/>
      <c r="AOT259" s="144"/>
      <c r="AOU259" s="144"/>
      <c r="AOV259" s="144"/>
      <c r="AOW259" s="144"/>
      <c r="AOX259" s="144"/>
      <c r="AOY259" s="144"/>
      <c r="AOZ259" s="144"/>
      <c r="APA259" s="144"/>
      <c r="APB259" s="144"/>
      <c r="APC259" s="144"/>
      <c r="APD259" s="144"/>
      <c r="APE259" s="144"/>
      <c r="APF259" s="144"/>
      <c r="APG259" s="144"/>
      <c r="APH259" s="144"/>
      <c r="API259" s="144"/>
      <c r="APJ259" s="144"/>
      <c r="APK259" s="144"/>
      <c r="APL259" s="144"/>
      <c r="APM259" s="144"/>
      <c r="APN259" s="144"/>
      <c r="APO259" s="144"/>
      <c r="APP259" s="144"/>
      <c r="APQ259" s="144"/>
      <c r="APR259" s="144"/>
      <c r="APS259" s="144"/>
      <c r="APT259" s="144"/>
      <c r="APU259" s="144"/>
      <c r="APV259" s="144"/>
      <c r="APW259" s="144"/>
      <c r="APX259" s="144"/>
      <c r="APY259" s="144"/>
      <c r="APZ259" s="144"/>
      <c r="AQA259" s="144"/>
      <c r="AQB259" s="144"/>
      <c r="AQC259" s="144"/>
      <c r="AQD259" s="144"/>
      <c r="AQE259" s="144"/>
      <c r="AQF259" s="144"/>
      <c r="AQG259" s="144"/>
      <c r="AQH259" s="144"/>
      <c r="AQI259" s="144"/>
      <c r="AQJ259" s="144"/>
      <c r="AQK259" s="144"/>
      <c r="AQL259" s="144"/>
      <c r="AQM259" s="144"/>
      <c r="AQN259" s="144"/>
      <c r="AQO259" s="144"/>
      <c r="AQP259" s="144"/>
      <c r="AQQ259" s="144"/>
      <c r="AQR259" s="144"/>
      <c r="AQS259" s="144"/>
      <c r="AQT259" s="144"/>
      <c r="AQU259" s="144"/>
      <c r="AQV259" s="144"/>
      <c r="AQW259" s="144"/>
      <c r="AQX259" s="144"/>
      <c r="AQY259" s="144"/>
      <c r="AQZ259" s="144"/>
      <c r="ARA259" s="144"/>
      <c r="ARB259" s="144"/>
      <c r="ARC259" s="144"/>
      <c r="ARD259" s="144"/>
      <c r="ARE259" s="144"/>
      <c r="ARF259" s="144"/>
      <c r="ARG259" s="144"/>
      <c r="ARH259" s="144"/>
      <c r="ARI259" s="144"/>
      <c r="ARJ259" s="144"/>
      <c r="ARK259" s="144"/>
      <c r="ARL259" s="144"/>
      <c r="ARM259" s="144"/>
      <c r="ARN259" s="144"/>
      <c r="ARO259" s="144"/>
      <c r="ARP259" s="144"/>
      <c r="ARQ259" s="144"/>
      <c r="ARR259" s="144"/>
      <c r="ARS259" s="144"/>
      <c r="ART259" s="144"/>
      <c r="ARU259" s="144"/>
      <c r="ARV259" s="144"/>
      <c r="ARW259" s="144"/>
      <c r="ARX259" s="144"/>
      <c r="ARY259" s="144"/>
      <c r="ARZ259" s="144"/>
      <c r="ASA259" s="144"/>
      <c r="ASB259" s="144"/>
      <c r="ASC259" s="144"/>
      <c r="ASD259" s="144"/>
      <c r="ASE259" s="144"/>
      <c r="ASF259" s="144"/>
    </row>
    <row r="260" spans="448:1176" ht="48" customHeight="1">
      <c r="QU260" s="144"/>
      <c r="QV260" s="144"/>
      <c r="QW260" s="144"/>
      <c r="QX260" s="144"/>
      <c r="QY260" s="144"/>
      <c r="QZ260" s="144"/>
      <c r="RA260" s="144"/>
      <c r="RB260" s="144"/>
      <c r="RC260" s="144"/>
      <c r="RD260" s="144"/>
      <c r="RE260" s="144"/>
      <c r="RF260" s="144"/>
      <c r="RG260" s="144"/>
      <c r="RH260" s="144"/>
      <c r="RI260" s="144"/>
      <c r="RJ260" s="144"/>
      <c r="RK260" s="144"/>
      <c r="RL260" s="144"/>
      <c r="XN260" s="144"/>
      <c r="YS260" s="144"/>
      <c r="YT260" s="144"/>
      <c r="YU260" s="144"/>
      <c r="YV260" s="144"/>
      <c r="YX260" s="144"/>
      <c r="YY260" s="144"/>
      <c r="YZ260" s="144"/>
      <c r="ZA260" s="144"/>
      <c r="ZB260" s="144"/>
      <c r="ZC260" s="144"/>
      <c r="ZD260" s="144"/>
      <c r="ZE260" s="144"/>
      <c r="ZF260" s="144"/>
      <c r="ZG260" s="144"/>
      <c r="ZH260" s="144"/>
      <c r="ZI260" s="144"/>
      <c r="ZJ260" s="144"/>
      <c r="AAE260" s="144"/>
      <c r="AAM260" s="144"/>
      <c r="AAN260" s="144"/>
      <c r="AAO260" s="144"/>
      <c r="AAP260" s="144"/>
      <c r="AAQ260" s="144"/>
      <c r="AAR260" s="144"/>
      <c r="AAS260" s="144"/>
      <c r="AAT260" s="144"/>
      <c r="AAU260" s="144"/>
      <c r="AAV260" s="144"/>
      <c r="AAW260" s="144"/>
      <c r="AAX260" s="144"/>
      <c r="AAY260" s="144"/>
      <c r="AAZ260" s="144"/>
      <c r="ABA260" s="144"/>
      <c r="ABB260" s="144"/>
      <c r="ABC260" s="144"/>
      <c r="ABD260" s="144"/>
      <c r="ABE260" s="144"/>
      <c r="ABF260" s="144"/>
      <c r="ABG260" s="144"/>
      <c r="ABH260" s="144"/>
      <c r="ABI260" s="144"/>
      <c r="ABJ260" s="144"/>
      <c r="ABK260" s="144"/>
      <c r="ABL260" s="144"/>
      <c r="ABM260" s="144"/>
      <c r="ABN260" s="144"/>
      <c r="ABO260" s="144"/>
      <c r="ABP260" s="144"/>
      <c r="ABQ260" s="144"/>
      <c r="ABR260" s="144"/>
      <c r="ABS260" s="144"/>
      <c r="ABT260" s="144"/>
      <c r="ABU260" s="144"/>
      <c r="ABV260" s="144"/>
      <c r="ABW260" s="144"/>
      <c r="ABX260" s="144"/>
      <c r="ABY260" s="144"/>
      <c r="ABZ260" s="144"/>
      <c r="ACA260" s="144"/>
      <c r="ACB260" s="144"/>
      <c r="ACC260" s="144"/>
      <c r="ACD260" s="144"/>
      <c r="ACE260" s="144"/>
      <c r="ACF260" s="144"/>
      <c r="ACG260" s="144"/>
      <c r="ACH260" s="144"/>
      <c r="ACI260" s="144"/>
      <c r="ACJ260" s="144"/>
      <c r="AFS260" s="144"/>
      <c r="AFT260" s="144"/>
      <c r="AFU260" s="144"/>
      <c r="AFV260" s="144"/>
      <c r="AFW260" s="144"/>
      <c r="AFX260" s="144"/>
      <c r="AFY260" s="144"/>
      <c r="AFZ260" s="144"/>
      <c r="AGA260" s="144"/>
      <c r="AGB260" s="144"/>
      <c r="AGC260" s="144"/>
      <c r="AGD260" s="144"/>
      <c r="AGE260" s="144"/>
      <c r="AGF260" s="144"/>
      <c r="AGG260" s="144"/>
      <c r="AGH260" s="144"/>
      <c r="AGI260" s="144"/>
      <c r="AGJ260" s="144"/>
      <c r="AGK260" s="144"/>
      <c r="AGL260" s="144"/>
      <c r="AGM260" s="144"/>
      <c r="AGN260" s="144"/>
      <c r="AGO260" s="144"/>
      <c r="AGP260" s="144"/>
      <c r="AGQ260" s="144"/>
      <c r="AGR260" s="144"/>
      <c r="AGS260" s="144"/>
      <c r="AGT260" s="144"/>
      <c r="AGU260" s="144"/>
      <c r="AGV260" s="144"/>
      <c r="AGW260" s="144"/>
      <c r="AGX260" s="144"/>
      <c r="AGY260" s="144"/>
      <c r="AGZ260" s="144"/>
      <c r="AHA260" s="144"/>
      <c r="AHB260" s="144"/>
      <c r="AHC260" s="144"/>
      <c r="AHD260" s="144"/>
      <c r="AHE260" s="144"/>
      <c r="AHF260" s="144"/>
      <c r="AHG260" s="144"/>
      <c r="AHH260" s="144"/>
      <c r="AHI260" s="144"/>
      <c r="AHJ260" s="144"/>
      <c r="AHK260" s="144"/>
      <c r="AHL260" s="144"/>
      <c r="AHM260" s="144"/>
      <c r="AHN260" s="144"/>
      <c r="AHO260" s="144"/>
      <c r="AHP260" s="144"/>
      <c r="AHQ260" s="144"/>
      <c r="AHR260" s="144"/>
      <c r="AHS260" s="144"/>
      <c r="AHT260" s="144"/>
      <c r="AHU260" s="144"/>
      <c r="AHV260" s="144"/>
      <c r="AHW260" s="144"/>
      <c r="AHX260" s="144"/>
      <c r="AHY260" s="144"/>
      <c r="AHZ260" s="144"/>
      <c r="AIA260" s="144"/>
      <c r="AIB260" s="144"/>
      <c r="AIC260" s="144"/>
      <c r="AID260" s="144"/>
      <c r="AIE260" s="144"/>
      <c r="AIF260" s="144"/>
      <c r="AIG260" s="144"/>
      <c r="AIH260" s="144"/>
      <c r="AII260" s="144"/>
      <c r="AIJ260" s="144"/>
      <c r="AIK260" s="144"/>
      <c r="AIL260" s="144"/>
      <c r="AIM260" s="144"/>
      <c r="AIN260" s="144"/>
      <c r="AIO260" s="144"/>
      <c r="AIP260" s="144"/>
      <c r="AIQ260" s="144"/>
      <c r="AIR260" s="144"/>
      <c r="AIS260" s="144"/>
      <c r="AIT260" s="144"/>
      <c r="AIU260" s="144"/>
      <c r="AIV260" s="144"/>
      <c r="AIW260" s="144"/>
      <c r="AIX260" s="144"/>
      <c r="AIY260" s="144"/>
      <c r="AIZ260" s="144"/>
      <c r="AJA260" s="144"/>
      <c r="AJB260" s="144"/>
      <c r="AJC260" s="144"/>
      <c r="AJD260" s="144"/>
      <c r="AJE260" s="144"/>
      <c r="AJF260" s="144"/>
      <c r="AJG260" s="144"/>
      <c r="AJH260" s="144"/>
      <c r="AJI260" s="144"/>
      <c r="AJJ260" s="144"/>
      <c r="AJK260" s="144"/>
      <c r="AJL260" s="144"/>
      <c r="AJM260" s="144"/>
      <c r="AJN260" s="144"/>
      <c r="AJO260" s="144"/>
      <c r="AJP260" s="144"/>
      <c r="AJQ260" s="144"/>
      <c r="AJR260" s="144"/>
      <c r="AJS260" s="144"/>
      <c r="AJT260" s="144"/>
      <c r="AJU260" s="144"/>
      <c r="AJV260" s="144"/>
      <c r="AJW260" s="144"/>
      <c r="AJX260" s="144"/>
      <c r="AJY260" s="144"/>
      <c r="AJZ260" s="144"/>
      <c r="AKA260" s="144"/>
      <c r="AKB260" s="144"/>
      <c r="AKC260" s="144"/>
      <c r="AKD260" s="144"/>
      <c r="AKE260" s="144"/>
      <c r="AKF260" s="144"/>
      <c r="AKG260" s="144"/>
      <c r="AKH260" s="144"/>
      <c r="AKI260" s="144"/>
      <c r="AKJ260" s="144"/>
      <c r="AKK260" s="144"/>
      <c r="AKL260" s="144"/>
      <c r="AKM260" s="144"/>
      <c r="AKN260" s="144"/>
      <c r="AKO260" s="144"/>
      <c r="AKP260" s="144"/>
      <c r="AKQ260" s="144"/>
      <c r="AKR260" s="144"/>
      <c r="AKS260" s="144"/>
      <c r="AKT260" s="144"/>
      <c r="AKU260" s="144"/>
      <c r="AKV260" s="144"/>
      <c r="AKW260" s="144"/>
      <c r="AKX260" s="144"/>
      <c r="AKY260" s="144"/>
      <c r="AKZ260" s="144"/>
      <c r="ALA260" s="144"/>
      <c r="ALB260" s="144"/>
      <c r="ALC260" s="144"/>
      <c r="ALD260" s="144"/>
      <c r="ALE260" s="144"/>
      <c r="ALF260" s="144"/>
      <c r="ALG260" s="144"/>
      <c r="ALH260" s="144"/>
      <c r="ALI260" s="144"/>
      <c r="ALJ260" s="144"/>
      <c r="ALK260" s="144"/>
      <c r="ALL260" s="144"/>
      <c r="ALM260" s="144"/>
      <c r="ALN260" s="144"/>
      <c r="ALO260" s="144"/>
      <c r="ALP260" s="144"/>
      <c r="ALQ260" s="144"/>
      <c r="ALR260" s="144"/>
      <c r="ALS260" s="144"/>
      <c r="ALT260" s="144"/>
      <c r="ALU260" s="144"/>
      <c r="ALV260" s="144"/>
      <c r="ALW260" s="144"/>
      <c r="ALX260" s="144"/>
      <c r="ALY260" s="144"/>
      <c r="ALZ260" s="144"/>
      <c r="AMA260" s="144"/>
      <c r="AMB260" s="144"/>
      <c r="AMC260" s="144"/>
      <c r="AMD260" s="144"/>
      <c r="AME260" s="144"/>
      <c r="AMF260" s="144"/>
      <c r="AMG260" s="144"/>
      <c r="AMH260" s="144"/>
      <c r="AMI260" s="144"/>
      <c r="AMJ260" s="144"/>
      <c r="AMK260" s="144"/>
      <c r="AML260" s="144"/>
      <c r="AMM260" s="144"/>
      <c r="AMN260" s="144"/>
      <c r="AMO260" s="144"/>
      <c r="AMP260" s="144"/>
      <c r="AMQ260" s="144"/>
      <c r="AMR260" s="144"/>
      <c r="AMS260" s="144"/>
      <c r="AMT260" s="144"/>
      <c r="AMU260" s="144"/>
      <c r="AMV260" s="144"/>
      <c r="AMW260" s="144"/>
      <c r="AMX260" s="144"/>
      <c r="AMY260" s="144"/>
      <c r="AMZ260" s="144"/>
      <c r="ANA260" s="144"/>
      <c r="ANB260" s="144"/>
      <c r="ANC260" s="144"/>
      <c r="AND260" s="144"/>
      <c r="ANE260" s="144"/>
      <c r="ANF260" s="144"/>
      <c r="ANG260" s="144"/>
      <c r="ANH260" s="144"/>
      <c r="ANI260" s="144"/>
      <c r="ANJ260" s="144"/>
      <c r="ANK260" s="144"/>
      <c r="ANL260" s="144"/>
      <c r="ANM260" s="144"/>
      <c r="ANN260" s="144"/>
      <c r="ANO260" s="144"/>
      <c r="ANP260" s="144"/>
      <c r="ANQ260" s="144"/>
      <c r="ANR260" s="144"/>
      <c r="ANS260" s="144"/>
      <c r="ANT260" s="144"/>
      <c r="ANU260" s="144"/>
      <c r="ANV260" s="144"/>
      <c r="ANW260" s="144"/>
      <c r="ANX260" s="144"/>
      <c r="ANY260" s="144"/>
      <c r="ANZ260" s="144"/>
      <c r="AOA260" s="144"/>
      <c r="AOB260" s="144"/>
      <c r="AOC260" s="144"/>
      <c r="AOD260" s="144"/>
      <c r="AOE260" s="144"/>
      <c r="AOF260" s="144"/>
      <c r="AOG260" s="144"/>
      <c r="AOH260" s="144"/>
      <c r="AOI260" s="144"/>
      <c r="AOJ260" s="144"/>
      <c r="AOK260" s="144"/>
      <c r="AOL260" s="144"/>
      <c r="AOM260" s="144"/>
      <c r="AON260" s="144"/>
      <c r="AOO260" s="144"/>
      <c r="AOP260" s="144"/>
      <c r="AOQ260" s="144"/>
      <c r="AOR260" s="144"/>
      <c r="AOS260" s="144"/>
      <c r="AOT260" s="144"/>
      <c r="AOU260" s="144"/>
      <c r="AOV260" s="144"/>
      <c r="AOW260" s="144"/>
      <c r="AOX260" s="144"/>
      <c r="AOY260" s="144"/>
      <c r="AOZ260" s="144"/>
      <c r="APA260" s="144"/>
      <c r="APB260" s="144"/>
      <c r="APC260" s="144"/>
      <c r="APD260" s="144"/>
      <c r="APE260" s="144"/>
      <c r="APF260" s="144"/>
      <c r="APG260" s="144"/>
      <c r="APH260" s="144"/>
      <c r="API260" s="144"/>
      <c r="APJ260" s="144"/>
      <c r="APK260" s="144"/>
      <c r="APL260" s="144"/>
      <c r="APM260" s="144"/>
      <c r="APN260" s="144"/>
      <c r="APO260" s="144"/>
      <c r="APP260" s="144"/>
      <c r="APQ260" s="144"/>
      <c r="APR260" s="144"/>
      <c r="APS260" s="144"/>
      <c r="APT260" s="144"/>
      <c r="APU260" s="144"/>
      <c r="APV260" s="144"/>
      <c r="APW260" s="144"/>
      <c r="APX260" s="144"/>
      <c r="APY260" s="144"/>
      <c r="APZ260" s="144"/>
      <c r="AQA260" s="144"/>
      <c r="AQB260" s="144"/>
      <c r="AQC260" s="144"/>
      <c r="AQD260" s="144"/>
      <c r="AQE260" s="144"/>
      <c r="AQF260" s="144"/>
      <c r="AQG260" s="144"/>
      <c r="AQH260" s="144"/>
      <c r="AQI260" s="144"/>
      <c r="AQJ260" s="144"/>
      <c r="AQK260" s="144"/>
      <c r="AQL260" s="144"/>
      <c r="AQM260" s="144"/>
      <c r="AQN260" s="144"/>
      <c r="AQO260" s="144"/>
      <c r="AQP260" s="144"/>
      <c r="AQQ260" s="144"/>
      <c r="AQR260" s="144"/>
      <c r="AQS260" s="144"/>
      <c r="AQT260" s="144"/>
      <c r="AQU260" s="144"/>
      <c r="AQV260" s="144"/>
      <c r="AQW260" s="144"/>
      <c r="AQX260" s="144"/>
      <c r="AQY260" s="144"/>
      <c r="AQZ260" s="144"/>
      <c r="ARA260" s="144"/>
      <c r="ARB260" s="144"/>
      <c r="ARC260" s="144"/>
      <c r="ARD260" s="144"/>
      <c r="ARE260" s="144"/>
      <c r="ARF260" s="144"/>
      <c r="ARG260" s="144"/>
      <c r="ARH260" s="144"/>
      <c r="ARI260" s="144"/>
      <c r="ARJ260" s="144"/>
      <c r="ARK260" s="144"/>
      <c r="ARL260" s="144"/>
      <c r="ARM260" s="144"/>
      <c r="ARN260" s="144"/>
      <c r="ARO260" s="144"/>
      <c r="ARP260" s="144"/>
      <c r="ARQ260" s="144"/>
      <c r="ARR260" s="144"/>
      <c r="ARS260" s="144"/>
      <c r="ART260" s="144"/>
      <c r="ARU260" s="144"/>
      <c r="ARV260" s="144"/>
      <c r="ARW260" s="144"/>
      <c r="ARX260" s="144"/>
      <c r="ARY260" s="144"/>
      <c r="ARZ260" s="144"/>
      <c r="ASA260" s="144"/>
      <c r="ASB260" s="144"/>
      <c r="ASC260" s="144"/>
      <c r="ASD260" s="144"/>
      <c r="ASE260" s="144"/>
      <c r="ASF260" s="144"/>
    </row>
    <row r="261" spans="448:1176" ht="48" customHeight="1" thickBot="1">
      <c r="QU261" s="144"/>
      <c r="QV261" s="144"/>
      <c r="QW261" s="144"/>
      <c r="QX261" s="144"/>
      <c r="QY261" s="144"/>
      <c r="QZ261" s="144"/>
      <c r="RA261" s="144"/>
      <c r="RB261" s="144"/>
      <c r="RC261" s="144"/>
      <c r="RD261" s="144"/>
      <c r="RE261" s="144"/>
      <c r="RF261" s="144"/>
      <c r="RG261" s="144"/>
      <c r="RH261" s="144"/>
      <c r="RI261" s="144"/>
      <c r="RJ261" s="144"/>
      <c r="RK261" s="144"/>
      <c r="RL261" s="144"/>
      <c r="XN261" s="144"/>
      <c r="XO261" s="825"/>
      <c r="XP261" s="665" t="s">
        <v>442</v>
      </c>
      <c r="XQ261" s="666"/>
      <c r="XR261" s="456"/>
      <c r="XS261" s="863" t="s">
        <v>1643</v>
      </c>
      <c r="XT261" s="863"/>
      <c r="XU261" s="677">
        <f>$YC$257</f>
        <v>325.88529230752243</v>
      </c>
      <c r="XV261" s="677"/>
      <c r="XW261" s="87"/>
      <c r="XX261" s="87"/>
      <c r="XY261" s="456"/>
      <c r="XZ261" s="85" t="s">
        <v>467</v>
      </c>
      <c r="YA261" s="757" t="s">
        <v>461</v>
      </c>
      <c r="YB261" s="899"/>
      <c r="YC261" s="819" t="s">
        <v>126</v>
      </c>
      <c r="YD261" s="820"/>
      <c r="YE261" s="675" t="s">
        <v>731</v>
      </c>
      <c r="YF261" s="676"/>
      <c r="YG261" s="821" t="s">
        <v>473</v>
      </c>
      <c r="YH261" s="822"/>
      <c r="YI261" s="822"/>
      <c r="YJ261" s="823"/>
      <c r="YK261" s="769" t="s">
        <v>462</v>
      </c>
      <c r="YL261" s="769"/>
      <c r="YM261" s="769"/>
      <c r="YN261" s="769"/>
      <c r="YO261" s="769"/>
      <c r="YP261" s="769"/>
      <c r="YQ261" s="769"/>
      <c r="YR261" s="769"/>
      <c r="YS261" s="769"/>
      <c r="YT261" s="769"/>
      <c r="YU261" s="769"/>
      <c r="YV261" s="769"/>
      <c r="YX261" s="144"/>
      <c r="YZ261" s="144"/>
      <c r="ZA261" s="144"/>
      <c r="ZB261" s="144"/>
      <c r="ZC261" s="144"/>
      <c r="ZD261" s="144"/>
      <c r="ZE261" s="144"/>
      <c r="ZF261" s="144"/>
      <c r="ZG261" s="144"/>
      <c r="ZH261" s="144"/>
      <c r="ZI261" s="144"/>
      <c r="ZJ261" s="144"/>
      <c r="AAE261" s="144"/>
      <c r="AAM261" s="144"/>
      <c r="AAN261" s="144"/>
      <c r="AAO261" s="144"/>
      <c r="AAP261" s="144"/>
      <c r="AAQ261" s="144"/>
      <c r="AAR261" s="144"/>
      <c r="AAS261" s="144"/>
      <c r="AAT261" s="144"/>
      <c r="AAU261" s="144"/>
      <c r="AAV261" s="144"/>
      <c r="AAW261" s="144"/>
      <c r="AAX261" s="144"/>
      <c r="AAY261" s="144"/>
      <c r="AAZ261" s="144"/>
      <c r="ABA261" s="144"/>
      <c r="ABB261" s="144"/>
      <c r="ABC261" s="144"/>
      <c r="ABD261" s="144"/>
      <c r="ABE261" s="144"/>
      <c r="ABF261" s="144"/>
      <c r="ABG261" s="144"/>
      <c r="ABH261" s="144"/>
      <c r="ABI261" s="144"/>
      <c r="ABJ261" s="144"/>
      <c r="ABK261" s="144"/>
      <c r="ABL261" s="144"/>
      <c r="ABM261" s="144"/>
      <c r="ABN261" s="144"/>
      <c r="ABO261" s="144"/>
      <c r="ABP261" s="144"/>
      <c r="ABQ261" s="144"/>
      <c r="ABR261" s="144"/>
      <c r="ABS261" s="144"/>
      <c r="ABT261" s="144"/>
      <c r="ABU261" s="144"/>
      <c r="ABV261" s="144"/>
      <c r="ABW261" s="144"/>
      <c r="ABX261" s="144"/>
      <c r="ABY261" s="144"/>
      <c r="ABZ261" s="144"/>
      <c r="ACA261" s="144"/>
      <c r="ACB261" s="144"/>
      <c r="ACC261" s="144"/>
      <c r="ACD261" s="144"/>
      <c r="ACE261" s="144"/>
      <c r="ACF261" s="144"/>
      <c r="ACG261" s="144"/>
      <c r="ACH261" s="144"/>
      <c r="ACI261" s="144"/>
      <c r="ACJ261" s="144"/>
      <c r="AFS261" s="144"/>
      <c r="AFT261" s="144"/>
      <c r="AFU261" s="144"/>
      <c r="AFV261" s="144"/>
      <c r="AFW261" s="144"/>
      <c r="AFX261" s="144"/>
      <c r="AFY261" s="144"/>
      <c r="AFZ261" s="144"/>
      <c r="AGA261" s="144"/>
      <c r="AGB261" s="144"/>
      <c r="AGC261" s="144"/>
      <c r="AGD261" s="144"/>
      <c r="AGE261" s="144"/>
      <c r="AGF261" s="144"/>
      <c r="AGG261" s="144"/>
      <c r="AGH261" s="144"/>
      <c r="AGI261" s="144"/>
      <c r="AGJ261" s="144"/>
      <c r="AGK261" s="144"/>
      <c r="AGL261" s="144"/>
      <c r="AGM261" s="144"/>
      <c r="AGN261" s="144"/>
      <c r="AGO261" s="144"/>
      <c r="AGP261" s="144"/>
      <c r="AGQ261" s="144"/>
      <c r="AGR261" s="144"/>
      <c r="AGS261" s="144"/>
      <c r="AGT261" s="144"/>
      <c r="AGU261" s="144"/>
      <c r="AGV261" s="144"/>
      <c r="AGW261" s="144"/>
      <c r="AGX261" s="144"/>
      <c r="AGY261" s="144"/>
      <c r="AGZ261" s="144"/>
      <c r="AHA261" s="144"/>
      <c r="AHB261" s="144"/>
      <c r="AHC261" s="144"/>
      <c r="AHD261" s="144"/>
      <c r="AHE261" s="144"/>
      <c r="AHF261" s="144"/>
      <c r="AHG261" s="144"/>
      <c r="AHH261" s="144"/>
      <c r="AHI261" s="144"/>
      <c r="AHJ261" s="144"/>
      <c r="AHK261" s="144"/>
      <c r="AHL261" s="144"/>
      <c r="AHM261" s="144"/>
      <c r="AHN261" s="144"/>
      <c r="AHO261" s="144"/>
      <c r="AHP261" s="144"/>
      <c r="AHQ261" s="144"/>
      <c r="AHR261" s="144"/>
      <c r="AHS261" s="144"/>
      <c r="AHT261" s="144"/>
      <c r="AHU261" s="144"/>
      <c r="AHV261" s="144"/>
      <c r="AHW261" s="144"/>
      <c r="AHX261" s="144"/>
      <c r="AHY261" s="144"/>
      <c r="AHZ261" s="144"/>
      <c r="AIA261" s="144"/>
      <c r="AIB261" s="144"/>
      <c r="AIC261" s="144"/>
      <c r="AID261" s="144"/>
      <c r="AIE261" s="144"/>
      <c r="AIF261" s="144"/>
      <c r="AIG261" s="144"/>
      <c r="AIH261" s="144"/>
      <c r="AII261" s="144"/>
      <c r="AIJ261" s="144"/>
      <c r="AIK261" s="144"/>
      <c r="AIL261" s="144"/>
      <c r="AIM261" s="144"/>
      <c r="AIN261" s="144"/>
      <c r="AIO261" s="144"/>
      <c r="AIP261" s="144"/>
      <c r="AIQ261" s="144"/>
      <c r="AIR261" s="144"/>
      <c r="AIS261" s="144"/>
      <c r="AIT261" s="144"/>
      <c r="AIU261" s="144"/>
      <c r="AIV261" s="144"/>
      <c r="AIW261" s="144"/>
      <c r="AIX261" s="144"/>
      <c r="AIY261" s="144"/>
      <c r="AIZ261" s="144"/>
      <c r="AJA261" s="144"/>
      <c r="AJB261" s="144"/>
      <c r="AJC261" s="144"/>
      <c r="AJD261" s="144"/>
      <c r="AJE261" s="144"/>
      <c r="AJF261" s="144"/>
      <c r="AJG261" s="144"/>
      <c r="AJH261" s="144"/>
      <c r="AJI261" s="144"/>
      <c r="AJJ261" s="144"/>
      <c r="AJK261" s="144"/>
      <c r="AJL261" s="144"/>
      <c r="AJM261" s="144"/>
      <c r="AJN261" s="144"/>
      <c r="AJO261" s="144"/>
      <c r="AJP261" s="144"/>
      <c r="AJQ261" s="144"/>
      <c r="AJR261" s="144"/>
      <c r="AJS261" s="144"/>
      <c r="AJT261" s="144"/>
      <c r="AJU261" s="144"/>
      <c r="AJV261" s="144"/>
      <c r="AJW261" s="144"/>
      <c r="AJX261" s="144"/>
      <c r="AJY261" s="144"/>
      <c r="AJZ261" s="144"/>
      <c r="AKA261" s="144"/>
      <c r="AKB261" s="144"/>
      <c r="AKC261" s="144"/>
      <c r="AKD261" s="144"/>
      <c r="AKE261" s="144"/>
      <c r="AKF261" s="144"/>
      <c r="AKG261" s="144"/>
      <c r="AKH261" s="144"/>
      <c r="AKI261" s="144"/>
      <c r="AKJ261" s="144"/>
      <c r="AKK261" s="144"/>
      <c r="AKL261" s="144"/>
      <c r="AKM261" s="144"/>
      <c r="AKN261" s="144"/>
      <c r="AKO261" s="144"/>
      <c r="AKP261" s="144"/>
      <c r="AKQ261" s="144"/>
      <c r="AKR261" s="144"/>
      <c r="AKS261" s="144"/>
      <c r="AKT261" s="144"/>
      <c r="AKU261" s="144"/>
      <c r="AKV261" s="144"/>
      <c r="AKW261" s="144"/>
      <c r="AKX261" s="144"/>
      <c r="AKY261" s="144"/>
      <c r="AKZ261" s="144"/>
      <c r="ALA261" s="144"/>
      <c r="ALB261" s="144"/>
      <c r="ALC261" s="144"/>
      <c r="ALD261" s="144"/>
      <c r="ALE261" s="144"/>
      <c r="ALF261" s="144"/>
      <c r="ALG261" s="144"/>
      <c r="ALH261" s="144"/>
      <c r="ALI261" s="144"/>
      <c r="ALJ261" s="144"/>
      <c r="ALK261" s="144"/>
      <c r="ALL261" s="144"/>
      <c r="ALM261" s="144"/>
      <c r="ALN261" s="144"/>
      <c r="ALO261" s="144"/>
      <c r="ALP261" s="144"/>
      <c r="ALQ261" s="144"/>
      <c r="ALR261" s="144"/>
      <c r="ALS261" s="144"/>
      <c r="ALT261" s="144"/>
      <c r="ALU261" s="144"/>
      <c r="ALV261" s="144"/>
      <c r="ALW261" s="144"/>
      <c r="ALX261" s="144"/>
      <c r="ALY261" s="144"/>
      <c r="ALZ261" s="144"/>
      <c r="AMA261" s="144"/>
      <c r="AMB261" s="144"/>
      <c r="AMC261" s="144"/>
      <c r="AMD261" s="144"/>
      <c r="AME261" s="144"/>
      <c r="AMF261" s="144"/>
      <c r="AMG261" s="144"/>
      <c r="AMH261" s="144"/>
      <c r="AMI261" s="144"/>
      <c r="AMJ261" s="144"/>
      <c r="AMK261" s="144"/>
      <c r="AML261" s="144"/>
      <c r="AMM261" s="144"/>
      <c r="AMN261" s="144"/>
      <c r="AMO261" s="144"/>
      <c r="AMP261" s="144"/>
      <c r="AMQ261" s="144"/>
      <c r="AMR261" s="144"/>
      <c r="AMS261" s="144"/>
      <c r="AMT261" s="144"/>
      <c r="AMU261" s="144"/>
      <c r="AMV261" s="144"/>
      <c r="AMW261" s="144"/>
      <c r="AMX261" s="144"/>
      <c r="AMY261" s="144"/>
      <c r="AMZ261" s="144"/>
      <c r="ANA261" s="144"/>
      <c r="ANB261" s="144"/>
      <c r="ANC261" s="144"/>
      <c r="AND261" s="144"/>
      <c r="ANE261" s="144"/>
      <c r="ANF261" s="144"/>
      <c r="ANG261" s="144"/>
      <c r="ANH261" s="144"/>
      <c r="ANI261" s="144"/>
      <c r="ANJ261" s="144"/>
      <c r="ANK261" s="144"/>
      <c r="ANL261" s="144"/>
      <c r="ANM261" s="144"/>
      <c r="ANN261" s="144"/>
      <c r="ANO261" s="144"/>
      <c r="ANP261" s="144"/>
      <c r="ANQ261" s="144"/>
      <c r="ANR261" s="144"/>
      <c r="ANS261" s="144"/>
      <c r="ANT261" s="144"/>
      <c r="ANU261" s="144"/>
      <c r="ANV261" s="144"/>
      <c r="ANW261" s="144"/>
      <c r="ANX261" s="144"/>
      <c r="ANY261" s="144"/>
      <c r="ANZ261" s="144"/>
      <c r="AOA261" s="144"/>
      <c r="AOB261" s="144"/>
      <c r="AOC261" s="144"/>
      <c r="AOD261" s="144"/>
      <c r="AOE261" s="144"/>
      <c r="AOF261" s="144"/>
      <c r="AOG261" s="144"/>
      <c r="AOH261" s="144"/>
      <c r="AOI261" s="144"/>
      <c r="AOJ261" s="144"/>
      <c r="AOK261" s="144"/>
      <c r="AOL261" s="144"/>
      <c r="AOM261" s="144"/>
      <c r="AON261" s="144"/>
      <c r="AOO261" s="144"/>
      <c r="AOP261" s="144"/>
      <c r="AOQ261" s="144"/>
      <c r="AOR261" s="144"/>
      <c r="AOS261" s="144"/>
      <c r="AOT261" s="144"/>
      <c r="AOU261" s="144"/>
      <c r="AOV261" s="144"/>
      <c r="AOW261" s="144"/>
      <c r="AOX261" s="144"/>
      <c r="AOY261" s="144"/>
      <c r="AOZ261" s="144"/>
      <c r="APA261" s="144"/>
      <c r="APB261" s="144"/>
      <c r="APC261" s="144"/>
      <c r="APD261" s="144"/>
      <c r="APE261" s="144"/>
      <c r="APF261" s="144"/>
      <c r="APG261" s="144"/>
      <c r="APH261" s="144"/>
      <c r="API261" s="144"/>
      <c r="APJ261" s="144"/>
      <c r="APK261" s="144"/>
      <c r="APL261" s="144"/>
      <c r="APM261" s="144"/>
      <c r="APN261" s="144"/>
      <c r="APO261" s="144"/>
      <c r="APP261" s="144"/>
      <c r="APQ261" s="144"/>
      <c r="APR261" s="144"/>
      <c r="APS261" s="144"/>
      <c r="APT261" s="144"/>
      <c r="APU261" s="144"/>
      <c r="APV261" s="144"/>
      <c r="APW261" s="144"/>
      <c r="APX261" s="144"/>
      <c r="APY261" s="144"/>
      <c r="APZ261" s="144"/>
      <c r="AQA261" s="144"/>
      <c r="AQB261" s="144"/>
      <c r="AQC261" s="144"/>
      <c r="AQD261" s="144"/>
      <c r="AQE261" s="144"/>
      <c r="AQF261" s="144"/>
      <c r="AQG261" s="144"/>
      <c r="AQH261" s="144"/>
      <c r="AQI261" s="144"/>
      <c r="AQJ261" s="144"/>
      <c r="AQK261" s="144"/>
      <c r="AQL261" s="144"/>
      <c r="AQM261" s="144"/>
      <c r="AQN261" s="144"/>
      <c r="AQO261" s="144"/>
      <c r="AQP261" s="144"/>
      <c r="AQQ261" s="144"/>
      <c r="AQR261" s="144"/>
      <c r="AQS261" s="144"/>
      <c r="AQT261" s="144"/>
      <c r="AQU261" s="144"/>
      <c r="AQV261" s="144"/>
      <c r="AQW261" s="144"/>
      <c r="AQX261" s="144"/>
      <c r="AQY261" s="144"/>
      <c r="AQZ261" s="144"/>
      <c r="ARA261" s="144"/>
      <c r="ARB261" s="144"/>
      <c r="ARC261" s="144"/>
      <c r="ARD261" s="144"/>
      <c r="ARE261" s="144"/>
      <c r="ARF261" s="144"/>
      <c r="ARG261" s="144"/>
      <c r="ARH261" s="144"/>
      <c r="ARI261" s="144"/>
      <c r="ARJ261" s="144"/>
      <c r="ARK261" s="144"/>
      <c r="ARL261" s="144"/>
      <c r="ARM261" s="144"/>
      <c r="ARN261" s="144"/>
      <c r="ARO261" s="144"/>
      <c r="ARP261" s="144"/>
      <c r="ARQ261" s="144"/>
      <c r="ARR261" s="144"/>
      <c r="ARS261" s="144"/>
      <c r="ART261" s="144"/>
      <c r="ARU261" s="144"/>
      <c r="ARV261" s="144"/>
      <c r="ARW261" s="144"/>
      <c r="ARX261" s="144"/>
      <c r="ARY261" s="144"/>
      <c r="ARZ261" s="144"/>
      <c r="ASA261" s="144"/>
      <c r="ASB261" s="144"/>
      <c r="ASC261" s="144"/>
      <c r="ASD261" s="144"/>
      <c r="ASE261" s="144"/>
      <c r="ASF261" s="144"/>
    </row>
    <row r="262" spans="448:1176" ht="48" customHeight="1">
      <c r="QU262" s="144"/>
      <c r="QV262" s="144"/>
      <c r="QW262" s="144"/>
      <c r="QX262" s="144"/>
      <c r="QY262" s="144"/>
      <c r="QZ262" s="144"/>
      <c r="RA262" s="144"/>
      <c r="RB262" s="144"/>
      <c r="RC262" s="144"/>
      <c r="RD262" s="144"/>
      <c r="RE262" s="144"/>
      <c r="RF262" s="144"/>
      <c r="RG262" s="144"/>
      <c r="RH262" s="144"/>
      <c r="RI262" s="144"/>
      <c r="RJ262" s="144"/>
      <c r="RK262" s="144"/>
      <c r="RL262" s="144"/>
      <c r="XN262" s="144"/>
      <c r="XO262" s="826"/>
      <c r="XP262" s="696" t="s">
        <v>1632</v>
      </c>
      <c r="XQ262" s="720"/>
      <c r="XR262" s="697"/>
      <c r="XS262" s="916">
        <f>$YC$269</f>
        <v>1.0084632177306199</v>
      </c>
      <c r="XT262" s="916"/>
      <c r="XU262" s="700" t="s">
        <v>1587</v>
      </c>
      <c r="XV262" s="701"/>
      <c r="XW262" s="701"/>
      <c r="XX262" s="701"/>
      <c r="XY262" s="701"/>
      <c r="XZ262" s="701"/>
      <c r="YA262" s="701"/>
      <c r="YB262" s="701"/>
      <c r="YC262" s="763">
        <f>XU261*((XS265^2+(XS264+XS263)^2)^0.5)/(XS262*XS263)</f>
        <v>330.24897419434257</v>
      </c>
      <c r="YD262" s="764"/>
      <c r="YE262" s="1062" t="s">
        <v>35</v>
      </c>
      <c r="YF262" s="1063"/>
      <c r="YG262" s="712"/>
      <c r="YH262" s="716" t="s">
        <v>1521</v>
      </c>
      <c r="YI262" s="717"/>
      <c r="YJ262" s="746"/>
      <c r="YK262" s="919"/>
      <c r="YL262" s="840"/>
      <c r="YM262" s="840"/>
      <c r="YN262" s="840"/>
      <c r="YO262" s="840"/>
      <c r="YP262" s="840"/>
      <c r="YQ262" s="840"/>
      <c r="YR262" s="840"/>
      <c r="YS262" s="840"/>
      <c r="YT262" s="840"/>
      <c r="YU262" s="840"/>
      <c r="YV262" s="920"/>
      <c r="YX262" s="144"/>
      <c r="YY262" s="229"/>
      <c r="YZ262" s="144"/>
      <c r="ZA262" s="144"/>
      <c r="ZB262" s="144"/>
      <c r="ZC262" s="144"/>
      <c r="ZD262" s="144"/>
      <c r="ZE262" s="144"/>
      <c r="ZF262" s="144"/>
      <c r="ZG262" s="144"/>
      <c r="ZH262" s="144"/>
      <c r="ZI262" s="144"/>
      <c r="ZJ262" s="144"/>
      <c r="AAG262" s="144"/>
      <c r="AAH262" s="144"/>
      <c r="AAI262" s="144"/>
      <c r="AAJ262" s="144"/>
      <c r="AAK262" s="144"/>
      <c r="AAL262" s="144"/>
      <c r="AAM262" s="144"/>
      <c r="AAN262" s="144"/>
      <c r="AAO262" s="144"/>
      <c r="AAP262" s="144"/>
      <c r="AAQ262" s="144"/>
      <c r="AAR262" s="144"/>
      <c r="AAS262" s="144"/>
      <c r="AAT262" s="144"/>
      <c r="AAU262" s="144"/>
      <c r="AAV262" s="144"/>
      <c r="AAW262" s="144"/>
      <c r="AAX262" s="144"/>
      <c r="AAY262" s="144"/>
      <c r="AAZ262" s="144"/>
      <c r="ABA262" s="144"/>
      <c r="ABB262" s="144"/>
      <c r="ABC262" s="144"/>
      <c r="ABD262" s="144"/>
      <c r="ABE262" s="144"/>
      <c r="ABF262" s="144"/>
      <c r="ABG262" s="144"/>
      <c r="ABH262" s="144"/>
      <c r="ABI262" s="144"/>
      <c r="ABJ262" s="144"/>
      <c r="ABK262" s="144"/>
      <c r="ABL262" s="144"/>
      <c r="ABM262" s="144"/>
      <c r="ABN262" s="144"/>
      <c r="ABO262" s="144"/>
      <c r="ABP262" s="144"/>
      <c r="ABQ262" s="144"/>
      <c r="ABR262" s="144"/>
      <c r="ABS262" s="144"/>
      <c r="ABT262" s="144"/>
      <c r="ABU262" s="144"/>
      <c r="ABV262" s="144"/>
      <c r="ABW262" s="144"/>
      <c r="ABX262" s="144"/>
      <c r="ABY262" s="144"/>
      <c r="ABZ262" s="144"/>
      <c r="ACA262" s="144"/>
      <c r="ACB262" s="144"/>
      <c r="ACC262" s="144"/>
      <c r="ACD262" s="144"/>
      <c r="ACE262" s="144"/>
      <c r="ACF262" s="144"/>
      <c r="ACG262" s="144"/>
      <c r="ACH262" s="144"/>
      <c r="ACI262" s="144"/>
      <c r="ACJ262" s="144"/>
      <c r="AFS262" s="144"/>
      <c r="AFT262" s="144"/>
      <c r="AFU262" s="144"/>
      <c r="AFV262" s="144"/>
      <c r="AFW262" s="144"/>
      <c r="AFX262" s="144"/>
      <c r="AFY262" s="144"/>
      <c r="AFZ262" s="144"/>
      <c r="AGA262" s="144"/>
      <c r="AGB262" s="144"/>
      <c r="AGC262" s="144"/>
      <c r="AGD262" s="144"/>
      <c r="AGE262" s="144"/>
      <c r="AGF262" s="144"/>
      <c r="AGG262" s="144"/>
      <c r="AGH262" s="144"/>
      <c r="AGI262" s="144"/>
      <c r="AGJ262" s="144"/>
      <c r="AGK262" s="144"/>
      <c r="AGL262" s="144"/>
      <c r="AGM262" s="144"/>
      <c r="AGN262" s="144"/>
      <c r="AGO262" s="144"/>
      <c r="AGP262" s="144"/>
      <c r="AGQ262" s="144"/>
      <c r="AGR262" s="144"/>
      <c r="AGS262" s="144"/>
      <c r="AGT262" s="144"/>
      <c r="AGU262" s="144"/>
      <c r="AGV262" s="144"/>
      <c r="AGW262" s="144"/>
      <c r="AGX262" s="144"/>
      <c r="AGY262" s="144"/>
      <c r="AGZ262" s="144"/>
      <c r="AHA262" s="144"/>
      <c r="AHB262" s="144"/>
      <c r="AHC262" s="144"/>
      <c r="AHD262" s="144"/>
      <c r="AHE262" s="144"/>
      <c r="AHF262" s="144"/>
      <c r="AHG262" s="144"/>
      <c r="AHH262" s="144"/>
      <c r="AHI262" s="144"/>
      <c r="AHJ262" s="144"/>
      <c r="AHK262" s="144"/>
      <c r="AHL262" s="144"/>
      <c r="AHM262" s="144"/>
      <c r="AHN262" s="144"/>
      <c r="AHO262" s="144"/>
      <c r="AHP262" s="144"/>
      <c r="AHQ262" s="144"/>
      <c r="AHR262" s="144"/>
      <c r="AHS262" s="144"/>
      <c r="AHT262" s="144"/>
      <c r="AHU262" s="144"/>
      <c r="AHV262" s="144"/>
      <c r="AHW262" s="144"/>
      <c r="AHX262" s="144"/>
      <c r="AHY262" s="144"/>
      <c r="AHZ262" s="144"/>
      <c r="AIA262" s="144"/>
      <c r="AIB262" s="144"/>
      <c r="AIC262" s="144"/>
      <c r="AID262" s="144"/>
      <c r="AIE262" s="144"/>
      <c r="AIF262" s="144"/>
      <c r="AIG262" s="144"/>
      <c r="AIH262" s="144"/>
      <c r="AII262" s="144"/>
      <c r="AIJ262" s="144"/>
      <c r="AIK262" s="144"/>
      <c r="AIL262" s="144"/>
      <c r="AIM262" s="144"/>
      <c r="AIN262" s="144"/>
      <c r="AIO262" s="144"/>
      <c r="AIP262" s="144"/>
      <c r="AIQ262" s="144"/>
      <c r="AIR262" s="144"/>
      <c r="AIS262" s="144"/>
      <c r="AIT262" s="144"/>
      <c r="AIU262" s="144"/>
      <c r="AIV262" s="144"/>
      <c r="AIW262" s="144"/>
      <c r="AIX262" s="144"/>
      <c r="AIY262" s="144"/>
      <c r="AIZ262" s="144"/>
      <c r="AJA262" s="144"/>
      <c r="AJB262" s="144"/>
      <c r="AJC262" s="144"/>
      <c r="AJD262" s="144"/>
      <c r="AJE262" s="144"/>
      <c r="AJF262" s="144"/>
      <c r="AJG262" s="144"/>
      <c r="AJH262" s="144"/>
      <c r="AJI262" s="144"/>
      <c r="AJJ262" s="144"/>
      <c r="AJK262" s="144"/>
      <c r="AJL262" s="144"/>
      <c r="AJM262" s="144"/>
      <c r="AJN262" s="144"/>
      <c r="AJO262" s="144"/>
      <c r="AJP262" s="144"/>
      <c r="AJQ262" s="144"/>
      <c r="AJR262" s="144"/>
      <c r="AJS262" s="144"/>
      <c r="AJT262" s="144"/>
      <c r="AJU262" s="144"/>
      <c r="AJV262" s="144"/>
      <c r="AJW262" s="144"/>
      <c r="AJX262" s="144"/>
      <c r="AJY262" s="144"/>
      <c r="AJZ262" s="144"/>
      <c r="AKA262" s="144"/>
      <c r="AKB262" s="144"/>
      <c r="AKC262" s="144"/>
      <c r="AKD262" s="144"/>
      <c r="AKE262" s="144"/>
      <c r="AKF262" s="144"/>
      <c r="AKG262" s="144"/>
      <c r="AKH262" s="144"/>
      <c r="AKI262" s="144"/>
      <c r="AKJ262" s="144"/>
      <c r="AKK262" s="144"/>
      <c r="AKL262" s="144"/>
      <c r="AKM262" s="144"/>
      <c r="AKN262" s="144"/>
      <c r="AKO262" s="144"/>
      <c r="AKP262" s="144"/>
      <c r="AKQ262" s="144"/>
      <c r="AKR262" s="144"/>
      <c r="AKS262" s="144"/>
      <c r="AKT262" s="144"/>
      <c r="AKU262" s="144"/>
      <c r="AKV262" s="144"/>
      <c r="AKW262" s="144"/>
      <c r="AKX262" s="144"/>
      <c r="AKY262" s="144"/>
      <c r="AKZ262" s="144"/>
      <c r="ALA262" s="144"/>
      <c r="ALB262" s="144"/>
      <c r="ALC262" s="144"/>
      <c r="ALD262" s="144"/>
      <c r="ALE262" s="144"/>
      <c r="ALF262" s="144"/>
      <c r="ALG262" s="144"/>
      <c r="ALH262" s="144"/>
      <c r="ALI262" s="144"/>
      <c r="ALJ262" s="144"/>
      <c r="ALK262" s="144"/>
      <c r="ALL262" s="144"/>
      <c r="ALM262" s="144"/>
      <c r="ALN262" s="144"/>
      <c r="ALO262" s="144"/>
      <c r="ALP262" s="144"/>
      <c r="ALQ262" s="144"/>
      <c r="ALR262" s="144"/>
      <c r="ALS262" s="144"/>
      <c r="ALT262" s="144"/>
      <c r="ALU262" s="144"/>
      <c r="ALV262" s="144"/>
      <c r="ALW262" s="144"/>
      <c r="ALX262" s="144"/>
      <c r="ALY262" s="144"/>
      <c r="ALZ262" s="144"/>
      <c r="AMA262" s="144"/>
      <c r="AMB262" s="144"/>
      <c r="AMC262" s="144"/>
      <c r="AMD262" s="144"/>
      <c r="AME262" s="144"/>
      <c r="AMF262" s="144"/>
      <c r="AMG262" s="144"/>
      <c r="AMH262" s="144"/>
      <c r="AMI262" s="144"/>
      <c r="AMJ262" s="144"/>
      <c r="AMK262" s="144"/>
      <c r="AML262" s="144"/>
      <c r="AMM262" s="144"/>
      <c r="AMN262" s="144"/>
      <c r="AMO262" s="144"/>
      <c r="AMP262" s="144"/>
      <c r="AMQ262" s="144"/>
      <c r="AMR262" s="144"/>
      <c r="AMS262" s="144"/>
      <c r="AMT262" s="144"/>
      <c r="AMU262" s="144"/>
      <c r="AMV262" s="144"/>
      <c r="AMW262" s="144"/>
      <c r="AMX262" s="144"/>
      <c r="AMY262" s="144"/>
      <c r="AMZ262" s="144"/>
      <c r="ANA262" s="144"/>
      <c r="ANB262" s="144"/>
      <c r="ANC262" s="144"/>
      <c r="AND262" s="144"/>
      <c r="ANE262" s="144"/>
      <c r="ANF262" s="144"/>
      <c r="ANG262" s="144"/>
      <c r="ANH262" s="144"/>
      <c r="ANI262" s="144"/>
      <c r="ANJ262" s="144"/>
      <c r="ANK262" s="144"/>
      <c r="ANL262" s="144"/>
      <c r="ANM262" s="144"/>
      <c r="ANN262" s="144"/>
      <c r="ANO262" s="144"/>
      <c r="ANP262" s="144"/>
      <c r="ANQ262" s="144"/>
      <c r="ANR262" s="144"/>
      <c r="ANS262" s="144"/>
      <c r="ANT262" s="144"/>
      <c r="ANU262" s="144"/>
      <c r="ANV262" s="144"/>
      <c r="ANW262" s="144"/>
      <c r="ANX262" s="144"/>
      <c r="ANY262" s="144"/>
      <c r="ANZ262" s="144"/>
      <c r="AOA262" s="144"/>
      <c r="AOB262" s="144"/>
      <c r="AOC262" s="144"/>
      <c r="AOD262" s="144"/>
      <c r="AOE262" s="144"/>
      <c r="AOF262" s="144"/>
      <c r="AOG262" s="144"/>
      <c r="AOH262" s="144"/>
      <c r="AOI262" s="144"/>
      <c r="AOJ262" s="144"/>
      <c r="AOK262" s="144"/>
      <c r="AOL262" s="144"/>
      <c r="AOM262" s="144"/>
      <c r="AON262" s="144"/>
      <c r="AOO262" s="144"/>
      <c r="AOP262" s="144"/>
      <c r="AOQ262" s="144"/>
      <c r="AOR262" s="144"/>
      <c r="AOS262" s="144"/>
      <c r="AOT262" s="144"/>
      <c r="AOU262" s="144"/>
      <c r="AOV262" s="144"/>
      <c r="AOW262" s="144"/>
      <c r="AOX262" s="144"/>
      <c r="AOY262" s="144"/>
      <c r="AOZ262" s="144"/>
      <c r="APA262" s="144"/>
      <c r="APB262" s="144"/>
      <c r="APC262" s="144"/>
      <c r="APD262" s="144"/>
      <c r="APE262" s="144"/>
      <c r="APF262" s="144"/>
      <c r="APG262" s="144"/>
      <c r="APH262" s="144"/>
      <c r="API262" s="144"/>
      <c r="APJ262" s="144"/>
      <c r="APK262" s="144"/>
      <c r="APL262" s="144"/>
      <c r="APM262" s="144"/>
      <c r="APN262" s="144"/>
      <c r="APO262" s="144"/>
      <c r="APP262" s="144"/>
      <c r="APQ262" s="144"/>
      <c r="APR262" s="144"/>
      <c r="APS262" s="144"/>
      <c r="APT262" s="144"/>
      <c r="APU262" s="144"/>
      <c r="APV262" s="144"/>
      <c r="APW262" s="144"/>
      <c r="APX262" s="144"/>
      <c r="APY262" s="144"/>
      <c r="APZ262" s="144"/>
      <c r="AQA262" s="144"/>
      <c r="AQB262" s="144"/>
      <c r="AQC262" s="144"/>
      <c r="AQD262" s="144"/>
      <c r="AQE262" s="144"/>
      <c r="AQF262" s="144"/>
      <c r="AQG262" s="144"/>
      <c r="AQH262" s="144"/>
      <c r="AQI262" s="144"/>
      <c r="AQJ262" s="144"/>
      <c r="AQK262" s="144"/>
      <c r="AQL262" s="144"/>
      <c r="AQM262" s="144"/>
      <c r="AQN262" s="144"/>
      <c r="AQO262" s="144"/>
      <c r="AQP262" s="144"/>
      <c r="AQQ262" s="144"/>
      <c r="AQR262" s="144"/>
      <c r="AQS262" s="144"/>
      <c r="AQT262" s="144"/>
      <c r="AQU262" s="144"/>
      <c r="AQV262" s="144"/>
      <c r="AQW262" s="144"/>
      <c r="AQX262" s="144"/>
      <c r="AQY262" s="144"/>
      <c r="AQZ262" s="144"/>
      <c r="ARA262" s="144"/>
      <c r="ARB262" s="144"/>
      <c r="ARC262" s="144"/>
      <c r="ARD262" s="144"/>
      <c r="ARE262" s="144"/>
      <c r="ARF262" s="144"/>
      <c r="ARG262" s="144"/>
      <c r="ARH262" s="144"/>
      <c r="ARI262" s="144"/>
      <c r="ARJ262" s="144"/>
      <c r="ARK262" s="144"/>
      <c r="ARL262" s="144"/>
      <c r="ARM262" s="144"/>
      <c r="ARN262" s="144"/>
      <c r="ARO262" s="144"/>
      <c r="ARP262" s="144"/>
      <c r="ARQ262" s="144"/>
      <c r="ARR262" s="144"/>
      <c r="ARS262" s="144"/>
      <c r="ART262" s="144"/>
      <c r="ARU262" s="144"/>
      <c r="ARV262" s="144"/>
      <c r="ARW262" s="144"/>
      <c r="ARX262" s="144"/>
      <c r="ARY262" s="144"/>
      <c r="ARZ262" s="144"/>
      <c r="ASA262" s="144"/>
      <c r="ASB262" s="144"/>
      <c r="ASC262" s="144"/>
      <c r="ASD262" s="144"/>
      <c r="ASE262" s="144"/>
      <c r="ASF262" s="144"/>
    </row>
    <row r="263" spans="448:1176" ht="48" customHeight="1" thickBot="1">
      <c r="QU263" s="271"/>
      <c r="QV263" s="271"/>
      <c r="QW263" s="271"/>
      <c r="QX263" s="271"/>
      <c r="QY263" s="271"/>
      <c r="QZ263" s="271"/>
      <c r="RA263" s="271"/>
      <c r="RB263" s="271"/>
      <c r="RC263" s="271"/>
      <c r="RD263" s="271"/>
      <c r="RE263" s="271"/>
      <c r="RF263" s="271"/>
      <c r="RG263" s="271"/>
      <c r="RH263" s="271"/>
      <c r="RI263" s="271"/>
      <c r="RJ263" s="271"/>
      <c r="RK263" s="271"/>
      <c r="RL263" s="271"/>
      <c r="XO263" s="826"/>
      <c r="XP263" s="696" t="s">
        <v>1607</v>
      </c>
      <c r="XQ263" s="720"/>
      <c r="XR263" s="697"/>
      <c r="XS263" s="948">
        <f>$YC$125</f>
        <v>39.104916258795605</v>
      </c>
      <c r="XT263" s="965"/>
      <c r="XU263" s="703"/>
      <c r="XV263" s="704"/>
      <c r="XW263" s="704"/>
      <c r="XX263" s="704"/>
      <c r="XY263" s="704"/>
      <c r="XZ263" s="704"/>
      <c r="YA263" s="704"/>
      <c r="YB263" s="704"/>
      <c r="YC263" s="765"/>
      <c r="YD263" s="766"/>
      <c r="YE263" s="1064"/>
      <c r="YF263" s="1065"/>
      <c r="YG263" s="713"/>
      <c r="YH263" s="718"/>
      <c r="YI263" s="719"/>
      <c r="YJ263" s="747"/>
      <c r="YK263" s="890"/>
      <c r="YL263" s="841"/>
      <c r="YM263" s="841"/>
      <c r="YN263" s="841"/>
      <c r="YO263" s="841"/>
      <c r="YP263" s="841"/>
      <c r="YQ263" s="841"/>
      <c r="YR263" s="841"/>
      <c r="YS263" s="841"/>
      <c r="YT263" s="841"/>
      <c r="YU263" s="841"/>
      <c r="YV263" s="891"/>
      <c r="YX263" s="144"/>
      <c r="ZF263" s="144"/>
      <c r="ZG263" s="144"/>
      <c r="ZH263" s="144"/>
      <c r="ZI263" s="144"/>
      <c r="ZJ263" s="144"/>
      <c r="AAG263" s="144"/>
      <c r="AAH263" s="144"/>
      <c r="AAI263" s="144"/>
      <c r="AAJ263" s="144"/>
      <c r="AAK263" s="144"/>
      <c r="AAL263" s="144"/>
      <c r="AAM263" s="144"/>
      <c r="AAN263" s="144"/>
      <c r="AAO263" s="144"/>
      <c r="AAP263" s="144"/>
      <c r="AAQ263" s="144"/>
      <c r="AAR263" s="144"/>
      <c r="AAS263" s="144"/>
      <c r="AAT263" s="144"/>
      <c r="AAU263" s="144"/>
      <c r="AAV263" s="144"/>
      <c r="AAW263" s="144"/>
      <c r="AAX263" s="144"/>
      <c r="AAY263" s="144"/>
      <c r="AAZ263" s="144"/>
      <c r="ABA263" s="144"/>
      <c r="ABB263" s="144"/>
      <c r="ABC263" s="144"/>
      <c r="ABD263" s="144"/>
      <c r="ABE263" s="144"/>
      <c r="ABF263" s="144"/>
      <c r="ABG263" s="144"/>
      <c r="ABH263" s="144"/>
      <c r="ABI263" s="144"/>
      <c r="ABJ263" s="144"/>
      <c r="ABK263" s="144"/>
      <c r="ABL263" s="144"/>
      <c r="ABM263" s="144"/>
      <c r="ABN263" s="144"/>
      <c r="ABO263" s="144"/>
      <c r="ABP263" s="144"/>
      <c r="ABQ263" s="144"/>
      <c r="ABR263" s="144"/>
      <c r="ABS263" s="144"/>
      <c r="ABT263" s="144"/>
      <c r="ABU263" s="144"/>
      <c r="ABV263" s="144"/>
      <c r="ABW263" s="144"/>
      <c r="ABX263" s="144"/>
      <c r="ABY263" s="144"/>
      <c r="ABZ263" s="144"/>
      <c r="ACA263" s="144"/>
      <c r="ACB263" s="144"/>
      <c r="ACC263" s="144"/>
      <c r="ACD263" s="144"/>
      <c r="ACE263" s="144"/>
      <c r="ACF263" s="144"/>
      <c r="ACG263" s="144"/>
      <c r="ACH263" s="144"/>
      <c r="ACI263" s="144"/>
      <c r="ACJ263" s="144"/>
      <c r="AFS263" s="144"/>
      <c r="AFT263" s="144"/>
      <c r="AFU263" s="144"/>
      <c r="AFV263" s="144"/>
      <c r="AFW263" s="144"/>
      <c r="AFX263" s="144"/>
      <c r="AFY263" s="144"/>
      <c r="AFZ263" s="144"/>
      <c r="AGA263" s="144"/>
      <c r="AGB263" s="144"/>
      <c r="AGC263" s="144"/>
      <c r="AGD263" s="144"/>
      <c r="AGE263" s="144"/>
      <c r="AGF263" s="144"/>
      <c r="AGG263" s="144"/>
      <c r="AGH263" s="144"/>
      <c r="AGI263" s="144"/>
      <c r="AGJ263" s="144"/>
      <c r="AGK263" s="144"/>
      <c r="AGL263" s="144"/>
      <c r="AGM263" s="144"/>
      <c r="AGN263" s="144"/>
      <c r="AGO263" s="144"/>
      <c r="AGP263" s="144"/>
      <c r="AGQ263" s="144"/>
      <c r="AGR263" s="144"/>
      <c r="AGS263" s="144"/>
      <c r="AGT263" s="144"/>
      <c r="AGU263" s="144"/>
      <c r="AGV263" s="144"/>
      <c r="AGW263" s="144"/>
      <c r="AGX263" s="144"/>
      <c r="AGY263" s="144"/>
      <c r="AGZ263" s="144"/>
      <c r="AHA263" s="144"/>
      <c r="AHB263" s="144"/>
      <c r="AHC263" s="144"/>
      <c r="AHD263" s="144"/>
      <c r="AHE263" s="144"/>
      <c r="AHF263" s="144"/>
      <c r="AHG263" s="144"/>
      <c r="AHH263" s="144"/>
      <c r="AHI263" s="144"/>
      <c r="AHJ263" s="144"/>
      <c r="AHK263" s="144"/>
      <c r="AHL263" s="144"/>
      <c r="AHM263" s="144"/>
      <c r="AHN263" s="144"/>
      <c r="AHO263" s="144"/>
      <c r="AHP263" s="144"/>
      <c r="AHQ263" s="144"/>
      <c r="AHR263" s="144"/>
      <c r="AHS263" s="144"/>
      <c r="AHT263" s="144"/>
      <c r="AHU263" s="144"/>
      <c r="AHV263" s="144"/>
      <c r="AHW263" s="144"/>
      <c r="AHX263" s="144"/>
      <c r="AHY263" s="144"/>
      <c r="AHZ263" s="144"/>
      <c r="AIA263" s="144"/>
      <c r="AIB263" s="144"/>
      <c r="AIC263" s="144"/>
      <c r="AID263" s="144"/>
      <c r="AIE263" s="144"/>
      <c r="AIF263" s="144"/>
      <c r="AIG263" s="144"/>
      <c r="AIH263" s="144"/>
      <c r="AII263" s="144"/>
      <c r="AIJ263" s="144"/>
      <c r="AIK263" s="144"/>
      <c r="AIL263" s="144"/>
      <c r="AIM263" s="144"/>
      <c r="AIN263" s="144"/>
      <c r="AIO263" s="144"/>
      <c r="AIP263" s="144"/>
      <c r="AIQ263" s="144"/>
      <c r="AIR263" s="144"/>
      <c r="AIS263" s="144"/>
      <c r="AIT263" s="144"/>
      <c r="AIU263" s="144"/>
      <c r="AIV263" s="144"/>
      <c r="AIW263" s="144"/>
      <c r="AIX263" s="144"/>
      <c r="AIY263" s="144"/>
      <c r="AIZ263" s="144"/>
      <c r="AJA263" s="144"/>
      <c r="AJB263" s="144"/>
      <c r="AJC263" s="144"/>
      <c r="AJD263" s="144"/>
      <c r="AJE263" s="144"/>
      <c r="AJF263" s="144"/>
      <c r="AJG263" s="144"/>
      <c r="AJH263" s="144"/>
      <c r="AJI263" s="144"/>
      <c r="AJJ263" s="144"/>
      <c r="AJK263" s="144"/>
      <c r="AJL263" s="144"/>
      <c r="AJM263" s="144"/>
      <c r="AJN263" s="144"/>
      <c r="AJO263" s="144"/>
      <c r="AJP263" s="144"/>
      <c r="AJQ263" s="144"/>
      <c r="AJR263" s="144"/>
      <c r="AJS263" s="144"/>
      <c r="AJT263" s="144"/>
      <c r="AJU263" s="144"/>
      <c r="AJV263" s="144"/>
      <c r="AJW263" s="144"/>
      <c r="AJX263" s="144"/>
      <c r="AJY263" s="144"/>
      <c r="AJZ263" s="144"/>
      <c r="AKA263" s="144"/>
      <c r="AKB263" s="144"/>
      <c r="AKC263" s="144"/>
      <c r="AKD263" s="144"/>
      <c r="AKE263" s="144"/>
      <c r="AKF263" s="144"/>
      <c r="AKG263" s="144"/>
      <c r="AKH263" s="144"/>
      <c r="AKI263" s="144"/>
      <c r="AKJ263" s="144"/>
      <c r="AKK263" s="144"/>
      <c r="AKL263" s="144"/>
      <c r="AKM263" s="144"/>
      <c r="AKN263" s="144"/>
      <c r="AKO263" s="144"/>
      <c r="AKP263" s="144"/>
      <c r="AKQ263" s="144"/>
      <c r="AKR263" s="144"/>
      <c r="AKS263" s="144"/>
      <c r="AKT263" s="144"/>
      <c r="AKU263" s="144"/>
      <c r="AKV263" s="144"/>
      <c r="AKW263" s="144"/>
      <c r="AKX263" s="144"/>
      <c r="AKY263" s="144"/>
      <c r="AKZ263" s="144"/>
      <c r="ALA263" s="144"/>
      <c r="ALB263" s="144"/>
      <c r="ALC263" s="144"/>
      <c r="ALD263" s="144"/>
      <c r="ALE263" s="144"/>
      <c r="ALF263" s="144"/>
      <c r="ALG263" s="144"/>
      <c r="ALH263" s="144"/>
      <c r="ALI263" s="144"/>
      <c r="ALJ263" s="144"/>
      <c r="ALK263" s="144"/>
      <c r="ALL263" s="144"/>
      <c r="ALM263" s="144"/>
      <c r="ALN263" s="144"/>
      <c r="ALO263" s="144"/>
      <c r="ALP263" s="144"/>
      <c r="ALQ263" s="144"/>
      <c r="ALR263" s="144"/>
      <c r="ALS263" s="144"/>
      <c r="ALT263" s="144"/>
      <c r="ALU263" s="144"/>
      <c r="ALV263" s="144"/>
      <c r="ALW263" s="144"/>
      <c r="ALX263" s="144"/>
      <c r="ALY263" s="144"/>
      <c r="ALZ263" s="144"/>
      <c r="AMA263" s="144"/>
      <c r="AMB263" s="144"/>
      <c r="AMC263" s="144"/>
      <c r="AMD263" s="144"/>
      <c r="AME263" s="144"/>
      <c r="AMF263" s="144"/>
      <c r="AMG263" s="144"/>
      <c r="AMH263" s="144"/>
      <c r="AMI263" s="144"/>
      <c r="AMJ263" s="144"/>
      <c r="AMK263" s="144"/>
      <c r="AML263" s="144"/>
      <c r="AMM263" s="144"/>
      <c r="AMN263" s="144"/>
      <c r="AMO263" s="144"/>
      <c r="AMP263" s="144"/>
      <c r="AMQ263" s="144"/>
      <c r="AMR263" s="144"/>
      <c r="AMS263" s="144"/>
      <c r="AMT263" s="144"/>
      <c r="AMU263" s="144"/>
      <c r="AMV263" s="144"/>
      <c r="AMW263" s="144"/>
      <c r="AMX263" s="144"/>
      <c r="AMY263" s="144"/>
      <c r="AMZ263" s="144"/>
      <c r="ANA263" s="144"/>
      <c r="ANB263" s="144"/>
      <c r="ANC263" s="144"/>
      <c r="AND263" s="144"/>
      <c r="ANE263" s="144"/>
      <c r="ANF263" s="144"/>
      <c r="ANG263" s="144"/>
      <c r="ANH263" s="144"/>
      <c r="ANI263" s="144"/>
      <c r="ANJ263" s="144"/>
      <c r="ANK263" s="144"/>
      <c r="ANL263" s="144"/>
      <c r="ANM263" s="144"/>
      <c r="ANN263" s="144"/>
      <c r="ANO263" s="144"/>
      <c r="ANP263" s="144"/>
      <c r="ANQ263" s="144"/>
      <c r="ANR263" s="144"/>
      <c r="ANS263" s="144"/>
      <c r="ANT263" s="144"/>
      <c r="ANU263" s="144"/>
      <c r="ANV263" s="144"/>
      <c r="ANW263" s="144"/>
      <c r="ANX263" s="144"/>
      <c r="ANY263" s="144"/>
      <c r="ANZ263" s="144"/>
      <c r="AOA263" s="144"/>
      <c r="AOB263" s="144"/>
      <c r="AOC263" s="144"/>
      <c r="AOD263" s="144"/>
      <c r="AOE263" s="144"/>
      <c r="AOF263" s="144"/>
      <c r="AOG263" s="144"/>
      <c r="AOH263" s="144"/>
      <c r="AOI263" s="144"/>
      <c r="AOJ263" s="144"/>
      <c r="AOK263" s="144"/>
      <c r="AOL263" s="144"/>
      <c r="AOM263" s="144"/>
      <c r="AON263" s="144"/>
      <c r="AOO263" s="144"/>
      <c r="AOP263" s="144"/>
      <c r="AOQ263" s="144"/>
      <c r="AOR263" s="144"/>
      <c r="AOS263" s="144"/>
      <c r="AOT263" s="144"/>
      <c r="AOU263" s="144"/>
      <c r="AOV263" s="144"/>
      <c r="AOW263" s="144"/>
      <c r="AOX263" s="144"/>
      <c r="AOY263" s="144"/>
      <c r="AOZ263" s="144"/>
      <c r="APA263" s="144"/>
      <c r="APB263" s="144"/>
      <c r="APC263" s="144"/>
      <c r="APD263" s="144"/>
      <c r="APE263" s="144"/>
      <c r="APF263" s="144"/>
      <c r="APG263" s="144"/>
      <c r="APH263" s="144"/>
      <c r="API263" s="144"/>
      <c r="APJ263" s="144"/>
      <c r="APK263" s="144"/>
      <c r="APL263" s="144"/>
      <c r="APM263" s="144"/>
      <c r="APN263" s="144"/>
      <c r="APO263" s="144"/>
      <c r="APP263" s="144"/>
      <c r="APQ263" s="144"/>
      <c r="APR263" s="144"/>
      <c r="APS263" s="144"/>
      <c r="APT263" s="144"/>
      <c r="APU263" s="144"/>
      <c r="APV263" s="144"/>
      <c r="APW263" s="144"/>
      <c r="APX263" s="144"/>
      <c r="APY263" s="144"/>
      <c r="APZ263" s="144"/>
      <c r="AQA263" s="144"/>
      <c r="AQB263" s="144"/>
      <c r="AQC263" s="144"/>
      <c r="AQD263" s="144"/>
      <c r="AQE263" s="144"/>
      <c r="AQF263" s="144"/>
      <c r="AQG263" s="144"/>
      <c r="AQH263" s="144"/>
      <c r="AQI263" s="144"/>
      <c r="AQJ263" s="144"/>
      <c r="AQK263" s="144"/>
      <c r="AQL263" s="144"/>
      <c r="AQM263" s="144"/>
      <c r="AQN263" s="144"/>
      <c r="AQO263" s="144"/>
      <c r="AQP263" s="144"/>
      <c r="AQQ263" s="144"/>
      <c r="AQR263" s="144"/>
      <c r="AQS263" s="144"/>
      <c r="AQT263" s="144"/>
      <c r="AQU263" s="144"/>
      <c r="AQV263" s="144"/>
      <c r="AQW263" s="144"/>
      <c r="AQX263" s="144"/>
      <c r="AQY263" s="144"/>
      <c r="AQZ263" s="144"/>
      <c r="ARA263" s="144"/>
      <c r="ARB263" s="144"/>
      <c r="ARC263" s="144"/>
      <c r="ARD263" s="144"/>
      <c r="ARE263" s="144"/>
      <c r="ARF263" s="144"/>
      <c r="ARG263" s="144"/>
      <c r="ARH263" s="144"/>
      <c r="ARI263" s="144"/>
      <c r="ARJ263" s="144"/>
      <c r="ARK263" s="144"/>
      <c r="ARL263" s="144"/>
      <c r="ARM263" s="144"/>
      <c r="ARN263" s="144"/>
      <c r="ARO263" s="144"/>
      <c r="ARP263" s="144"/>
      <c r="ARQ263" s="144"/>
      <c r="ARR263" s="144"/>
      <c r="ARS263" s="144"/>
      <c r="ART263" s="144"/>
      <c r="ARU263" s="144"/>
      <c r="ARV263" s="144"/>
      <c r="ARW263" s="144"/>
      <c r="ARX263" s="144"/>
      <c r="ARY263" s="144"/>
      <c r="ARZ263" s="144"/>
      <c r="ASA263" s="144"/>
      <c r="ASB263" s="144"/>
      <c r="ASC263" s="144"/>
      <c r="ASD263" s="144"/>
      <c r="ASE263" s="144"/>
      <c r="ASF263" s="144"/>
    </row>
    <row r="264" spans="448:1176" ht="48" customHeight="1">
      <c r="QU264" s="271"/>
      <c r="QV264" s="271"/>
      <c r="QW264" s="271"/>
      <c r="QX264" s="271"/>
      <c r="QY264" s="271"/>
      <c r="QZ264" s="271"/>
      <c r="RA264" s="271"/>
      <c r="RB264" s="271"/>
      <c r="RC264" s="271"/>
      <c r="RD264" s="271"/>
      <c r="RE264" s="271"/>
      <c r="RF264" s="271"/>
      <c r="RG264" s="271"/>
      <c r="RH264" s="271"/>
      <c r="RI264" s="271"/>
      <c r="RJ264" s="271"/>
      <c r="RK264" s="271"/>
      <c r="RL264" s="271"/>
      <c r="XO264" s="826"/>
      <c r="XP264" s="696" t="s">
        <v>1654</v>
      </c>
      <c r="XQ264" s="720"/>
      <c r="XR264" s="697"/>
      <c r="XS264" s="916">
        <f>$YC$278</f>
        <v>0.85105890097035131</v>
      </c>
      <c r="XT264" s="916"/>
      <c r="XU264" s="703"/>
      <c r="XV264" s="704"/>
      <c r="XW264" s="704"/>
      <c r="XX264" s="704"/>
      <c r="XY264" s="704"/>
      <c r="XZ264" s="704"/>
      <c r="YA264" s="704"/>
      <c r="YB264" s="704"/>
      <c r="YC264" s="1019"/>
      <c r="YD264" s="1020"/>
      <c r="YE264" s="1020"/>
      <c r="YF264" s="1020"/>
      <c r="YG264" s="1020"/>
      <c r="YH264" s="1020"/>
      <c r="YI264" s="1020"/>
      <c r="YJ264" s="1021"/>
      <c r="YK264" s="890"/>
      <c r="YL264" s="841"/>
      <c r="YM264" s="841"/>
      <c r="YN264" s="841"/>
      <c r="YO264" s="841"/>
      <c r="YP264" s="841"/>
      <c r="YQ264" s="841"/>
      <c r="YR264" s="841"/>
      <c r="YS264" s="841"/>
      <c r="YT264" s="841"/>
      <c r="YU264" s="841"/>
      <c r="YV264" s="891"/>
      <c r="YX264" s="144"/>
      <c r="AAG264" s="144"/>
      <c r="AAH264" s="144"/>
      <c r="AAI264" s="144"/>
      <c r="AAJ264" s="144"/>
      <c r="AAK264" s="144"/>
      <c r="AAL264" s="144"/>
      <c r="AAM264" s="144"/>
      <c r="AAN264" s="144"/>
      <c r="AAO264" s="144"/>
      <c r="AAP264" s="144"/>
      <c r="AAQ264" s="144"/>
      <c r="AAR264" s="144"/>
      <c r="AAS264" s="144"/>
      <c r="AAT264" s="144"/>
      <c r="AAU264" s="144"/>
      <c r="AAV264" s="144"/>
      <c r="AAW264" s="144"/>
      <c r="AAX264" s="144"/>
      <c r="AAY264" s="144"/>
      <c r="AAZ264" s="144"/>
      <c r="ABA264" s="144"/>
      <c r="ABB264" s="144"/>
      <c r="ABC264" s="144"/>
      <c r="ABD264" s="144"/>
      <c r="ABE264" s="144"/>
      <c r="ABF264" s="144"/>
      <c r="ABG264" s="144"/>
      <c r="ABH264" s="144"/>
      <c r="ABI264" s="144"/>
      <c r="ABJ264" s="144"/>
      <c r="ABK264" s="144"/>
      <c r="ABL264" s="144"/>
      <c r="ABM264" s="144"/>
      <c r="ABN264" s="144"/>
      <c r="ABO264" s="144"/>
      <c r="ABP264" s="144"/>
      <c r="ABQ264" s="144"/>
      <c r="ABR264" s="144"/>
      <c r="ABS264" s="144"/>
      <c r="ABT264" s="144"/>
      <c r="ABU264" s="144"/>
      <c r="ABV264" s="144"/>
      <c r="ABW264" s="144"/>
      <c r="ABX264" s="144"/>
      <c r="ABY264" s="144"/>
      <c r="ABZ264" s="144"/>
      <c r="ACA264" s="144"/>
      <c r="ACB264" s="144"/>
      <c r="ACC264" s="144"/>
      <c r="ACD264" s="144"/>
      <c r="ACE264" s="144"/>
      <c r="ACF264" s="144"/>
      <c r="ACG264" s="144"/>
      <c r="ACH264" s="144"/>
      <c r="ACI264" s="144"/>
      <c r="ACJ264" s="144"/>
      <c r="AFS264" s="144"/>
      <c r="AFT264" s="144"/>
      <c r="AFU264" s="144"/>
      <c r="AFV264" s="144"/>
      <c r="AFW264" s="144"/>
      <c r="AFX264" s="144"/>
      <c r="AFY264" s="144"/>
      <c r="AFZ264" s="144"/>
      <c r="AGA264" s="144"/>
      <c r="AGB264" s="144"/>
      <c r="AGC264" s="144"/>
      <c r="AGD264" s="144"/>
      <c r="AGE264" s="144"/>
      <c r="AGF264" s="144"/>
      <c r="AGG264" s="144"/>
      <c r="AGH264" s="144"/>
      <c r="AGI264" s="144"/>
      <c r="AGJ264" s="144"/>
      <c r="AGK264" s="144"/>
      <c r="AGL264" s="144"/>
      <c r="AGM264" s="144"/>
      <c r="AGN264" s="144"/>
      <c r="AGO264" s="144"/>
      <c r="AGP264" s="144"/>
      <c r="AGQ264" s="144"/>
      <c r="AGR264" s="144"/>
      <c r="AGS264" s="144"/>
      <c r="AGT264" s="144"/>
      <c r="AGU264" s="144"/>
      <c r="AGV264" s="144"/>
      <c r="AGW264" s="144"/>
      <c r="AGX264" s="144"/>
      <c r="AGY264" s="144"/>
      <c r="AGZ264" s="144"/>
      <c r="AHA264" s="144"/>
      <c r="AHB264" s="144"/>
      <c r="AHC264" s="144"/>
      <c r="AHD264" s="144"/>
      <c r="AHE264" s="144"/>
      <c r="AHF264" s="144"/>
      <c r="AHG264" s="144"/>
      <c r="AHH264" s="144"/>
      <c r="AHI264" s="144"/>
      <c r="AHJ264" s="144"/>
      <c r="AHK264" s="144"/>
      <c r="AHL264" s="144"/>
      <c r="AHM264" s="144"/>
      <c r="AHN264" s="144"/>
      <c r="AHO264" s="144"/>
      <c r="AHP264" s="144"/>
      <c r="AHQ264" s="144"/>
      <c r="AHR264" s="144"/>
      <c r="AHS264" s="144"/>
      <c r="AHT264" s="144"/>
      <c r="AHU264" s="144"/>
      <c r="AHV264" s="144"/>
      <c r="AHW264" s="144"/>
      <c r="AHX264" s="144"/>
      <c r="AHY264" s="144"/>
      <c r="AHZ264" s="144"/>
      <c r="AIA264" s="144"/>
      <c r="AIB264" s="144"/>
      <c r="AIC264" s="144"/>
      <c r="AID264" s="144"/>
      <c r="AIE264" s="144"/>
      <c r="AIF264" s="144"/>
      <c r="AIG264" s="144"/>
      <c r="AIH264" s="144"/>
      <c r="AII264" s="144"/>
      <c r="AIJ264" s="144"/>
      <c r="AIK264" s="144"/>
      <c r="AIL264" s="144"/>
      <c r="AIM264" s="144"/>
      <c r="AIN264" s="144"/>
      <c r="AIO264" s="144"/>
      <c r="AIP264" s="144"/>
      <c r="AIQ264" s="144"/>
      <c r="AIR264" s="144"/>
      <c r="AIS264" s="144"/>
      <c r="AIT264" s="144"/>
      <c r="AIU264" s="144"/>
      <c r="AIV264" s="144"/>
      <c r="AIW264" s="144"/>
      <c r="AIX264" s="144"/>
      <c r="AIY264" s="144"/>
      <c r="AIZ264" s="144"/>
      <c r="AJA264" s="144"/>
      <c r="AJB264" s="144"/>
      <c r="AJC264" s="144"/>
      <c r="AJD264" s="144"/>
      <c r="AJE264" s="144"/>
      <c r="AJF264" s="144"/>
      <c r="AJG264" s="144"/>
      <c r="AJH264" s="144"/>
      <c r="AJI264" s="144"/>
      <c r="AJJ264" s="144"/>
      <c r="AJK264" s="144"/>
      <c r="AJL264" s="144"/>
      <c r="AJM264" s="144"/>
      <c r="AJN264" s="144"/>
      <c r="AJO264" s="144"/>
      <c r="AJP264" s="144"/>
      <c r="AJQ264" s="144"/>
      <c r="AJR264" s="144"/>
      <c r="AJS264" s="144"/>
      <c r="AJT264" s="144"/>
      <c r="AJU264" s="144"/>
      <c r="AJV264" s="144"/>
      <c r="AJW264" s="144"/>
      <c r="AJX264" s="144"/>
      <c r="AJY264" s="144"/>
      <c r="AJZ264" s="144"/>
      <c r="AKA264" s="144"/>
      <c r="AKB264" s="144"/>
      <c r="AKC264" s="144"/>
      <c r="AKD264" s="144"/>
      <c r="AKE264" s="144"/>
      <c r="AKF264" s="144"/>
      <c r="AKG264" s="144"/>
      <c r="AKH264" s="144"/>
      <c r="AKI264" s="144"/>
      <c r="AKJ264" s="144"/>
      <c r="AKK264" s="144"/>
      <c r="AKL264" s="144"/>
      <c r="AKM264" s="144"/>
      <c r="AKN264" s="144"/>
      <c r="AKO264" s="144"/>
      <c r="AKP264" s="144"/>
      <c r="AKQ264" s="144"/>
      <c r="AKR264" s="144"/>
      <c r="AKS264" s="144"/>
      <c r="AKT264" s="144"/>
      <c r="AKU264" s="144"/>
      <c r="AKV264" s="144"/>
      <c r="AKW264" s="144"/>
      <c r="AKX264" s="144"/>
      <c r="AKY264" s="144"/>
      <c r="AKZ264" s="144"/>
      <c r="ALA264" s="144"/>
      <c r="ALB264" s="144"/>
      <c r="ALC264" s="144"/>
      <c r="ALD264" s="144"/>
      <c r="ALE264" s="144"/>
      <c r="ALF264" s="144"/>
      <c r="ALG264" s="144"/>
      <c r="ALH264" s="144"/>
      <c r="ALI264" s="144"/>
      <c r="ALJ264" s="144"/>
      <c r="ALK264" s="144"/>
      <c r="ALL264" s="144"/>
      <c r="ALM264" s="144"/>
      <c r="ALN264" s="144"/>
      <c r="ALO264" s="144"/>
      <c r="ALP264" s="144"/>
      <c r="ALQ264" s="144"/>
      <c r="ALR264" s="144"/>
      <c r="ALS264" s="144"/>
      <c r="ALT264" s="144"/>
      <c r="ALU264" s="144"/>
      <c r="ALV264" s="144"/>
      <c r="ALW264" s="144"/>
      <c r="ALX264" s="144"/>
      <c r="ALY264" s="144"/>
      <c r="ALZ264" s="144"/>
      <c r="AMA264" s="144"/>
      <c r="AMB264" s="144"/>
      <c r="AMC264" s="144"/>
      <c r="AMD264" s="144"/>
      <c r="AME264" s="144"/>
      <c r="AMF264" s="144"/>
      <c r="AMG264" s="144"/>
      <c r="AMH264" s="144"/>
      <c r="AMI264" s="144"/>
      <c r="AMJ264" s="144"/>
      <c r="AMK264" s="144"/>
      <c r="AML264" s="144"/>
      <c r="AMM264" s="144"/>
      <c r="AMN264" s="144"/>
      <c r="AMO264" s="144"/>
      <c r="AMP264" s="144"/>
      <c r="AMQ264" s="144"/>
      <c r="AMR264" s="144"/>
      <c r="AMS264" s="144"/>
      <c r="AMT264" s="144"/>
      <c r="AMU264" s="144"/>
      <c r="AMV264" s="144"/>
      <c r="AMW264" s="144"/>
      <c r="AMX264" s="144"/>
      <c r="AMY264" s="144"/>
      <c r="AMZ264" s="144"/>
      <c r="ANA264" s="144"/>
      <c r="ANB264" s="144"/>
      <c r="ANC264" s="144"/>
      <c r="AND264" s="144"/>
      <c r="ANE264" s="144"/>
      <c r="ANF264" s="144"/>
      <c r="ANG264" s="144"/>
      <c r="ANH264" s="144"/>
      <c r="ANI264" s="144"/>
      <c r="ANJ264" s="144"/>
      <c r="ANK264" s="144"/>
      <c r="ANL264" s="144"/>
      <c r="ANM264" s="144"/>
      <c r="ANN264" s="144"/>
      <c r="ANO264" s="144"/>
      <c r="ANP264" s="144"/>
      <c r="ANQ264" s="144"/>
      <c r="ANR264" s="144"/>
      <c r="ANS264" s="144"/>
      <c r="ANT264" s="144"/>
      <c r="ANU264" s="144"/>
      <c r="ANV264" s="144"/>
      <c r="ANW264" s="144"/>
      <c r="ANX264" s="144"/>
      <c r="ANY264" s="144"/>
      <c r="ANZ264" s="144"/>
      <c r="AOA264" s="144"/>
      <c r="AOB264" s="144"/>
      <c r="AOC264" s="144"/>
      <c r="AOD264" s="144"/>
      <c r="AOE264" s="144"/>
      <c r="AOF264" s="144"/>
      <c r="AOG264" s="144"/>
      <c r="AOH264" s="144"/>
      <c r="AOI264" s="144"/>
      <c r="AOJ264" s="144"/>
      <c r="AOK264" s="144"/>
      <c r="AOL264" s="144"/>
      <c r="AOM264" s="144"/>
      <c r="AON264" s="144"/>
      <c r="AOO264" s="144"/>
      <c r="AOP264" s="144"/>
      <c r="AOQ264" s="144"/>
      <c r="AOR264" s="144"/>
      <c r="AOS264" s="144"/>
      <c r="AOT264" s="144"/>
      <c r="AOU264" s="144"/>
      <c r="AOV264" s="144"/>
      <c r="AOW264" s="144"/>
      <c r="AOX264" s="144"/>
      <c r="AOY264" s="144"/>
      <c r="AOZ264" s="144"/>
      <c r="APA264" s="144"/>
      <c r="APB264" s="144"/>
      <c r="APC264" s="144"/>
      <c r="APD264" s="144"/>
      <c r="APE264" s="144"/>
      <c r="APF264" s="144"/>
      <c r="APG264" s="144"/>
      <c r="APH264" s="144"/>
      <c r="API264" s="144"/>
      <c r="APJ264" s="144"/>
      <c r="APK264" s="144"/>
      <c r="APL264" s="144"/>
      <c r="APM264" s="144"/>
      <c r="APN264" s="144"/>
      <c r="APO264" s="144"/>
      <c r="APP264" s="144"/>
      <c r="APQ264" s="144"/>
      <c r="APR264" s="144"/>
      <c r="APS264" s="144"/>
      <c r="APT264" s="144"/>
      <c r="APU264" s="144"/>
      <c r="APV264" s="144"/>
      <c r="APW264" s="144"/>
      <c r="APX264" s="144"/>
      <c r="APY264" s="144"/>
      <c r="APZ264" s="144"/>
      <c r="AQA264" s="144"/>
      <c r="AQB264" s="144"/>
      <c r="AQC264" s="144"/>
      <c r="AQD264" s="144"/>
      <c r="AQE264" s="144"/>
      <c r="AQF264" s="144"/>
      <c r="AQG264" s="144"/>
      <c r="AQH264" s="144"/>
      <c r="AQI264" s="144"/>
      <c r="AQJ264" s="144"/>
      <c r="AQK264" s="144"/>
      <c r="AQL264" s="144"/>
      <c r="AQM264" s="144"/>
      <c r="AQN264" s="144"/>
      <c r="AQO264" s="144"/>
      <c r="AQP264" s="144"/>
      <c r="AQQ264" s="144"/>
      <c r="AQR264" s="144"/>
      <c r="AQS264" s="144"/>
      <c r="AQT264" s="144"/>
      <c r="AQU264" s="144"/>
      <c r="AQV264" s="144"/>
      <c r="AQW264" s="144"/>
      <c r="AQX264" s="144"/>
      <c r="AQY264" s="144"/>
      <c r="AQZ264" s="144"/>
      <c r="ARA264" s="144"/>
      <c r="ARB264" s="144"/>
      <c r="ARC264" s="144"/>
      <c r="ARD264" s="144"/>
      <c r="ARE264" s="144"/>
      <c r="ARF264" s="144"/>
      <c r="ARG264" s="144"/>
      <c r="ARH264" s="144"/>
      <c r="ARI264" s="144"/>
      <c r="ARJ264" s="144"/>
      <c r="ARK264" s="144"/>
      <c r="ARL264" s="144"/>
      <c r="ARM264" s="144"/>
      <c r="ARN264" s="144"/>
      <c r="ARO264" s="144"/>
      <c r="ARP264" s="144"/>
      <c r="ARQ264" s="144"/>
      <c r="ARR264" s="144"/>
      <c r="ARS264" s="144"/>
      <c r="ART264" s="144"/>
      <c r="ARU264" s="144"/>
      <c r="ARV264" s="144"/>
      <c r="ARW264" s="144"/>
      <c r="ARX264" s="144"/>
      <c r="ARY264" s="144"/>
      <c r="ARZ264" s="144"/>
      <c r="ASA264" s="144"/>
      <c r="ASB264" s="144"/>
      <c r="ASC264" s="144"/>
      <c r="ASD264" s="144"/>
      <c r="ASE264" s="144"/>
      <c r="ASF264" s="144"/>
    </row>
    <row r="265" spans="448:1176" ht="48" customHeight="1" thickBot="1">
      <c r="QU265" s="270"/>
      <c r="QV265" s="270"/>
      <c r="QW265" s="270"/>
      <c r="QX265" s="270"/>
      <c r="QY265" s="270"/>
      <c r="QZ265" s="270"/>
      <c r="RA265" s="270"/>
      <c r="RB265" s="270"/>
      <c r="RC265" s="270"/>
      <c r="RD265" s="270"/>
      <c r="RE265" s="270"/>
      <c r="RF265" s="270"/>
      <c r="RG265" s="270"/>
      <c r="RH265" s="270"/>
      <c r="RI265" s="270"/>
      <c r="RJ265" s="270"/>
      <c r="RK265" s="270"/>
      <c r="RL265" s="270"/>
      <c r="UW265" s="144"/>
      <c r="UX265" s="144"/>
      <c r="UY265" s="144"/>
      <c r="UZ265" s="144"/>
      <c r="VA265" s="144"/>
      <c r="VB265" s="144"/>
      <c r="VC265" s="144"/>
      <c r="VD265" s="144"/>
      <c r="VE265" s="144"/>
      <c r="VF265" s="144"/>
      <c r="VG265" s="144"/>
      <c r="XM265" s="270"/>
      <c r="XN265" s="270"/>
      <c r="XO265" s="827"/>
      <c r="XP265" s="949" t="s">
        <v>1653</v>
      </c>
      <c r="XQ265" s="950"/>
      <c r="XR265" s="962"/>
      <c r="XS265" s="1018">
        <f>$YC$274</f>
        <v>0.7971083748069816</v>
      </c>
      <c r="XT265" s="1018"/>
      <c r="XU265" s="706"/>
      <c r="XV265" s="707"/>
      <c r="XW265" s="707"/>
      <c r="XX265" s="707"/>
      <c r="XY265" s="707"/>
      <c r="XZ265" s="707"/>
      <c r="YA265" s="707"/>
      <c r="YB265" s="707"/>
      <c r="YC265" s="1022"/>
      <c r="YD265" s="1023"/>
      <c r="YE265" s="1023"/>
      <c r="YF265" s="1023"/>
      <c r="YG265" s="1023"/>
      <c r="YH265" s="1023"/>
      <c r="YI265" s="1023"/>
      <c r="YJ265" s="1024"/>
      <c r="YK265" s="892"/>
      <c r="YL265" s="893"/>
      <c r="YM265" s="893"/>
      <c r="YN265" s="893"/>
      <c r="YO265" s="893"/>
      <c r="YP265" s="893"/>
      <c r="YQ265" s="893"/>
      <c r="YR265" s="893"/>
      <c r="YS265" s="893"/>
      <c r="YT265" s="893"/>
      <c r="YU265" s="893"/>
      <c r="YV265" s="894"/>
      <c r="YX265" s="144"/>
    </row>
    <row r="266" spans="448:1176" ht="48" customHeight="1">
      <c r="QF266" s="144"/>
      <c r="QG266" s="144"/>
      <c r="QH266" s="144"/>
      <c r="QI266" s="144"/>
      <c r="QJ266" s="144"/>
      <c r="QK266" s="238"/>
      <c r="QL266" s="238"/>
      <c r="QM266" s="238"/>
      <c r="QN266" s="238"/>
      <c r="QO266" s="238"/>
      <c r="QP266" s="238"/>
      <c r="QQ266" s="238"/>
      <c r="QR266" s="238"/>
      <c r="QS266" s="238"/>
      <c r="QT266" s="238"/>
      <c r="QU266" s="238"/>
      <c r="QV266" s="238"/>
      <c r="QW266" s="238"/>
      <c r="QX266" s="238"/>
      <c r="QY266" s="238"/>
      <c r="QZ266" s="238"/>
      <c r="RA266" s="238"/>
      <c r="RB266" s="238"/>
      <c r="RC266" s="238"/>
      <c r="RD266" s="238"/>
      <c r="RE266" s="238"/>
      <c r="RF266" s="238"/>
      <c r="RG266" s="238"/>
      <c r="RH266" s="238"/>
      <c r="RI266" s="238"/>
      <c r="RJ266" s="238"/>
      <c r="RK266" s="238"/>
      <c r="RL266" s="238"/>
      <c r="XM266" s="238"/>
      <c r="XN266" s="238"/>
      <c r="YW266" s="144"/>
      <c r="YX266" s="144"/>
    </row>
    <row r="267" spans="448:1176" ht="48" customHeight="1">
      <c r="YW267" s="144"/>
    </row>
    <row r="268" spans="448:1176" ht="48" customHeight="1" thickBot="1">
      <c r="QI268" s="229"/>
      <c r="QJ268" s="229"/>
      <c r="QK268" s="229"/>
      <c r="QL268" s="229"/>
      <c r="QM268" s="229"/>
      <c r="QN268" s="229"/>
      <c r="QO268" s="229"/>
      <c r="QP268" s="229"/>
      <c r="QQ268" s="229"/>
      <c r="QR268" s="229"/>
      <c r="QS268" s="229"/>
      <c r="QT268" s="229"/>
      <c r="QU268" s="229"/>
      <c r="QV268" s="229"/>
      <c r="QW268" s="229"/>
      <c r="QX268" s="229"/>
      <c r="QY268" s="229"/>
      <c r="QZ268" s="229"/>
      <c r="RA268" s="229"/>
      <c r="RB268" s="229"/>
      <c r="XO268" s="825"/>
      <c r="XP268" s="665" t="s">
        <v>442</v>
      </c>
      <c r="XQ268" s="666"/>
      <c r="XR268" s="456"/>
      <c r="XS268" s="87"/>
      <c r="XT268" s="87"/>
      <c r="XU268" s="87"/>
      <c r="XV268" s="87"/>
      <c r="XW268" s="87"/>
      <c r="XX268" s="87"/>
      <c r="XY268" s="456"/>
      <c r="XZ268" s="85" t="s">
        <v>467</v>
      </c>
      <c r="YA268" s="757" t="s">
        <v>461</v>
      </c>
      <c r="YB268" s="899"/>
      <c r="YC268" s="819" t="s">
        <v>126</v>
      </c>
      <c r="YD268" s="820"/>
      <c r="YE268" s="675" t="s">
        <v>731</v>
      </c>
      <c r="YF268" s="1094"/>
      <c r="YG268" s="769" t="s">
        <v>473</v>
      </c>
      <c r="YH268" s="769"/>
      <c r="YI268" s="769"/>
      <c r="YJ268" s="769"/>
      <c r="YK268" s="769"/>
      <c r="YL268" s="821" t="s">
        <v>462</v>
      </c>
      <c r="YM268" s="822"/>
      <c r="YN268" s="822"/>
      <c r="YO268" s="822"/>
      <c r="YP268" s="822"/>
      <c r="YQ268" s="823"/>
      <c r="YT268" s="144"/>
      <c r="YU268" s="144"/>
      <c r="YV268" s="144"/>
      <c r="YW268" s="144"/>
      <c r="YX268" s="144"/>
    </row>
    <row r="269" spans="448:1176" ht="48" customHeight="1">
      <c r="XO269" s="826"/>
      <c r="XP269" s="696" t="s">
        <v>1607</v>
      </c>
      <c r="XQ269" s="720"/>
      <c r="XR269" s="697"/>
      <c r="XS269" s="948">
        <f>$YC$125</f>
        <v>39.104916258795605</v>
      </c>
      <c r="XT269" s="965"/>
      <c r="XU269" s="940" t="s">
        <v>1537</v>
      </c>
      <c r="XV269" s="940"/>
      <c r="XW269" s="940"/>
      <c r="XX269" s="940"/>
      <c r="XY269" s="940"/>
      <c r="XZ269" s="940"/>
      <c r="YA269" s="940"/>
      <c r="YB269" s="1003"/>
      <c r="YC269" s="763">
        <f>1+YC218/YC125</f>
        <v>1.0084632177306199</v>
      </c>
      <c r="YD269" s="764"/>
      <c r="YE269" s="1087"/>
      <c r="YF269" s="1006"/>
      <c r="YG269" s="978"/>
      <c r="YH269" s="1104" t="s">
        <v>1558</v>
      </c>
      <c r="YI269" s="1104"/>
      <c r="YJ269" s="1104"/>
      <c r="YK269" s="1085"/>
      <c r="YL269" s="919"/>
      <c r="YM269" s="840"/>
      <c r="YN269" s="840"/>
      <c r="YO269" s="840"/>
      <c r="YP269" s="840"/>
      <c r="YQ269" s="920"/>
      <c r="YR269" s="144"/>
      <c r="YS269" s="144"/>
      <c r="YT269" s="144"/>
      <c r="YU269" s="144"/>
      <c r="YV269" s="144"/>
      <c r="YW269" s="144"/>
      <c r="YX269" s="144"/>
    </row>
    <row r="270" spans="448:1176" ht="48" customHeight="1" thickBot="1">
      <c r="XO270" s="826"/>
      <c r="XP270" s="696" t="s">
        <v>1605</v>
      </c>
      <c r="XQ270" s="720"/>
      <c r="XR270" s="697"/>
      <c r="XS270" s="948">
        <f>$YC$218</f>
        <v>0.33095342063584782</v>
      </c>
      <c r="XT270" s="965"/>
      <c r="XU270" s="942"/>
      <c r="XV270" s="942"/>
      <c r="XW270" s="942"/>
      <c r="XX270" s="942"/>
      <c r="XY270" s="942"/>
      <c r="XZ270" s="942"/>
      <c r="YA270" s="942"/>
      <c r="YB270" s="1011"/>
      <c r="YC270" s="765"/>
      <c r="YD270" s="766"/>
      <c r="YE270" s="1089"/>
      <c r="YF270" s="708"/>
      <c r="YG270" s="979"/>
      <c r="YH270" s="1105"/>
      <c r="YI270" s="1105"/>
      <c r="YJ270" s="1105"/>
      <c r="YK270" s="1086"/>
      <c r="YL270" s="890"/>
      <c r="YM270" s="841"/>
      <c r="YN270" s="841"/>
      <c r="YO270" s="841"/>
      <c r="YP270" s="841"/>
      <c r="YQ270" s="891"/>
      <c r="YR270" s="144"/>
      <c r="YS270" s="144"/>
      <c r="YT270" s="144"/>
      <c r="YU270" s="144"/>
      <c r="YV270" s="144"/>
      <c r="YW270" s="144"/>
      <c r="YX270" s="144"/>
    </row>
    <row r="271" spans="448:1176" ht="48" customHeight="1" thickBot="1">
      <c r="XO271" s="827"/>
      <c r="XP271" s="1059"/>
      <c r="XQ271" s="1059"/>
      <c r="XR271" s="1059"/>
      <c r="XS271" s="1059"/>
      <c r="XT271" s="1059"/>
      <c r="XU271" s="944"/>
      <c r="XV271" s="944"/>
      <c r="XW271" s="944"/>
      <c r="XX271" s="944"/>
      <c r="XY271" s="944"/>
      <c r="XZ271" s="944"/>
      <c r="YA271" s="944"/>
      <c r="YB271" s="1004"/>
      <c r="YC271" s="1012"/>
      <c r="YD271" s="1013"/>
      <c r="YE271" s="1013"/>
      <c r="YF271" s="1013"/>
      <c r="YG271" s="1013"/>
      <c r="YH271" s="1013"/>
      <c r="YI271" s="1013"/>
      <c r="YJ271" s="1013"/>
      <c r="YK271" s="1014"/>
      <c r="YL271" s="892"/>
      <c r="YM271" s="893"/>
      <c r="YN271" s="893"/>
      <c r="YO271" s="893"/>
      <c r="YP271" s="893"/>
      <c r="YQ271" s="894"/>
      <c r="YR271" s="144"/>
      <c r="YS271" s="144"/>
      <c r="YT271" s="144"/>
      <c r="YU271" s="144"/>
      <c r="YV271" s="144"/>
      <c r="YW271" s="144"/>
      <c r="YX271" s="144"/>
      <c r="ZI271" s="144"/>
      <c r="ZJ271" s="144"/>
    </row>
    <row r="272" spans="448:1176" ht="48" customHeight="1">
      <c r="YS272" s="144"/>
      <c r="YT272" s="144"/>
      <c r="YU272" s="144"/>
      <c r="YV272" s="144"/>
      <c r="YW272" s="144"/>
      <c r="YX272" s="144"/>
      <c r="ZI272" s="144"/>
      <c r="ZJ272" s="144"/>
    </row>
    <row r="273" spans="458:686" ht="48" customHeight="1" thickBot="1">
      <c r="XO273" s="825"/>
      <c r="XP273" s="665" t="s">
        <v>442</v>
      </c>
      <c r="XQ273" s="666"/>
      <c r="XR273" s="156"/>
      <c r="XS273" s="696" t="s">
        <v>1632</v>
      </c>
      <c r="XT273" s="720"/>
      <c r="XU273" s="697"/>
      <c r="XV273" s="916">
        <f>$YC$269</f>
        <v>1.0084632177306199</v>
      </c>
      <c r="XW273" s="916"/>
      <c r="XX273" s="87"/>
      <c r="XY273" s="156"/>
      <c r="XZ273" s="85" t="s">
        <v>467</v>
      </c>
      <c r="YA273" s="757" t="s">
        <v>461</v>
      </c>
      <c r="YB273" s="899"/>
      <c r="YC273" s="1130" t="s">
        <v>126</v>
      </c>
      <c r="YD273" s="1131"/>
      <c r="YE273" s="675" t="s">
        <v>731</v>
      </c>
      <c r="YF273" s="676"/>
      <c r="YG273" s="821" t="s">
        <v>473</v>
      </c>
      <c r="YH273" s="822"/>
      <c r="YI273" s="822"/>
      <c r="YJ273" s="823"/>
      <c r="YK273" s="769" t="s">
        <v>462</v>
      </c>
      <c r="YL273" s="769"/>
      <c r="YM273" s="769"/>
      <c r="YN273" s="769"/>
      <c r="YO273" s="769"/>
      <c r="YP273" s="769"/>
      <c r="YQ273" s="769"/>
      <c r="YR273" s="769"/>
      <c r="YS273" s="769"/>
      <c r="YT273" s="769"/>
      <c r="YU273" s="769"/>
      <c r="YV273" s="144"/>
      <c r="YW273" s="144"/>
      <c r="ZI273" s="144"/>
      <c r="ZJ273" s="144"/>
    </row>
    <row r="274" spans="458:686" ht="48" customHeight="1">
      <c r="XO274" s="826"/>
      <c r="XP274" s="696" t="s">
        <v>1605</v>
      </c>
      <c r="XQ274" s="720"/>
      <c r="XR274" s="697"/>
      <c r="XS274" s="948">
        <f>$YC$218</f>
        <v>0.33095342063584782</v>
      </c>
      <c r="XT274" s="965"/>
      <c r="XU274" s="1174" t="s">
        <v>1621</v>
      </c>
      <c r="XV274" s="1044"/>
      <c r="XW274" s="1044"/>
      <c r="XX274" s="1044"/>
      <c r="XY274" s="1044"/>
      <c r="XZ274" s="1044"/>
      <c r="YA274" s="1044"/>
      <c r="YB274" s="1045"/>
      <c r="YC274" s="763">
        <f>XS274+XV273*XS275</f>
        <v>0.7971083748069816</v>
      </c>
      <c r="YD274" s="764"/>
      <c r="YE274" s="917" t="s">
        <v>415</v>
      </c>
      <c r="YF274" s="896"/>
      <c r="YG274" s="714"/>
      <c r="YH274" s="952" t="s">
        <v>1622</v>
      </c>
      <c r="YI274" s="953"/>
      <c r="YJ274" s="746"/>
      <c r="YK274" s="767"/>
      <c r="YL274" s="767"/>
      <c r="YM274" s="767"/>
      <c r="YN274" s="767"/>
      <c r="YO274" s="767"/>
      <c r="YP274" s="767"/>
      <c r="YQ274" s="767"/>
      <c r="YR274" s="767"/>
      <c r="YS274" s="767"/>
      <c r="YT274" s="767"/>
      <c r="YU274" s="767"/>
      <c r="YV274" s="144"/>
      <c r="ZF274" s="144"/>
      <c r="ZG274" s="144"/>
      <c r="ZH274" s="144"/>
      <c r="ZI274" s="144"/>
      <c r="ZJ274" s="144"/>
    </row>
    <row r="275" spans="458:686" ht="48" customHeight="1" thickBot="1">
      <c r="XO275" s="827"/>
      <c r="XP275" s="949" t="s">
        <v>1620</v>
      </c>
      <c r="XQ275" s="950"/>
      <c r="XR275" s="962"/>
      <c r="XS275" s="963">
        <f>$YC$250</f>
        <v>0.46224289193227946</v>
      </c>
      <c r="XT275" s="964"/>
      <c r="XU275" s="1091"/>
      <c r="XV275" s="1009"/>
      <c r="XW275" s="1009"/>
      <c r="XX275" s="1009"/>
      <c r="XY275" s="1009"/>
      <c r="XZ275" s="1009"/>
      <c r="YA275" s="1009"/>
      <c r="YB275" s="1010"/>
      <c r="YC275" s="765"/>
      <c r="YD275" s="766"/>
      <c r="YE275" s="918"/>
      <c r="YF275" s="898"/>
      <c r="YG275" s="715"/>
      <c r="YH275" s="954"/>
      <c r="YI275" s="955"/>
      <c r="YJ275" s="747"/>
      <c r="YK275" s="768"/>
      <c r="YL275" s="768"/>
      <c r="YM275" s="768"/>
      <c r="YN275" s="768"/>
      <c r="YO275" s="768"/>
      <c r="YP275" s="768"/>
      <c r="YQ275" s="768"/>
      <c r="YR275" s="768"/>
      <c r="YS275" s="768"/>
      <c r="YT275" s="768"/>
      <c r="YU275" s="768"/>
      <c r="YV275" s="144"/>
      <c r="YW275" s="144"/>
      <c r="ZF275" s="144"/>
      <c r="ZG275" s="144"/>
      <c r="ZH275" s="144"/>
      <c r="ZI275" s="144"/>
      <c r="ZJ275" s="144"/>
    </row>
    <row r="276" spans="458:686" ht="48" customHeight="1">
      <c r="YP276" s="144"/>
      <c r="YQ276" s="144"/>
      <c r="YR276" s="144"/>
      <c r="YS276" s="144"/>
      <c r="YT276" s="144"/>
      <c r="YU276" s="144"/>
      <c r="YV276" s="144"/>
      <c r="YW276" s="144"/>
      <c r="ZF276" s="144"/>
      <c r="ZG276" s="144"/>
      <c r="ZH276" s="144"/>
      <c r="ZI276" s="144"/>
      <c r="ZJ276" s="144"/>
    </row>
    <row r="277" spans="458:686" ht="48" customHeight="1" thickBot="1">
      <c r="XO277" s="825"/>
      <c r="XP277" s="665" t="s">
        <v>442</v>
      </c>
      <c r="XQ277" s="666"/>
      <c r="XR277" s="456"/>
      <c r="XS277" s="484" t="s">
        <v>1323</v>
      </c>
      <c r="XT277" s="698">
        <f>$ZJ$16</f>
        <v>1</v>
      </c>
      <c r="XU277" s="726"/>
      <c r="XV277" s="87"/>
      <c r="XW277" s="87"/>
      <c r="XX277" s="87"/>
      <c r="XY277" s="456"/>
      <c r="XZ277" s="85" t="s">
        <v>467</v>
      </c>
      <c r="YA277" s="757" t="s">
        <v>461</v>
      </c>
      <c r="YB277" s="899"/>
      <c r="YC277" s="819" t="s">
        <v>126</v>
      </c>
      <c r="YD277" s="820"/>
      <c r="YE277" s="675" t="s">
        <v>731</v>
      </c>
      <c r="YF277" s="676"/>
      <c r="YG277" s="821" t="s">
        <v>473</v>
      </c>
      <c r="YH277" s="822"/>
      <c r="YI277" s="822"/>
      <c r="YJ277" s="823"/>
      <c r="YK277" s="769" t="s">
        <v>462</v>
      </c>
      <c r="YL277" s="769"/>
      <c r="YM277" s="769"/>
      <c r="YN277" s="769"/>
      <c r="YO277" s="769"/>
      <c r="YP277" s="769"/>
      <c r="YQ277" s="769"/>
      <c r="YR277" s="769"/>
      <c r="YS277" s="769"/>
      <c r="YW277" s="144"/>
      <c r="ZF277" s="144"/>
      <c r="ZG277" s="144"/>
      <c r="ZH277" s="144"/>
      <c r="ZI277" s="144"/>
      <c r="ZJ277" s="144"/>
    </row>
    <row r="278" spans="458:686" ht="48" customHeight="1">
      <c r="XO278" s="826"/>
      <c r="XP278" s="696" t="s">
        <v>1632</v>
      </c>
      <c r="XQ278" s="720"/>
      <c r="XR278" s="697"/>
      <c r="XS278" s="916">
        <f>$YC$269</f>
        <v>1.0084632177306199</v>
      </c>
      <c r="XT278" s="916"/>
      <c r="XU278" s="1655" t="s">
        <v>1624</v>
      </c>
      <c r="XV278" s="1655"/>
      <c r="XW278" s="1655"/>
      <c r="XX278" s="1655"/>
      <c r="XY278" s="1655"/>
      <c r="XZ278" s="1655"/>
      <c r="YA278" s="1655"/>
      <c r="YB278" s="1656"/>
      <c r="YC278" s="763">
        <f>XS280+XS278*XS279/XT277</f>
        <v>0.85105890097035131</v>
      </c>
      <c r="YD278" s="764"/>
      <c r="YE278" s="917" t="s">
        <v>415</v>
      </c>
      <c r="YF278" s="896"/>
      <c r="YG278" s="712"/>
      <c r="YH278" s="952" t="s">
        <v>1623</v>
      </c>
      <c r="YI278" s="953"/>
      <c r="YJ278" s="746"/>
      <c r="YK278" s="767"/>
      <c r="YL278" s="767"/>
      <c r="YM278" s="767"/>
      <c r="YN278" s="767"/>
      <c r="YO278" s="767"/>
      <c r="YP278" s="767"/>
      <c r="YQ278" s="767"/>
      <c r="YR278" s="767"/>
      <c r="YS278" s="767"/>
      <c r="YT278" s="144"/>
      <c r="YU278" s="144"/>
      <c r="YV278" s="144"/>
      <c r="YW278" s="144"/>
      <c r="ZF278" s="144"/>
      <c r="ZG278" s="144"/>
      <c r="ZH278" s="144"/>
      <c r="ZI278" s="144"/>
      <c r="ZJ278" s="144"/>
    </row>
    <row r="279" spans="458:686" ht="48" customHeight="1" thickBot="1">
      <c r="XO279" s="826"/>
      <c r="XP279" s="863" t="s">
        <v>1591</v>
      </c>
      <c r="XQ279" s="863"/>
      <c r="XR279" s="863"/>
      <c r="XS279" s="739">
        <f>$YC$93</f>
        <v>0.65992755858999019</v>
      </c>
      <c r="XT279" s="739"/>
      <c r="XU279" s="1657"/>
      <c r="XV279" s="1657"/>
      <c r="XW279" s="1657"/>
      <c r="XX279" s="1657"/>
      <c r="XY279" s="1657"/>
      <c r="XZ279" s="1657"/>
      <c r="YA279" s="1657"/>
      <c r="YB279" s="1658"/>
      <c r="YC279" s="765"/>
      <c r="YD279" s="766"/>
      <c r="YE279" s="918"/>
      <c r="YF279" s="898"/>
      <c r="YG279" s="713"/>
      <c r="YH279" s="954"/>
      <c r="YI279" s="955"/>
      <c r="YJ279" s="747"/>
      <c r="YK279" s="767"/>
      <c r="YL279" s="767"/>
      <c r="YM279" s="767"/>
      <c r="YN279" s="767"/>
      <c r="YO279" s="767"/>
      <c r="YP279" s="767"/>
      <c r="YQ279" s="767"/>
      <c r="YR279" s="767"/>
      <c r="YS279" s="767"/>
      <c r="YT279" s="144"/>
      <c r="YU279" s="144"/>
      <c r="YV279" s="144"/>
      <c r="YW279" s="144"/>
      <c r="ZF279" s="144"/>
      <c r="ZG279" s="144"/>
      <c r="ZH279" s="144"/>
      <c r="ZI279" s="144"/>
      <c r="ZJ279" s="144"/>
    </row>
    <row r="280" spans="458:686" ht="48" customHeight="1" thickBot="1">
      <c r="XO280" s="827"/>
      <c r="XP280" s="949" t="s">
        <v>1593</v>
      </c>
      <c r="XQ280" s="950"/>
      <c r="XR280" s="962"/>
      <c r="XS280" s="1061">
        <f>$MN$23</f>
        <v>0.18554623176557763</v>
      </c>
      <c r="XT280" s="1061"/>
      <c r="XU280" s="1659"/>
      <c r="XV280" s="1659"/>
      <c r="XW280" s="1659"/>
      <c r="XX280" s="1659"/>
      <c r="XY280" s="1659"/>
      <c r="XZ280" s="1659"/>
      <c r="YA280" s="1659"/>
      <c r="YB280" s="1660"/>
      <c r="YC280" s="1012"/>
      <c r="YD280" s="1013"/>
      <c r="YE280" s="1013"/>
      <c r="YF280" s="1013"/>
      <c r="YG280" s="1013"/>
      <c r="YH280" s="1013"/>
      <c r="YI280" s="1013"/>
      <c r="YJ280" s="1014"/>
      <c r="YK280" s="768"/>
      <c r="YL280" s="768"/>
      <c r="YM280" s="768"/>
      <c r="YN280" s="768"/>
      <c r="YO280" s="768"/>
      <c r="YP280" s="768"/>
      <c r="YQ280" s="768"/>
      <c r="YR280" s="768"/>
      <c r="YS280" s="768"/>
      <c r="YT280" s="144"/>
      <c r="YU280" s="144"/>
      <c r="YV280" s="144"/>
    </row>
    <row r="281" spans="458:686" ht="48" customHeight="1">
      <c r="QP281" s="144"/>
      <c r="QQ281" s="144"/>
      <c r="QR281" s="144"/>
      <c r="QS281" s="144"/>
      <c r="QT281" s="144"/>
      <c r="QU281" s="144"/>
      <c r="QV281" s="144"/>
      <c r="QW281" s="144"/>
      <c r="QX281" s="144"/>
      <c r="QY281" s="144"/>
      <c r="QZ281" s="144"/>
      <c r="RA281" s="144"/>
      <c r="RB281" s="144"/>
      <c r="RC281" s="144"/>
      <c r="RD281" s="144"/>
      <c r="RE281" s="144"/>
      <c r="RF281" s="144"/>
      <c r="RG281" s="144"/>
      <c r="RH281" s="144"/>
      <c r="RI281" s="144"/>
      <c r="RJ281" s="144"/>
      <c r="RK281" s="144"/>
      <c r="RL281" s="144"/>
      <c r="YU281" s="144"/>
      <c r="YV281" s="144"/>
    </row>
    <row r="282" spans="458:686" ht="48" customHeight="1" thickBot="1">
      <c r="QP282" s="144"/>
      <c r="QQ282" s="144"/>
      <c r="QR282" s="144"/>
      <c r="QS282" s="144"/>
      <c r="QT282" s="144"/>
      <c r="QU282" s="144"/>
      <c r="QV282" s="144"/>
      <c r="QW282" s="144"/>
      <c r="QX282" s="144"/>
      <c r="QY282" s="144"/>
      <c r="QZ282" s="144"/>
      <c r="RA282" s="144"/>
      <c r="RB282" s="144"/>
      <c r="RC282" s="144"/>
      <c r="RD282" s="144"/>
      <c r="RE282" s="144"/>
      <c r="RF282" s="144"/>
      <c r="RG282" s="144"/>
      <c r="RH282" s="144"/>
      <c r="RI282" s="144"/>
      <c r="RJ282" s="144"/>
      <c r="RK282" s="144"/>
      <c r="RL282" s="144"/>
      <c r="XO282" s="825"/>
      <c r="XP282" s="153" t="s">
        <v>442</v>
      </c>
      <c r="XQ282" s="148"/>
      <c r="XR282" s="478"/>
      <c r="XS282" s="87"/>
      <c r="XT282" s="87"/>
      <c r="XU282" s="87"/>
      <c r="XV282" s="87"/>
      <c r="XW282" s="87"/>
      <c r="XX282" s="87"/>
      <c r="XY282" s="478"/>
      <c r="XZ282" s="85" t="s">
        <v>467</v>
      </c>
      <c r="YA282" s="757" t="s">
        <v>461</v>
      </c>
      <c r="YB282" s="758"/>
      <c r="YC282" s="819" t="s">
        <v>126</v>
      </c>
      <c r="YD282" s="820"/>
      <c r="YE282" s="675" t="s">
        <v>731</v>
      </c>
      <c r="YF282" s="676"/>
      <c r="YG282" s="821" t="s">
        <v>473</v>
      </c>
      <c r="YH282" s="822"/>
      <c r="YI282" s="822"/>
      <c r="YJ282" s="823"/>
      <c r="YK282" s="769" t="s">
        <v>462</v>
      </c>
      <c r="YL282" s="769"/>
      <c r="YM282" s="769"/>
      <c r="YN282" s="769"/>
    </row>
    <row r="283" spans="458:686" ht="48" customHeight="1">
      <c r="QP283" s="144"/>
      <c r="QQ283" s="144"/>
      <c r="QR283" s="144"/>
      <c r="QS283" s="144"/>
      <c r="QT283" s="144"/>
      <c r="QU283" s="144"/>
      <c r="QV283" s="144"/>
      <c r="QW283" s="144"/>
      <c r="QX283" s="144"/>
      <c r="QY283" s="144"/>
      <c r="QZ283" s="144"/>
      <c r="RA283" s="144"/>
      <c r="RB283" s="144"/>
      <c r="RC283" s="144"/>
      <c r="RD283" s="144"/>
      <c r="RE283" s="144"/>
      <c r="RF283" s="144"/>
      <c r="RG283" s="144"/>
      <c r="RH283" s="144"/>
      <c r="RI283" s="144"/>
      <c r="RJ283" s="144"/>
      <c r="RK283" s="144"/>
      <c r="RL283" s="144"/>
      <c r="XO283" s="826"/>
      <c r="XP283" s="720" t="s">
        <v>1639</v>
      </c>
      <c r="XQ283" s="697"/>
      <c r="XR283" s="677">
        <f>$YC$151</f>
        <v>299.22949277385993</v>
      </c>
      <c r="XS283" s="677"/>
      <c r="XT283" s="939" t="s">
        <v>1638</v>
      </c>
      <c r="XU283" s="940"/>
      <c r="XV283" s="940"/>
      <c r="XW283" s="940"/>
      <c r="XX283" s="940"/>
      <c r="XY283" s="940"/>
      <c r="XZ283" s="940"/>
      <c r="YA283" s="940"/>
      <c r="YB283" s="1003"/>
      <c r="YC283" s="763">
        <f>XR284/XR283</f>
        <v>1.1036645189380625</v>
      </c>
      <c r="YD283" s="764"/>
      <c r="YE283" s="1088"/>
      <c r="YF283" s="1006"/>
      <c r="YG283" s="714"/>
      <c r="YH283" s="952" t="s">
        <v>1557</v>
      </c>
      <c r="YI283" s="953"/>
      <c r="YJ283" s="1119"/>
      <c r="YK283" s="767"/>
      <c r="YL283" s="767"/>
      <c r="YM283" s="767"/>
      <c r="YN283" s="767"/>
    </row>
    <row r="284" spans="458:686" ht="48" customHeight="1" thickBot="1">
      <c r="QP284" s="144"/>
      <c r="QQ284" s="144"/>
      <c r="QR284" s="144"/>
      <c r="QS284" s="144"/>
      <c r="QT284" s="144"/>
      <c r="QU284" s="144"/>
      <c r="QV284" s="144"/>
      <c r="QW284" s="144"/>
      <c r="QX284" s="144"/>
      <c r="QY284" s="144"/>
      <c r="QZ284" s="144"/>
      <c r="RA284" s="144"/>
      <c r="RB284" s="144"/>
      <c r="RC284" s="144"/>
      <c r="RD284" s="144"/>
      <c r="RE284" s="144"/>
      <c r="RF284" s="144"/>
      <c r="RG284" s="144"/>
      <c r="RH284" s="144"/>
      <c r="RI284" s="144"/>
      <c r="RJ284" s="144"/>
      <c r="RK284" s="144"/>
      <c r="RL284" s="144"/>
      <c r="XO284" s="826"/>
      <c r="XP284" s="863" t="s">
        <v>1637</v>
      </c>
      <c r="XQ284" s="863"/>
      <c r="XR284" s="677">
        <f>$YC$262</f>
        <v>330.24897419434257</v>
      </c>
      <c r="XS284" s="677"/>
      <c r="XT284" s="941"/>
      <c r="XU284" s="942"/>
      <c r="XV284" s="942"/>
      <c r="XW284" s="942"/>
      <c r="XX284" s="942"/>
      <c r="XY284" s="942"/>
      <c r="XZ284" s="942"/>
      <c r="YA284" s="942"/>
      <c r="YB284" s="1011"/>
      <c r="YC284" s="765"/>
      <c r="YD284" s="766"/>
      <c r="YE284" s="707"/>
      <c r="YF284" s="708"/>
      <c r="YG284" s="715"/>
      <c r="YH284" s="954"/>
      <c r="YI284" s="955"/>
      <c r="YJ284" s="1120"/>
      <c r="YK284" s="767"/>
      <c r="YL284" s="767"/>
      <c r="YM284" s="767"/>
      <c r="YN284" s="767"/>
    </row>
    <row r="285" spans="458:686" ht="48" customHeight="1" thickBot="1">
      <c r="QP285" s="144"/>
      <c r="QQ285" s="144"/>
      <c r="QR285" s="144"/>
      <c r="QS285" s="144"/>
      <c r="QT285" s="144"/>
      <c r="QU285" s="144"/>
      <c r="QV285" s="144"/>
      <c r="QW285" s="144"/>
      <c r="QX285" s="144"/>
      <c r="QY285" s="144"/>
      <c r="QZ285" s="144"/>
      <c r="RA285" s="144"/>
      <c r="RB285" s="144"/>
      <c r="RC285" s="144"/>
      <c r="RD285" s="144"/>
      <c r="RE285" s="144"/>
      <c r="RF285" s="144"/>
      <c r="RG285" s="144"/>
      <c r="RH285" s="144"/>
      <c r="RI285" s="144"/>
      <c r="RJ285" s="144"/>
      <c r="RK285" s="144"/>
      <c r="RL285" s="144"/>
      <c r="XO285" s="827"/>
      <c r="XP285" s="506"/>
      <c r="XQ285" s="506"/>
      <c r="XR285" s="506"/>
      <c r="XS285" s="507"/>
      <c r="XT285" s="943"/>
      <c r="XU285" s="944"/>
      <c r="XV285" s="944"/>
      <c r="XW285" s="944"/>
      <c r="XX285" s="944"/>
      <c r="XY285" s="944"/>
      <c r="XZ285" s="944"/>
      <c r="YA285" s="944"/>
      <c r="YB285" s="1004"/>
      <c r="YC285" s="1012"/>
      <c r="YD285" s="1013"/>
      <c r="YE285" s="1013"/>
      <c r="YF285" s="1013"/>
      <c r="YG285" s="1013"/>
      <c r="YH285" s="1013"/>
      <c r="YI285" s="1013"/>
      <c r="YJ285" s="1014"/>
      <c r="YK285" s="768"/>
      <c r="YL285" s="768"/>
      <c r="YM285" s="768"/>
      <c r="YN285" s="768"/>
    </row>
    <row r="286" spans="458:686" ht="48" customHeight="1">
      <c r="QP286" s="144"/>
      <c r="QQ286" s="144"/>
      <c r="QR286" s="144"/>
      <c r="QS286" s="144"/>
      <c r="QT286" s="144"/>
      <c r="QU286" s="144"/>
      <c r="QV286" s="144"/>
      <c r="QW286" s="144"/>
      <c r="QX286" s="144"/>
      <c r="QY286" s="144"/>
      <c r="QZ286" s="144"/>
      <c r="RA286" s="144"/>
      <c r="RB286" s="144"/>
      <c r="RC286" s="144"/>
      <c r="RD286" s="144"/>
      <c r="RE286" s="144"/>
      <c r="RF286" s="144"/>
      <c r="RG286" s="144"/>
      <c r="RH286" s="144"/>
      <c r="RI286" s="144"/>
      <c r="RJ286" s="144"/>
      <c r="RK286" s="144"/>
      <c r="RL286" s="144"/>
      <c r="ZB286" s="144"/>
      <c r="ZC286" s="144"/>
      <c r="ZD286" s="144"/>
    </row>
    <row r="287" spans="458:686" ht="48" customHeight="1">
      <c r="QP287" s="144"/>
      <c r="QQ287" s="144"/>
      <c r="QR287" s="144"/>
      <c r="QS287" s="144"/>
      <c r="QT287" s="144"/>
      <c r="QU287" s="144"/>
      <c r="QV287" s="144"/>
      <c r="QW287" s="144"/>
      <c r="QX287" s="144"/>
      <c r="QY287" s="144"/>
      <c r="QZ287" s="144"/>
      <c r="RA287" s="144"/>
      <c r="RB287" s="144"/>
      <c r="RC287" s="144"/>
      <c r="RD287" s="144"/>
      <c r="RE287" s="144"/>
      <c r="RF287" s="144"/>
      <c r="RG287" s="144"/>
      <c r="RH287" s="144"/>
      <c r="RI287" s="144"/>
      <c r="RJ287" s="144"/>
      <c r="RK287" s="144"/>
      <c r="RL287" s="144"/>
      <c r="XQ287" s="216"/>
      <c r="XR287" s="665" t="s">
        <v>926</v>
      </c>
      <c r="XS287" s="667"/>
      <c r="XT287" s="216"/>
      <c r="XU287" s="685" t="s">
        <v>1152</v>
      </c>
      <c r="XV287" s="686"/>
      <c r="XW287" s="686"/>
      <c r="XX287" s="686"/>
      <c r="XY287" s="686"/>
      <c r="XZ287" s="686"/>
      <c r="YA287" s="686"/>
      <c r="YB287" s="686"/>
      <c r="YC287" s="686"/>
      <c r="YD287" s="686"/>
      <c r="YE287" s="687"/>
      <c r="YF287" s="216"/>
      <c r="YX287" s="144"/>
      <c r="YY287" s="144"/>
      <c r="YZ287" s="144"/>
      <c r="ZA287" s="144"/>
      <c r="ZB287" s="144"/>
      <c r="ZC287" s="144"/>
      <c r="ZD287" s="144"/>
    </row>
    <row r="288" spans="458:686" ht="48" customHeight="1">
      <c r="QP288" s="144"/>
      <c r="QQ288" s="144"/>
      <c r="QR288" s="144"/>
      <c r="QS288" s="144"/>
      <c r="QT288" s="144"/>
      <c r="QU288" s="144"/>
      <c r="QV288" s="144"/>
      <c r="QW288" s="144"/>
      <c r="QX288" s="144"/>
      <c r="QY288" s="144"/>
      <c r="QZ288" s="144"/>
      <c r="RA288" s="144"/>
      <c r="RB288" s="144"/>
      <c r="RC288" s="144"/>
      <c r="RD288" s="144"/>
      <c r="RE288" s="144"/>
      <c r="RF288" s="144"/>
      <c r="RG288" s="144"/>
      <c r="RH288" s="144"/>
      <c r="RI288" s="144"/>
      <c r="RJ288" s="144"/>
      <c r="RK288" s="144"/>
      <c r="RL288" s="144"/>
      <c r="UI288" s="144"/>
      <c r="UJ288" s="144"/>
      <c r="UK288" s="144"/>
      <c r="UL288" s="144"/>
      <c r="UM288" s="144"/>
      <c r="UN288" s="144"/>
      <c r="UO288" s="144"/>
      <c r="UP288" s="144"/>
      <c r="UQ288" s="144"/>
      <c r="UR288" s="144"/>
      <c r="US288" s="144"/>
      <c r="YX288" s="144"/>
      <c r="YY288" s="144"/>
      <c r="YZ288" s="144"/>
      <c r="ZA288" s="144"/>
      <c r="ZB288" s="144"/>
      <c r="ZC288" s="144"/>
      <c r="ZD288" s="144"/>
    </row>
    <row r="289" spans="222:687" ht="48" customHeight="1" thickBot="1">
      <c r="QP289" s="144"/>
      <c r="QQ289" s="144"/>
      <c r="QR289" s="144"/>
      <c r="QS289" s="144"/>
      <c r="QT289" s="144"/>
      <c r="QU289" s="144"/>
      <c r="QV289" s="144"/>
      <c r="QW289" s="144"/>
      <c r="QX289" s="144"/>
      <c r="QY289" s="144"/>
      <c r="QZ289" s="144"/>
      <c r="RA289" s="144"/>
      <c r="RB289" s="144"/>
      <c r="RC289" s="144"/>
      <c r="RD289" s="144"/>
      <c r="RE289" s="144"/>
      <c r="RF289" s="144"/>
      <c r="RG289" s="144"/>
      <c r="RH289" s="144"/>
      <c r="RI289" s="144"/>
      <c r="RJ289" s="144"/>
      <c r="RK289" s="144"/>
      <c r="RL289" s="144"/>
      <c r="UI289" s="144"/>
      <c r="UJ289" s="144"/>
      <c r="UK289" s="144"/>
      <c r="UL289" s="144"/>
      <c r="UM289" s="144"/>
      <c r="UN289" s="144"/>
      <c r="UO289" s="144"/>
      <c r="UP289" s="144"/>
      <c r="UQ289" s="144"/>
      <c r="UR289" s="144"/>
      <c r="US289" s="144"/>
      <c r="XO289" s="825"/>
      <c r="XP289" s="665" t="s">
        <v>442</v>
      </c>
      <c r="XQ289" s="666"/>
      <c r="XR289" s="456"/>
      <c r="XS289" s="87"/>
      <c r="XT289" s="87"/>
      <c r="XU289" s="87"/>
      <c r="XV289" s="87"/>
      <c r="XW289" s="87"/>
      <c r="XX289" s="87"/>
      <c r="XY289" s="456"/>
      <c r="XZ289" s="85" t="s">
        <v>467</v>
      </c>
      <c r="YA289" s="757" t="s">
        <v>461</v>
      </c>
      <c r="YB289" s="899"/>
      <c r="YC289" s="774" t="s">
        <v>126</v>
      </c>
      <c r="YD289" s="776"/>
      <c r="YE289" s="675" t="s">
        <v>731</v>
      </c>
      <c r="YF289" s="676"/>
      <c r="YG289" s="821" t="s">
        <v>473</v>
      </c>
      <c r="YH289" s="822"/>
      <c r="YI289" s="822"/>
      <c r="YJ289" s="823"/>
      <c r="YK289" s="769" t="s">
        <v>462</v>
      </c>
      <c r="YL289" s="769"/>
      <c r="YM289" s="769"/>
      <c r="YN289" s="769"/>
      <c r="YX289" s="144"/>
      <c r="YY289" s="144"/>
      <c r="YZ289" s="144"/>
      <c r="ZA289" s="144"/>
      <c r="ZB289" s="144"/>
      <c r="ZC289" s="144"/>
      <c r="ZD289" s="144"/>
    </row>
    <row r="290" spans="222:687" ht="48" customHeight="1">
      <c r="QP290" s="144"/>
      <c r="QQ290" s="144"/>
      <c r="QR290" s="144"/>
      <c r="QS290" s="144"/>
      <c r="QT290" s="144"/>
      <c r="QU290" s="144"/>
      <c r="QV290" s="144"/>
      <c r="QW290" s="144"/>
      <c r="QX290" s="144"/>
      <c r="QY290" s="144"/>
      <c r="QZ290" s="144"/>
      <c r="RA290" s="144"/>
      <c r="RB290" s="144"/>
      <c r="RC290" s="144"/>
      <c r="RD290" s="144"/>
      <c r="RE290" s="144"/>
      <c r="RF290" s="144"/>
      <c r="RG290" s="144"/>
      <c r="RH290" s="144"/>
      <c r="RI290" s="144"/>
      <c r="RJ290" s="144"/>
      <c r="RK290" s="144"/>
      <c r="RL290" s="144"/>
      <c r="UI290" s="144"/>
      <c r="UJ290" s="144"/>
      <c r="UK290" s="144"/>
      <c r="UL290" s="144"/>
      <c r="UM290" s="144"/>
      <c r="UN290" s="144"/>
      <c r="UO290" s="144"/>
      <c r="UP290" s="144"/>
      <c r="UQ290" s="144"/>
      <c r="UR290" s="144"/>
      <c r="US290" s="144"/>
      <c r="XO290" s="826"/>
      <c r="XP290" s="863" t="s">
        <v>1637</v>
      </c>
      <c r="XQ290" s="863"/>
      <c r="XR290" s="677">
        <f>$YC$262</f>
        <v>330.24897419434257</v>
      </c>
      <c r="XS290" s="677"/>
      <c r="XT290" s="700" t="s">
        <v>157</v>
      </c>
      <c r="XU290" s="701"/>
      <c r="XV290" s="701"/>
      <c r="XW290" s="701"/>
      <c r="XX290" s="701"/>
      <c r="XY290" s="701"/>
      <c r="XZ290" s="701"/>
      <c r="YA290" s="701"/>
      <c r="YB290" s="702"/>
      <c r="YC290" s="1087">
        <f>XR290/XR291</f>
        <v>10.165063425701865</v>
      </c>
      <c r="YD290" s="1006"/>
      <c r="YE290" s="1087"/>
      <c r="YF290" s="1006"/>
      <c r="YG290" s="714"/>
      <c r="YH290" s="716" t="s">
        <v>1636</v>
      </c>
      <c r="YI290" s="717"/>
      <c r="YJ290" s="746"/>
      <c r="YK290" s="767"/>
      <c r="YL290" s="767"/>
      <c r="YM290" s="767"/>
      <c r="YN290" s="767"/>
      <c r="YP290" s="144"/>
      <c r="YQ290" s="144"/>
      <c r="YR290" s="144"/>
      <c r="YS290" s="144"/>
      <c r="YX290" s="144"/>
      <c r="YY290" s="144"/>
      <c r="YZ290" s="144"/>
      <c r="ZA290" s="144"/>
      <c r="ZB290" s="144"/>
      <c r="ZC290" s="144"/>
      <c r="ZD290" s="144"/>
    </row>
    <row r="291" spans="222:687" ht="48" customHeight="1" thickBot="1">
      <c r="QP291" s="144"/>
      <c r="QQ291" s="144"/>
      <c r="QR291" s="144"/>
      <c r="QS291" s="144"/>
      <c r="QT291" s="144"/>
      <c r="QU291" s="144"/>
      <c r="QV291" s="144"/>
      <c r="QW291" s="144"/>
      <c r="QX291" s="144"/>
      <c r="QY291" s="144"/>
      <c r="QZ291" s="144"/>
      <c r="RA291" s="144"/>
      <c r="RB291" s="144"/>
      <c r="RC291" s="144"/>
      <c r="RD291" s="144"/>
      <c r="RE291" s="144"/>
      <c r="RF291" s="144"/>
      <c r="RG291" s="144"/>
      <c r="RH291" s="144"/>
      <c r="RI291" s="144"/>
      <c r="RJ291" s="144"/>
      <c r="RK291" s="144"/>
      <c r="RL291" s="144"/>
      <c r="UI291" s="144"/>
      <c r="UJ291" s="144"/>
      <c r="UK291" s="144"/>
      <c r="UL291" s="144"/>
      <c r="UM291" s="144"/>
      <c r="UN291" s="144"/>
      <c r="UO291" s="144"/>
      <c r="UP291" s="144"/>
      <c r="UQ291" s="144"/>
      <c r="UR291" s="144"/>
      <c r="US291" s="144"/>
      <c r="XO291" s="827"/>
      <c r="XP291" s="949" t="s">
        <v>1189</v>
      </c>
      <c r="XQ291" s="962"/>
      <c r="XR291" s="672">
        <f>$CL$52</f>
        <v>32.488628979857047</v>
      </c>
      <c r="XS291" s="672"/>
      <c r="XT291" s="706"/>
      <c r="XU291" s="707"/>
      <c r="XV291" s="707"/>
      <c r="XW291" s="707"/>
      <c r="XX291" s="707"/>
      <c r="XY291" s="707"/>
      <c r="XZ291" s="707"/>
      <c r="YA291" s="707"/>
      <c r="YB291" s="708"/>
      <c r="YC291" s="1089"/>
      <c r="YD291" s="708"/>
      <c r="YE291" s="1089"/>
      <c r="YF291" s="708"/>
      <c r="YG291" s="715"/>
      <c r="YH291" s="718"/>
      <c r="YI291" s="719"/>
      <c r="YJ291" s="747"/>
      <c r="YK291" s="768"/>
      <c r="YL291" s="768"/>
      <c r="YM291" s="768"/>
      <c r="YN291" s="768"/>
      <c r="YX291" s="144"/>
      <c r="YY291" s="144"/>
      <c r="YZ291" s="144"/>
      <c r="ZA291" s="144"/>
      <c r="ZB291" s="144"/>
      <c r="ZC291" s="144"/>
      <c r="ZD291" s="144"/>
    </row>
    <row r="292" spans="222:687" ht="48" customHeight="1">
      <c r="QP292" s="144"/>
      <c r="QQ292" s="144"/>
      <c r="QR292" s="144"/>
      <c r="QS292" s="144"/>
      <c r="QT292" s="144"/>
      <c r="QU292" s="144"/>
      <c r="QV292" s="144"/>
      <c r="QW292" s="144"/>
      <c r="QX292" s="144"/>
      <c r="QY292" s="144"/>
      <c r="QZ292" s="144"/>
      <c r="RA292" s="144"/>
      <c r="RB292" s="144"/>
      <c r="RC292" s="144"/>
      <c r="RD292" s="144"/>
      <c r="RE292" s="144"/>
      <c r="RF292" s="144"/>
      <c r="RG292" s="144"/>
      <c r="RH292" s="144"/>
      <c r="RI292" s="144"/>
      <c r="RJ292" s="144"/>
      <c r="RK292" s="144"/>
      <c r="RL292" s="144"/>
      <c r="UI292" s="144"/>
      <c r="UJ292" s="144"/>
      <c r="UK292" s="144"/>
      <c r="UL292" s="144"/>
      <c r="UM292" s="144"/>
      <c r="UN292" s="144"/>
      <c r="UO292" s="144"/>
      <c r="UP292" s="144"/>
      <c r="UQ292" s="144"/>
      <c r="UR292" s="144"/>
      <c r="US292" s="144"/>
      <c r="YX292" s="144"/>
      <c r="YY292" s="144"/>
      <c r="YZ292" s="144"/>
      <c r="ZA292" s="144"/>
      <c r="ZB292" s="144"/>
      <c r="ZC292" s="144"/>
      <c r="ZD292" s="144"/>
    </row>
    <row r="293" spans="222:687" ht="48" customHeight="1" thickBot="1">
      <c r="QP293" s="144"/>
      <c r="QQ293" s="144"/>
      <c r="QR293" s="144"/>
      <c r="QS293" s="144"/>
      <c r="QT293" s="144"/>
      <c r="QU293" s="144"/>
      <c r="QV293" s="144"/>
      <c r="QW293" s="144"/>
      <c r="QX293" s="144"/>
      <c r="QY293" s="144"/>
      <c r="QZ293" s="144"/>
      <c r="RA293" s="144"/>
      <c r="RB293" s="144"/>
      <c r="RC293" s="144"/>
      <c r="RD293" s="144"/>
      <c r="RE293" s="144"/>
      <c r="RF293" s="144"/>
      <c r="RG293" s="144"/>
      <c r="RH293" s="144"/>
      <c r="RI293" s="144"/>
      <c r="RJ293" s="144"/>
      <c r="RK293" s="144"/>
      <c r="RL293" s="144"/>
      <c r="UI293" s="144"/>
      <c r="UJ293" s="144"/>
      <c r="UK293" s="144"/>
      <c r="UL293" s="144"/>
      <c r="UM293" s="144"/>
      <c r="UN293" s="144"/>
      <c r="UO293" s="144"/>
      <c r="UP293" s="144"/>
      <c r="UQ293" s="144"/>
      <c r="UR293" s="144"/>
      <c r="US293" s="144"/>
      <c r="XO293" s="825"/>
      <c r="XP293" s="665" t="s">
        <v>442</v>
      </c>
      <c r="XQ293" s="666"/>
      <c r="XR293" s="456"/>
      <c r="XS293" s="477" t="s">
        <v>1189</v>
      </c>
      <c r="XT293" s="677">
        <f>$CL$52</f>
        <v>32.488628979857047</v>
      </c>
      <c r="XU293" s="677"/>
      <c r="XV293" s="87"/>
      <c r="XW293" s="87"/>
      <c r="XX293" s="87"/>
      <c r="XY293" s="456"/>
      <c r="XZ293" s="85" t="s">
        <v>467</v>
      </c>
      <c r="YA293" s="757" t="s">
        <v>461</v>
      </c>
      <c r="YB293" s="899"/>
      <c r="YC293" s="774" t="s">
        <v>126</v>
      </c>
      <c r="YD293" s="776"/>
      <c r="YE293" s="675" t="s">
        <v>731</v>
      </c>
      <c r="YF293" s="676"/>
      <c r="YG293" s="821" t="s">
        <v>473</v>
      </c>
      <c r="YH293" s="822"/>
      <c r="YI293" s="822"/>
      <c r="YJ293" s="823"/>
      <c r="YK293" s="821" t="s">
        <v>462</v>
      </c>
      <c r="YL293" s="822"/>
      <c r="YM293" s="823"/>
      <c r="YX293" s="144"/>
      <c r="YY293" s="144"/>
      <c r="YZ293" s="144"/>
      <c r="ZA293" s="144"/>
      <c r="ZB293" s="144"/>
      <c r="ZC293" s="144"/>
      <c r="ZD293" s="144"/>
    </row>
    <row r="294" spans="222:687" ht="48" customHeight="1">
      <c r="QP294" s="144"/>
      <c r="QQ294" s="144"/>
      <c r="QR294" s="144"/>
      <c r="QS294" s="144"/>
      <c r="QT294" s="144"/>
      <c r="QU294" s="144"/>
      <c r="QV294" s="144"/>
      <c r="QW294" s="144"/>
      <c r="QX294" s="144"/>
      <c r="QY294" s="144"/>
      <c r="QZ294" s="144"/>
      <c r="RA294" s="144"/>
      <c r="RB294" s="144"/>
      <c r="RC294" s="144"/>
      <c r="RD294" s="144"/>
      <c r="RE294" s="144"/>
      <c r="RF294" s="144"/>
      <c r="RG294" s="144"/>
      <c r="RH294" s="144"/>
      <c r="RI294" s="144"/>
      <c r="RJ294" s="144"/>
      <c r="RK294" s="144"/>
      <c r="RL294" s="144"/>
      <c r="UI294" s="144"/>
      <c r="UJ294" s="144"/>
      <c r="UK294" s="144"/>
      <c r="UL294" s="144"/>
      <c r="UM294" s="144"/>
      <c r="UN294" s="144"/>
      <c r="UO294" s="144"/>
      <c r="UP294" s="144"/>
      <c r="UQ294" s="144"/>
      <c r="UR294" s="144"/>
      <c r="US294" s="144"/>
      <c r="XO294" s="826"/>
      <c r="XP294" s="700" t="s">
        <v>1536</v>
      </c>
      <c r="XQ294" s="701"/>
      <c r="XR294" s="701"/>
      <c r="XS294" s="701"/>
      <c r="XT294" s="701"/>
      <c r="XU294" s="701"/>
      <c r="XV294" s="701"/>
      <c r="XW294" s="701"/>
      <c r="XX294" s="701"/>
      <c r="XY294" s="701"/>
      <c r="XZ294" s="701"/>
      <c r="YA294" s="701"/>
      <c r="YB294" s="702"/>
      <c r="YC294" s="1087">
        <f>YC262/CL52</f>
        <v>10.165063425701865</v>
      </c>
      <c r="YD294" s="1006"/>
      <c r="YE294" s="1087"/>
      <c r="YF294" s="1006"/>
      <c r="YG294" s="714"/>
      <c r="YH294" s="716" t="s">
        <v>1559</v>
      </c>
      <c r="YI294" s="717"/>
      <c r="YJ294" s="746"/>
      <c r="YK294" s="919"/>
      <c r="YL294" s="840"/>
      <c r="YM294" s="920"/>
      <c r="YW294" s="144"/>
      <c r="YX294" s="144"/>
      <c r="YY294" s="144"/>
      <c r="YZ294" s="144"/>
      <c r="ZA294" s="144"/>
      <c r="ZB294" s="144"/>
      <c r="ZC294" s="144"/>
      <c r="ZD294" s="144"/>
    </row>
    <row r="295" spans="222:687" ht="48" customHeight="1" thickBot="1">
      <c r="HN295" s="1"/>
      <c r="QP295" s="144"/>
      <c r="QQ295" s="144"/>
      <c r="QR295" s="144"/>
      <c r="QS295" s="144"/>
      <c r="QT295" s="144"/>
      <c r="QU295" s="144"/>
      <c r="QV295" s="144"/>
      <c r="QW295" s="144"/>
      <c r="QX295" s="144"/>
      <c r="QY295" s="144"/>
      <c r="QZ295" s="144"/>
      <c r="RA295" s="144"/>
      <c r="RB295" s="144"/>
      <c r="RC295" s="144"/>
      <c r="RD295" s="144"/>
      <c r="RE295" s="144"/>
      <c r="RF295" s="144"/>
      <c r="RG295" s="144"/>
      <c r="RH295" s="144"/>
      <c r="RI295" s="144"/>
      <c r="RJ295" s="144"/>
      <c r="RK295" s="144"/>
      <c r="RL295" s="144"/>
      <c r="UI295" s="144"/>
      <c r="UJ295" s="144"/>
      <c r="UK295" s="144"/>
      <c r="UL295" s="144"/>
      <c r="UM295" s="144"/>
      <c r="UN295" s="144"/>
      <c r="UO295" s="144"/>
      <c r="UP295" s="144"/>
      <c r="UQ295" s="144"/>
      <c r="UR295" s="144"/>
      <c r="US295" s="144"/>
      <c r="XO295" s="827"/>
      <c r="XP295" s="706"/>
      <c r="XQ295" s="707"/>
      <c r="XR295" s="707"/>
      <c r="XS295" s="707"/>
      <c r="XT295" s="707"/>
      <c r="XU295" s="707"/>
      <c r="XV295" s="707"/>
      <c r="XW295" s="707"/>
      <c r="XX295" s="707"/>
      <c r="XY295" s="707"/>
      <c r="XZ295" s="707"/>
      <c r="YA295" s="707"/>
      <c r="YB295" s="708"/>
      <c r="YC295" s="1089"/>
      <c r="YD295" s="708"/>
      <c r="YE295" s="1089"/>
      <c r="YF295" s="708"/>
      <c r="YG295" s="715"/>
      <c r="YH295" s="718"/>
      <c r="YI295" s="719"/>
      <c r="YJ295" s="747"/>
      <c r="YK295" s="892"/>
      <c r="YL295" s="893"/>
      <c r="YM295" s="894"/>
      <c r="YW295" s="144"/>
      <c r="YX295" s="144"/>
      <c r="YY295" s="144"/>
      <c r="YZ295" s="144"/>
      <c r="ZA295" s="144"/>
      <c r="ZB295" s="144"/>
      <c r="ZC295" s="144"/>
      <c r="ZD295" s="144"/>
    </row>
    <row r="296" spans="222:687" ht="48" customHeight="1">
      <c r="HN296" s="1"/>
      <c r="QP296" s="144"/>
      <c r="QQ296" s="144"/>
      <c r="QR296" s="144"/>
      <c r="QS296" s="144"/>
      <c r="QT296" s="144"/>
      <c r="QU296" s="144"/>
      <c r="QV296" s="144"/>
      <c r="QW296" s="144"/>
      <c r="QX296" s="144"/>
      <c r="QY296" s="144"/>
      <c r="QZ296" s="144"/>
      <c r="RA296" s="144"/>
      <c r="RB296" s="144"/>
      <c r="RC296" s="144"/>
      <c r="RD296" s="144"/>
      <c r="RE296" s="144"/>
      <c r="RF296" s="144"/>
      <c r="RG296" s="144"/>
      <c r="RH296" s="144"/>
      <c r="RI296" s="144"/>
      <c r="RJ296" s="144"/>
      <c r="RK296" s="144"/>
      <c r="RL296" s="144"/>
      <c r="UI296" s="144"/>
      <c r="UJ296" s="144"/>
      <c r="UK296" s="144"/>
      <c r="UL296" s="144"/>
      <c r="UM296" s="144"/>
      <c r="UN296" s="144"/>
      <c r="UO296" s="144"/>
      <c r="UP296" s="144"/>
      <c r="UQ296" s="144"/>
      <c r="UR296" s="144"/>
      <c r="US296" s="144"/>
      <c r="YU296" s="144"/>
      <c r="YV296" s="144"/>
      <c r="YW296" s="144"/>
      <c r="YX296" s="144"/>
      <c r="YY296" s="144"/>
      <c r="YZ296" s="144"/>
      <c r="ZA296" s="144"/>
    </row>
    <row r="297" spans="222:687" ht="48" customHeight="1">
      <c r="HN297" s="1"/>
      <c r="QP297" s="144"/>
      <c r="QQ297" s="144"/>
      <c r="QR297" s="144"/>
      <c r="QS297" s="144"/>
      <c r="QT297" s="144"/>
      <c r="QU297" s="144"/>
      <c r="QV297" s="144"/>
      <c r="QW297" s="144"/>
      <c r="QX297" s="144"/>
      <c r="QY297" s="144"/>
      <c r="QZ297" s="144"/>
      <c r="RA297" s="144"/>
      <c r="RB297" s="144"/>
      <c r="RC297" s="144"/>
      <c r="RD297" s="144"/>
      <c r="RE297" s="144"/>
      <c r="RF297" s="144"/>
      <c r="RG297" s="144"/>
      <c r="RH297" s="144"/>
      <c r="RI297" s="144"/>
      <c r="RJ297" s="144"/>
      <c r="RK297" s="144"/>
      <c r="RL297" s="144"/>
      <c r="UI297" s="144"/>
      <c r="UJ297" s="144"/>
      <c r="UK297" s="144"/>
      <c r="UL297" s="144"/>
      <c r="UM297" s="144"/>
      <c r="UN297" s="144"/>
      <c r="UO297" s="144"/>
      <c r="UP297" s="144"/>
      <c r="UQ297" s="144"/>
      <c r="UR297" s="144"/>
      <c r="US297" s="144"/>
      <c r="XQ297" s="216"/>
      <c r="XR297" s="665" t="s">
        <v>946</v>
      </c>
      <c r="XS297" s="667"/>
      <c r="XT297" s="216"/>
      <c r="XU297" s="685" t="s">
        <v>158</v>
      </c>
      <c r="XV297" s="686"/>
      <c r="XW297" s="686"/>
      <c r="XX297" s="686"/>
      <c r="XY297" s="686"/>
      <c r="XZ297" s="686"/>
      <c r="YA297" s="686"/>
      <c r="YB297" s="686"/>
      <c r="YC297" s="686"/>
      <c r="YD297" s="686"/>
      <c r="YE297" s="687"/>
      <c r="YF297" s="216"/>
      <c r="YU297" s="144"/>
      <c r="YV297" s="144"/>
      <c r="YW297" s="144"/>
    </row>
    <row r="298" spans="222:687" ht="48" customHeight="1">
      <c r="QP298" s="144"/>
      <c r="QQ298" s="144"/>
      <c r="QR298" s="144"/>
      <c r="QS298" s="144"/>
      <c r="QT298" s="144"/>
      <c r="QU298" s="144"/>
      <c r="QV298" s="144"/>
      <c r="QW298" s="144"/>
      <c r="QX298" s="144"/>
      <c r="QY298" s="144"/>
      <c r="QZ298" s="144"/>
      <c r="RA298" s="144"/>
      <c r="RB298" s="144"/>
      <c r="RC298" s="144"/>
      <c r="RD298" s="144"/>
      <c r="RE298" s="144"/>
      <c r="RF298" s="144"/>
      <c r="RG298" s="144"/>
      <c r="RH298" s="144"/>
      <c r="RI298" s="144"/>
      <c r="RJ298" s="144"/>
      <c r="RK298" s="144"/>
      <c r="RL298" s="144"/>
      <c r="UI298" s="144"/>
      <c r="UJ298" s="144"/>
      <c r="UK298" s="144"/>
      <c r="UL298" s="144"/>
      <c r="UM298" s="144"/>
      <c r="UN298" s="144"/>
      <c r="UO298" s="144"/>
      <c r="UP298" s="144"/>
      <c r="UQ298" s="144"/>
      <c r="UR298" s="144"/>
      <c r="US298" s="144"/>
      <c r="YT298" s="144"/>
      <c r="YU298" s="144"/>
      <c r="YV298" s="144"/>
      <c r="YW298" s="144"/>
    </row>
    <row r="299" spans="222:687" ht="48" customHeight="1" thickBot="1">
      <c r="QP299" s="144"/>
      <c r="QQ299" s="144"/>
      <c r="QR299" s="144"/>
      <c r="QS299" s="144"/>
      <c r="QT299" s="144"/>
      <c r="QU299" s="144"/>
      <c r="QV299" s="144"/>
      <c r="QW299" s="144"/>
      <c r="QX299" s="144"/>
      <c r="QY299" s="144"/>
      <c r="QZ299" s="144"/>
      <c r="RA299" s="144"/>
      <c r="RB299" s="144"/>
      <c r="RC299" s="144"/>
      <c r="RD299" s="144"/>
      <c r="RE299" s="144"/>
      <c r="RF299" s="144"/>
      <c r="RG299" s="144"/>
      <c r="RH299" s="144"/>
      <c r="RI299" s="144"/>
      <c r="RJ299" s="144"/>
      <c r="RK299" s="144"/>
      <c r="RL299" s="144"/>
      <c r="TR299" s="144"/>
      <c r="TS299" s="144"/>
      <c r="TT299" s="144"/>
      <c r="TU299" s="144"/>
      <c r="TV299" s="144"/>
      <c r="TW299" s="144"/>
      <c r="TX299" s="144"/>
      <c r="TY299" s="144"/>
      <c r="TZ299" s="144"/>
      <c r="UA299" s="144"/>
      <c r="UB299" s="144"/>
      <c r="UC299" s="144"/>
      <c r="UD299" s="144"/>
      <c r="UE299" s="144"/>
      <c r="UF299" s="144"/>
      <c r="UG299" s="144"/>
      <c r="UH299" s="144"/>
      <c r="UI299" s="144"/>
      <c r="UJ299" s="144"/>
      <c r="UK299" s="144"/>
      <c r="UL299" s="144"/>
      <c r="UM299" s="144"/>
      <c r="UN299" s="144"/>
      <c r="UO299" s="144"/>
      <c r="UP299" s="144"/>
      <c r="UQ299" s="144"/>
      <c r="UR299" s="144"/>
      <c r="US299" s="144"/>
      <c r="XO299" s="825"/>
      <c r="XP299" s="665" t="s">
        <v>442</v>
      </c>
      <c r="XQ299" s="666"/>
      <c r="XR299" s="456"/>
      <c r="XS299" s="477" t="s">
        <v>1600</v>
      </c>
      <c r="XT299" s="948">
        <f>$YC$78</f>
        <v>2.5935155078985197</v>
      </c>
      <c r="XU299" s="965"/>
      <c r="XV299" s="487" t="s">
        <v>1323</v>
      </c>
      <c r="XW299" s="698">
        <f>$ZJ$16</f>
        <v>1</v>
      </c>
      <c r="XX299" s="726"/>
      <c r="XY299" s="456"/>
      <c r="XZ299" s="85" t="s">
        <v>467</v>
      </c>
      <c r="YA299" s="757" t="s">
        <v>461</v>
      </c>
      <c r="YB299" s="899"/>
      <c r="YC299" s="819" t="s">
        <v>126</v>
      </c>
      <c r="YD299" s="820"/>
      <c r="YE299" s="675" t="s">
        <v>731</v>
      </c>
      <c r="YF299" s="676"/>
      <c r="YG299" s="769" t="s">
        <v>473</v>
      </c>
      <c r="YH299" s="769"/>
      <c r="YI299" s="769"/>
      <c r="YJ299" s="769"/>
      <c r="YK299" s="769"/>
      <c r="YL299" s="769" t="s">
        <v>462</v>
      </c>
      <c r="YM299" s="769"/>
      <c r="YN299" s="769"/>
      <c r="YO299" s="769"/>
      <c r="YP299" s="769"/>
      <c r="YQ299" s="769"/>
      <c r="YR299" s="769"/>
      <c r="YS299" s="769"/>
      <c r="YT299" s="769"/>
      <c r="YU299" s="769"/>
      <c r="YV299" s="144"/>
      <c r="YW299" s="144"/>
    </row>
    <row r="300" spans="222:687" ht="48" customHeight="1">
      <c r="QP300" s="144"/>
      <c r="QQ300" s="144"/>
      <c r="QR300" s="144"/>
      <c r="QS300" s="144"/>
      <c r="QT300" s="144"/>
      <c r="QU300" s="144"/>
      <c r="QV300" s="144"/>
      <c r="QW300" s="144"/>
      <c r="QX300" s="144"/>
      <c r="QY300" s="144"/>
      <c r="QZ300" s="144"/>
      <c r="RA300" s="144"/>
      <c r="RB300" s="144"/>
      <c r="RC300" s="144"/>
      <c r="RD300" s="144"/>
      <c r="RE300" s="144"/>
      <c r="RF300" s="144"/>
      <c r="RG300" s="144"/>
      <c r="RH300" s="144"/>
      <c r="RI300" s="144"/>
      <c r="RJ300" s="144"/>
      <c r="RK300" s="144"/>
      <c r="RL300" s="144"/>
      <c r="TR300" s="144"/>
      <c r="TS300" s="144"/>
      <c r="TT300" s="144"/>
      <c r="TU300" s="144"/>
      <c r="TV300" s="144"/>
      <c r="TW300" s="144"/>
      <c r="TX300" s="144"/>
      <c r="TY300" s="144"/>
      <c r="TZ300" s="144"/>
      <c r="UA300" s="144"/>
      <c r="UB300" s="144"/>
      <c r="UC300" s="144"/>
      <c r="UD300" s="144"/>
      <c r="UE300" s="144"/>
      <c r="UF300" s="144"/>
      <c r="UG300" s="144"/>
      <c r="UH300" s="144"/>
      <c r="UI300" s="144"/>
      <c r="UJ300" s="144"/>
      <c r="UK300" s="144"/>
      <c r="UL300" s="144"/>
      <c r="UM300" s="144"/>
      <c r="UN300" s="144"/>
      <c r="UO300" s="144"/>
      <c r="UP300" s="144"/>
      <c r="UQ300" s="144"/>
      <c r="UR300" s="144"/>
      <c r="US300" s="144"/>
      <c r="XO300" s="826"/>
      <c r="XP300" s="1060" t="s">
        <v>1641</v>
      </c>
      <c r="XQ300" s="1060"/>
      <c r="XR300" s="677">
        <f>$UA$38</f>
        <v>0.02</v>
      </c>
      <c r="XS300" s="677"/>
      <c r="XT300" s="940" t="s">
        <v>1644</v>
      </c>
      <c r="XU300" s="940"/>
      <c r="XV300" s="940"/>
      <c r="XW300" s="940"/>
      <c r="XX300" s="940"/>
      <c r="XY300" s="940"/>
      <c r="XZ300" s="940"/>
      <c r="YA300" s="940"/>
      <c r="YB300" s="1003"/>
      <c r="YC300" s="763">
        <f>((XR302/(XR301^2))^2)*XT299*XR300/XW299</f>
        <v>0.36463338602626805</v>
      </c>
      <c r="YD300" s="764"/>
      <c r="YE300" s="1005"/>
      <c r="YF300" s="1006"/>
      <c r="YG300" s="712"/>
      <c r="YH300" s="716" t="s">
        <v>1640</v>
      </c>
      <c r="YI300" s="1027"/>
      <c r="YJ300" s="717"/>
      <c r="YK300" s="746"/>
      <c r="YL300" s="767"/>
      <c r="YM300" s="767"/>
      <c r="YN300" s="767"/>
      <c r="YO300" s="767"/>
      <c r="YP300" s="767"/>
      <c r="YQ300" s="767"/>
      <c r="YR300" s="767"/>
      <c r="YS300" s="767"/>
      <c r="YT300" s="767"/>
      <c r="YU300" s="767"/>
      <c r="YV300" s="144"/>
      <c r="YW300" s="144"/>
    </row>
    <row r="301" spans="222:687" ht="48" customHeight="1" thickBot="1">
      <c r="QP301" s="144"/>
      <c r="QQ301" s="144"/>
      <c r="QR301" s="144"/>
      <c r="QS301" s="144"/>
      <c r="QT301" s="144"/>
      <c r="QU301" s="144"/>
      <c r="QV301" s="144"/>
      <c r="QW301" s="144"/>
      <c r="QX301" s="144"/>
      <c r="QY301" s="144"/>
      <c r="QZ301" s="144"/>
      <c r="RA301" s="144"/>
      <c r="RB301" s="144"/>
      <c r="RC301" s="144"/>
      <c r="RD301" s="144"/>
      <c r="RE301" s="144"/>
      <c r="RF301" s="144"/>
      <c r="RG301" s="144"/>
      <c r="RH301" s="144"/>
      <c r="RI301" s="144"/>
      <c r="RJ301" s="144"/>
      <c r="RK301" s="144"/>
      <c r="RL301" s="144"/>
      <c r="TR301" s="144"/>
      <c r="TS301" s="144"/>
      <c r="TT301" s="144"/>
      <c r="TU301" s="144"/>
      <c r="TV301" s="144"/>
      <c r="TW301" s="144"/>
      <c r="TX301" s="144"/>
      <c r="TY301" s="144"/>
      <c r="TZ301" s="144"/>
      <c r="UA301" s="144"/>
      <c r="UB301" s="144"/>
      <c r="UC301" s="144"/>
      <c r="UD301" s="144"/>
      <c r="UE301" s="144"/>
      <c r="UF301" s="144"/>
      <c r="UG301" s="144"/>
      <c r="UH301" s="144"/>
      <c r="UI301" s="144"/>
      <c r="UJ301" s="144"/>
      <c r="UK301" s="144"/>
      <c r="UL301" s="144"/>
      <c r="UM301" s="144"/>
      <c r="UN301" s="144"/>
      <c r="UO301" s="144"/>
      <c r="UP301" s="144"/>
      <c r="UQ301" s="144"/>
      <c r="UR301" s="144"/>
      <c r="US301" s="144"/>
      <c r="XO301" s="826"/>
      <c r="XP301" s="863" t="s">
        <v>1642</v>
      </c>
      <c r="XQ301" s="863"/>
      <c r="XR301" s="677">
        <f>SC38</f>
        <v>11.08658992291425</v>
      </c>
      <c r="XS301" s="677"/>
      <c r="XT301" s="942"/>
      <c r="XU301" s="942"/>
      <c r="XV301" s="942"/>
      <c r="XW301" s="942"/>
      <c r="XX301" s="942"/>
      <c r="XY301" s="942"/>
      <c r="XZ301" s="942"/>
      <c r="YA301" s="942"/>
      <c r="YB301" s="1011"/>
      <c r="YC301" s="765"/>
      <c r="YD301" s="766"/>
      <c r="YE301" s="706"/>
      <c r="YF301" s="708"/>
      <c r="YG301" s="713"/>
      <c r="YH301" s="718"/>
      <c r="YI301" s="1028"/>
      <c r="YJ301" s="719"/>
      <c r="YK301" s="747"/>
      <c r="YL301" s="767"/>
      <c r="YM301" s="767"/>
      <c r="YN301" s="767"/>
      <c r="YO301" s="767"/>
      <c r="YP301" s="767"/>
      <c r="YQ301" s="767"/>
      <c r="YR301" s="767"/>
      <c r="YS301" s="767"/>
      <c r="YT301" s="767"/>
      <c r="YU301" s="767"/>
      <c r="YV301" s="144"/>
      <c r="YW301" s="144"/>
    </row>
    <row r="302" spans="222:687" ht="48" customHeight="1" thickBot="1">
      <c r="QP302" s="144"/>
      <c r="QQ302" s="144"/>
      <c r="QR302" s="144"/>
      <c r="QS302" s="144"/>
      <c r="QT302" s="144"/>
      <c r="QU302" s="144"/>
      <c r="QV302" s="144"/>
      <c r="QW302" s="144"/>
      <c r="QX302" s="144"/>
      <c r="QY302" s="144"/>
      <c r="QZ302" s="144"/>
      <c r="RA302" s="144"/>
      <c r="RB302" s="144"/>
      <c r="RC302" s="144"/>
      <c r="RD302" s="144"/>
      <c r="RE302" s="144"/>
      <c r="RF302" s="144"/>
      <c r="RG302" s="144"/>
      <c r="RH302" s="144"/>
      <c r="RI302" s="144"/>
      <c r="RJ302" s="144"/>
      <c r="RK302" s="144"/>
      <c r="RL302" s="144"/>
      <c r="TR302" s="144"/>
      <c r="TS302" s="144"/>
      <c r="TT302" s="144"/>
      <c r="TU302" s="144"/>
      <c r="TV302" s="144"/>
      <c r="TW302" s="144"/>
      <c r="TX302" s="144"/>
      <c r="TY302" s="144"/>
      <c r="TZ302" s="144"/>
      <c r="UA302" s="144"/>
      <c r="UB302" s="144"/>
      <c r="UC302" s="144"/>
      <c r="UD302" s="144"/>
      <c r="UE302" s="144"/>
      <c r="UF302" s="144"/>
      <c r="UG302" s="144"/>
      <c r="UH302" s="144"/>
      <c r="UI302" s="144"/>
      <c r="UJ302" s="144"/>
      <c r="UK302" s="144"/>
      <c r="UL302" s="144"/>
      <c r="UM302" s="144"/>
      <c r="UN302" s="144"/>
      <c r="UO302" s="144"/>
      <c r="UP302" s="144"/>
      <c r="UQ302" s="144"/>
      <c r="UR302" s="144"/>
      <c r="US302" s="144"/>
      <c r="XO302" s="827"/>
      <c r="XP302" s="709" t="s">
        <v>1643</v>
      </c>
      <c r="XQ302" s="709"/>
      <c r="XR302" s="672">
        <f>$YC$257</f>
        <v>325.88529230752243</v>
      </c>
      <c r="XS302" s="672"/>
      <c r="XT302" s="944"/>
      <c r="XU302" s="944"/>
      <c r="XV302" s="944"/>
      <c r="XW302" s="944"/>
      <c r="XX302" s="944"/>
      <c r="XY302" s="944"/>
      <c r="XZ302" s="944"/>
      <c r="YA302" s="944"/>
      <c r="YB302" s="1004"/>
      <c r="YC302" s="1012"/>
      <c r="YD302" s="1013"/>
      <c r="YE302" s="1013"/>
      <c r="YF302" s="1013"/>
      <c r="YG302" s="1013"/>
      <c r="YH302" s="1013"/>
      <c r="YI302" s="1013"/>
      <c r="YJ302" s="1013"/>
      <c r="YK302" s="1014"/>
      <c r="YL302" s="768"/>
      <c r="YM302" s="768"/>
      <c r="YN302" s="768"/>
      <c r="YO302" s="768"/>
      <c r="YP302" s="768"/>
      <c r="YQ302" s="768"/>
      <c r="YR302" s="768"/>
      <c r="YS302" s="768"/>
      <c r="YT302" s="768"/>
      <c r="YU302" s="768"/>
      <c r="YV302" s="144"/>
      <c r="YW302" s="144"/>
    </row>
    <row r="303" spans="222:687" ht="48" customHeight="1">
      <c r="QP303" s="144"/>
      <c r="QQ303" s="144"/>
      <c r="QR303" s="144"/>
      <c r="QS303" s="144"/>
      <c r="QT303" s="144"/>
      <c r="QU303" s="144"/>
      <c r="QV303" s="144"/>
      <c r="QW303" s="144"/>
      <c r="QX303" s="144"/>
      <c r="QY303" s="144"/>
      <c r="QZ303" s="144"/>
      <c r="RA303" s="144"/>
      <c r="RB303" s="144"/>
      <c r="RC303" s="144"/>
      <c r="RD303" s="144"/>
      <c r="RE303" s="144"/>
      <c r="RF303" s="144"/>
      <c r="RG303" s="144"/>
      <c r="RH303" s="144"/>
      <c r="RI303" s="144"/>
      <c r="RJ303" s="144"/>
      <c r="RK303" s="144"/>
      <c r="RL303" s="144"/>
      <c r="TR303" s="144"/>
      <c r="TS303" s="144"/>
      <c r="TT303" s="144"/>
      <c r="TU303" s="144"/>
      <c r="TV303" s="144"/>
      <c r="TW303" s="144"/>
      <c r="TX303" s="144"/>
      <c r="TY303" s="144"/>
      <c r="TZ303" s="144"/>
      <c r="UA303" s="144"/>
      <c r="UB303" s="144"/>
      <c r="UC303" s="144"/>
      <c r="UD303" s="144"/>
      <c r="UE303" s="144"/>
      <c r="UF303" s="144"/>
      <c r="UG303" s="144"/>
      <c r="UH303" s="144"/>
      <c r="UI303" s="144"/>
      <c r="UJ303" s="144"/>
      <c r="UK303" s="144"/>
      <c r="UL303" s="144"/>
      <c r="UM303" s="144"/>
      <c r="UN303" s="144"/>
      <c r="UO303" s="144"/>
      <c r="UP303" s="144"/>
      <c r="UQ303" s="144"/>
      <c r="UR303" s="144"/>
      <c r="US303" s="144"/>
      <c r="YU303" s="144"/>
      <c r="YV303" s="144"/>
      <c r="YW303" s="144"/>
      <c r="ZC303" s="144"/>
      <c r="ZD303" s="144"/>
      <c r="ZE303" s="144"/>
      <c r="ZF303" s="144"/>
      <c r="ZG303" s="144"/>
      <c r="ZH303" s="144"/>
      <c r="ZI303" s="144"/>
      <c r="ZJ303" s="144"/>
      <c r="ZK303" s="144"/>
    </row>
    <row r="304" spans="222:687" ht="48" customHeight="1" thickBot="1">
      <c r="QP304" s="144"/>
      <c r="QQ304" s="144"/>
      <c r="QR304" s="144"/>
      <c r="QS304" s="144"/>
      <c r="QT304" s="144"/>
      <c r="QU304" s="144"/>
      <c r="QV304" s="144"/>
      <c r="QW304" s="144"/>
      <c r="QX304" s="144"/>
      <c r="QY304" s="144"/>
      <c r="QZ304" s="144"/>
      <c r="RA304" s="144"/>
      <c r="RB304" s="144"/>
      <c r="RC304" s="144"/>
      <c r="RD304" s="144"/>
      <c r="RE304" s="144"/>
      <c r="RF304" s="144"/>
      <c r="RG304" s="144"/>
      <c r="RH304" s="144"/>
      <c r="RI304" s="144"/>
      <c r="RJ304" s="144"/>
      <c r="RK304" s="144"/>
      <c r="RL304" s="144"/>
      <c r="TR304" s="144"/>
      <c r="TS304" s="144"/>
      <c r="TT304" s="144"/>
      <c r="TU304" s="144"/>
      <c r="TV304" s="144"/>
      <c r="TW304" s="144"/>
      <c r="TX304" s="144"/>
      <c r="TY304" s="144"/>
      <c r="TZ304" s="144"/>
      <c r="UA304" s="144"/>
      <c r="UB304" s="144"/>
      <c r="UC304" s="144"/>
      <c r="UD304" s="144"/>
      <c r="UE304" s="144"/>
      <c r="UF304" s="144"/>
      <c r="UG304" s="144"/>
      <c r="UH304" s="144"/>
      <c r="UI304" s="144"/>
      <c r="UJ304" s="144"/>
      <c r="UK304" s="144"/>
      <c r="UL304" s="144"/>
      <c r="UM304" s="144"/>
      <c r="UN304" s="144"/>
      <c r="UO304" s="144"/>
      <c r="UP304" s="144"/>
      <c r="UQ304" s="144"/>
      <c r="UR304" s="144"/>
      <c r="US304" s="144"/>
      <c r="XO304" s="825"/>
      <c r="XP304" s="665" t="s">
        <v>442</v>
      </c>
      <c r="XQ304" s="666"/>
      <c r="XR304" s="456"/>
      <c r="XS304" s="489" t="s">
        <v>1600</v>
      </c>
      <c r="XT304" s="948">
        <f>$YC$78</f>
        <v>2.5935155078985197</v>
      </c>
      <c r="XU304" s="965"/>
      <c r="XV304" s="487" t="s">
        <v>1323</v>
      </c>
      <c r="XW304" s="698">
        <f>$ZJ$16</f>
        <v>1</v>
      </c>
      <c r="XX304" s="726"/>
      <c r="XY304" s="456"/>
      <c r="XZ304" s="85" t="s">
        <v>467</v>
      </c>
      <c r="YA304" s="757" t="s">
        <v>461</v>
      </c>
      <c r="YB304" s="899"/>
      <c r="YC304" s="819" t="s">
        <v>126</v>
      </c>
      <c r="YD304" s="820"/>
      <c r="YE304" s="675" t="s">
        <v>731</v>
      </c>
      <c r="YF304" s="676"/>
      <c r="YG304" s="821" t="s">
        <v>473</v>
      </c>
      <c r="YH304" s="822"/>
      <c r="YI304" s="822"/>
      <c r="YJ304" s="823"/>
      <c r="YK304" s="821" t="s">
        <v>462</v>
      </c>
      <c r="YL304" s="822"/>
      <c r="YM304" s="822"/>
      <c r="YN304" s="822"/>
      <c r="YO304" s="822"/>
      <c r="YP304" s="822"/>
      <c r="YQ304" s="822"/>
      <c r="YR304" s="822"/>
      <c r="YS304" s="823"/>
      <c r="YU304" s="144"/>
      <c r="YV304" s="144"/>
      <c r="ZC304" s="144"/>
      <c r="ZD304" s="144"/>
      <c r="ZE304" s="144"/>
      <c r="ZF304" s="144"/>
      <c r="ZG304" s="144"/>
      <c r="ZH304" s="144"/>
      <c r="ZI304" s="144"/>
      <c r="ZJ304" s="144"/>
      <c r="ZK304" s="144"/>
    </row>
    <row r="305" spans="260:687" ht="48" customHeight="1">
      <c r="QP305" s="144"/>
      <c r="QQ305" s="144"/>
      <c r="QR305" s="144"/>
      <c r="QS305" s="144"/>
      <c r="QT305" s="144"/>
      <c r="QU305" s="144"/>
      <c r="QV305" s="144"/>
      <c r="QW305" s="144"/>
      <c r="QX305" s="144"/>
      <c r="QY305" s="144"/>
      <c r="QZ305" s="144"/>
      <c r="RA305" s="144"/>
      <c r="RB305" s="144"/>
      <c r="RC305" s="144"/>
      <c r="RD305" s="144"/>
      <c r="RE305" s="144"/>
      <c r="RF305" s="144"/>
      <c r="RG305" s="144"/>
      <c r="RH305" s="144"/>
      <c r="RI305" s="144"/>
      <c r="RJ305" s="144"/>
      <c r="RK305" s="144"/>
      <c r="RL305" s="144"/>
      <c r="TR305" s="144"/>
      <c r="TS305" s="144"/>
      <c r="TT305" s="144"/>
      <c r="TU305" s="144"/>
      <c r="TV305" s="144"/>
      <c r="TW305" s="144"/>
      <c r="TX305" s="144"/>
      <c r="TY305" s="144"/>
      <c r="TZ305" s="144"/>
      <c r="UA305" s="144"/>
      <c r="UB305" s="144"/>
      <c r="UC305" s="144"/>
      <c r="UD305" s="144"/>
      <c r="UE305" s="144"/>
      <c r="UF305" s="144"/>
      <c r="UG305" s="144"/>
      <c r="UH305" s="144"/>
      <c r="UI305" s="144"/>
      <c r="UJ305" s="144"/>
      <c r="UK305" s="144"/>
      <c r="UL305" s="144"/>
      <c r="UM305" s="144"/>
      <c r="UN305" s="144"/>
      <c r="UO305" s="144"/>
      <c r="UP305" s="144"/>
      <c r="UQ305" s="144"/>
      <c r="UR305" s="144"/>
      <c r="US305" s="144"/>
      <c r="XO305" s="826"/>
      <c r="XP305" s="939" t="s">
        <v>1535</v>
      </c>
      <c r="XQ305" s="701"/>
      <c r="XR305" s="701"/>
      <c r="XS305" s="701"/>
      <c r="XT305" s="701"/>
      <c r="XU305" s="701"/>
      <c r="XV305" s="701"/>
      <c r="XW305" s="701"/>
      <c r="XX305" s="701"/>
      <c r="XY305" s="701"/>
      <c r="XZ305" s="701"/>
      <c r="YA305" s="701"/>
      <c r="YB305" s="702"/>
      <c r="YC305" s="763">
        <f>((YC257/(CL52))^2)*YC84</f>
        <v>100.62815136980396</v>
      </c>
      <c r="YD305" s="764"/>
      <c r="YE305" s="1090" t="s">
        <v>1814</v>
      </c>
      <c r="YF305" s="1008"/>
      <c r="YG305" s="712"/>
      <c r="YH305" s="716" t="s">
        <v>1550</v>
      </c>
      <c r="YI305" s="717"/>
      <c r="YJ305" s="746"/>
      <c r="YK305" s="919"/>
      <c r="YL305" s="840"/>
      <c r="YM305" s="840"/>
      <c r="YN305" s="840"/>
      <c r="YO305" s="840"/>
      <c r="YP305" s="840"/>
      <c r="YQ305" s="840"/>
      <c r="YR305" s="840"/>
      <c r="YS305" s="920"/>
      <c r="YT305" s="270"/>
      <c r="ZC305" s="144"/>
      <c r="ZD305" s="144"/>
      <c r="ZE305" s="144"/>
      <c r="ZF305" s="144"/>
      <c r="ZG305" s="144"/>
      <c r="ZH305" s="144"/>
      <c r="ZI305" s="144"/>
      <c r="ZJ305" s="144"/>
      <c r="ZK305" s="144"/>
    </row>
    <row r="306" spans="260:687" ht="48" customHeight="1" thickBot="1">
      <c r="QP306" s="144"/>
      <c r="QQ306" s="144"/>
      <c r="QR306" s="144"/>
      <c r="QS306" s="144"/>
      <c r="QT306" s="144"/>
      <c r="QU306" s="144"/>
      <c r="QV306" s="144"/>
      <c r="QW306" s="144"/>
      <c r="QX306" s="144"/>
      <c r="QY306" s="144"/>
      <c r="QZ306" s="144"/>
      <c r="RA306" s="144"/>
      <c r="RB306" s="144"/>
      <c r="RC306" s="144"/>
      <c r="RD306" s="144"/>
      <c r="RE306" s="144"/>
      <c r="RF306" s="144"/>
      <c r="RG306" s="144"/>
      <c r="RH306" s="144"/>
      <c r="RI306" s="144"/>
      <c r="RJ306" s="144"/>
      <c r="RK306" s="144"/>
      <c r="RL306" s="144"/>
      <c r="TR306" s="144"/>
      <c r="TS306" s="144"/>
      <c r="TT306" s="144"/>
      <c r="TU306" s="144"/>
      <c r="TV306" s="144"/>
      <c r="TW306" s="144"/>
      <c r="TX306" s="144"/>
      <c r="TY306" s="144"/>
      <c r="TZ306" s="144"/>
      <c r="UA306" s="144"/>
      <c r="UB306" s="144"/>
      <c r="UC306" s="144"/>
      <c r="UD306" s="144"/>
      <c r="UE306" s="144"/>
      <c r="UF306" s="144"/>
      <c r="UG306" s="144"/>
      <c r="UH306" s="144"/>
      <c r="UI306" s="144"/>
      <c r="UJ306" s="144"/>
      <c r="UK306" s="144"/>
      <c r="UL306" s="144"/>
      <c r="UM306" s="144"/>
      <c r="UN306" s="144"/>
      <c r="UO306" s="144"/>
      <c r="UP306" s="144"/>
      <c r="UQ306" s="144"/>
      <c r="UR306" s="144"/>
      <c r="US306" s="144"/>
      <c r="XO306" s="826"/>
      <c r="XP306" s="703"/>
      <c r="XQ306" s="704"/>
      <c r="XR306" s="704"/>
      <c r="XS306" s="704"/>
      <c r="XT306" s="704"/>
      <c r="XU306" s="704"/>
      <c r="XV306" s="704"/>
      <c r="XW306" s="704"/>
      <c r="XX306" s="704"/>
      <c r="XY306" s="704"/>
      <c r="XZ306" s="704"/>
      <c r="YA306" s="704"/>
      <c r="YB306" s="705"/>
      <c r="YC306" s="765"/>
      <c r="YD306" s="766"/>
      <c r="YE306" s="1091"/>
      <c r="YF306" s="1010"/>
      <c r="YG306" s="713"/>
      <c r="YH306" s="718"/>
      <c r="YI306" s="719"/>
      <c r="YJ306" s="747"/>
      <c r="YK306" s="890"/>
      <c r="YL306" s="841"/>
      <c r="YM306" s="841"/>
      <c r="YN306" s="841"/>
      <c r="YO306" s="841"/>
      <c r="YP306" s="841"/>
      <c r="YQ306" s="841"/>
      <c r="YR306" s="841"/>
      <c r="YS306" s="891"/>
      <c r="YT306" s="238"/>
      <c r="ZC306" s="144"/>
      <c r="ZD306" s="144"/>
      <c r="ZE306" s="144"/>
      <c r="ZF306" s="144"/>
      <c r="ZG306" s="144"/>
      <c r="ZH306" s="144"/>
      <c r="ZI306" s="144"/>
      <c r="ZJ306" s="144"/>
      <c r="ZK306" s="144"/>
    </row>
    <row r="307" spans="260:687" ht="48" customHeight="1" thickBot="1">
      <c r="QP307" s="144"/>
      <c r="QQ307" s="144"/>
      <c r="QR307" s="144"/>
      <c r="QS307" s="144"/>
      <c r="QT307" s="144"/>
      <c r="QU307" s="144"/>
      <c r="QV307" s="144"/>
      <c r="QW307" s="144"/>
      <c r="QX307" s="144"/>
      <c r="QY307" s="144"/>
      <c r="QZ307" s="144"/>
      <c r="RA307" s="144"/>
      <c r="RB307" s="144"/>
      <c r="RC307" s="144"/>
      <c r="RD307" s="144"/>
      <c r="RE307" s="144"/>
      <c r="RF307" s="144"/>
      <c r="RG307" s="144"/>
      <c r="RH307" s="144"/>
      <c r="RI307" s="144"/>
      <c r="RJ307" s="144"/>
      <c r="RK307" s="144"/>
      <c r="RL307" s="144"/>
      <c r="TR307" s="144"/>
      <c r="TS307" s="144"/>
      <c r="TT307" s="144"/>
      <c r="TU307" s="144"/>
      <c r="TV307" s="144"/>
      <c r="TW307" s="144"/>
      <c r="TX307" s="144"/>
      <c r="TY307" s="144"/>
      <c r="TZ307" s="144"/>
      <c r="UA307" s="144"/>
      <c r="UB307" s="144"/>
      <c r="UC307" s="144"/>
      <c r="UD307" s="144"/>
      <c r="UE307" s="144"/>
      <c r="UF307" s="144"/>
      <c r="UG307" s="144"/>
      <c r="UH307" s="144"/>
      <c r="UI307" s="144"/>
      <c r="UJ307" s="144"/>
      <c r="UK307" s="144"/>
      <c r="UL307" s="144"/>
      <c r="UM307" s="144"/>
      <c r="UN307" s="144"/>
      <c r="UO307" s="144"/>
      <c r="UP307" s="144"/>
      <c r="UQ307" s="144"/>
      <c r="UR307" s="144"/>
      <c r="US307" s="144"/>
      <c r="XO307" s="827"/>
      <c r="XP307" s="706"/>
      <c r="XQ307" s="707"/>
      <c r="XR307" s="707"/>
      <c r="XS307" s="707"/>
      <c r="XT307" s="707"/>
      <c r="XU307" s="707"/>
      <c r="XV307" s="707"/>
      <c r="XW307" s="707"/>
      <c r="XX307" s="707"/>
      <c r="XY307" s="707"/>
      <c r="XZ307" s="707"/>
      <c r="YA307" s="707"/>
      <c r="YB307" s="708"/>
      <c r="YC307" s="1012"/>
      <c r="YD307" s="1013"/>
      <c r="YE307" s="1013"/>
      <c r="YF307" s="1013"/>
      <c r="YG307" s="1013"/>
      <c r="YH307" s="1013"/>
      <c r="YI307" s="1013"/>
      <c r="YJ307" s="1014"/>
      <c r="YK307" s="892"/>
      <c r="YL307" s="893"/>
      <c r="YM307" s="893"/>
      <c r="YN307" s="893"/>
      <c r="YO307" s="893"/>
      <c r="YP307" s="893"/>
      <c r="YQ307" s="893"/>
      <c r="YR307" s="893"/>
      <c r="YS307" s="894"/>
      <c r="ZC307" s="144"/>
      <c r="ZD307" s="144"/>
      <c r="ZE307" s="144"/>
      <c r="ZF307" s="144"/>
      <c r="ZG307" s="144"/>
      <c r="ZH307" s="144"/>
      <c r="ZI307" s="144"/>
      <c r="ZJ307" s="144"/>
      <c r="ZK307" s="144"/>
    </row>
    <row r="308" spans="260:687" ht="48" customHeight="1">
      <c r="QP308" s="144"/>
      <c r="QQ308" s="144"/>
      <c r="QR308" s="144"/>
      <c r="QS308" s="144"/>
      <c r="QT308" s="144"/>
      <c r="QU308" s="144"/>
      <c r="QV308" s="144"/>
      <c r="QW308" s="144"/>
      <c r="QX308" s="144"/>
      <c r="QY308" s="144"/>
      <c r="QZ308" s="144"/>
      <c r="RA308" s="144"/>
      <c r="RB308" s="144"/>
      <c r="RC308" s="144"/>
      <c r="RD308" s="144"/>
      <c r="RE308" s="144"/>
      <c r="RF308" s="144"/>
      <c r="RG308" s="144"/>
      <c r="RH308" s="144"/>
      <c r="RI308" s="144"/>
      <c r="RJ308" s="144"/>
      <c r="RK308" s="144"/>
      <c r="RL308" s="144"/>
      <c r="TR308" s="144"/>
      <c r="TS308" s="144"/>
      <c r="TT308" s="144"/>
      <c r="TU308" s="144"/>
      <c r="TV308" s="144"/>
      <c r="TW308" s="144"/>
      <c r="TX308" s="144"/>
      <c r="TY308" s="144"/>
      <c r="TZ308" s="144"/>
      <c r="UA308" s="144"/>
      <c r="UB308" s="144"/>
      <c r="UC308" s="144"/>
      <c r="UD308" s="144"/>
      <c r="UE308" s="144"/>
      <c r="UF308" s="144"/>
      <c r="UG308" s="144"/>
      <c r="UH308" s="144"/>
      <c r="UI308" s="144"/>
      <c r="UJ308" s="144"/>
      <c r="UK308" s="144"/>
      <c r="UL308" s="144"/>
      <c r="UM308" s="144"/>
      <c r="UN308" s="144"/>
      <c r="UO308" s="144"/>
      <c r="UP308" s="144"/>
      <c r="UQ308" s="144"/>
      <c r="UR308" s="144"/>
      <c r="US308" s="144"/>
      <c r="ZC308" s="144"/>
      <c r="ZD308" s="144"/>
      <c r="ZE308" s="144"/>
      <c r="ZF308" s="144"/>
      <c r="ZG308" s="144"/>
      <c r="ZH308" s="144"/>
      <c r="ZI308" s="144"/>
      <c r="ZJ308" s="144"/>
      <c r="ZK308" s="144"/>
    </row>
    <row r="309" spans="260:687" ht="48" customHeight="1" thickBot="1">
      <c r="QP309" s="144"/>
      <c r="QQ309" s="144"/>
      <c r="QR309" s="144"/>
      <c r="QS309" s="144"/>
      <c r="QT309" s="144"/>
      <c r="QU309" s="144"/>
      <c r="QV309" s="144"/>
      <c r="QW309" s="144"/>
      <c r="QX309" s="144"/>
      <c r="QY309" s="144"/>
      <c r="QZ309" s="144"/>
      <c r="RA309" s="144"/>
      <c r="RB309" s="144"/>
      <c r="RC309" s="144"/>
      <c r="RD309" s="144"/>
      <c r="RE309" s="144"/>
      <c r="RF309" s="144"/>
      <c r="RG309" s="144"/>
      <c r="RH309" s="144"/>
      <c r="RI309" s="144"/>
      <c r="RJ309" s="144"/>
      <c r="RK309" s="144"/>
      <c r="RL309" s="144"/>
      <c r="TR309" s="144"/>
      <c r="TS309" s="144"/>
      <c r="TT309" s="144"/>
      <c r="TU309" s="144"/>
      <c r="TV309" s="144"/>
      <c r="TW309" s="144"/>
      <c r="TX309" s="144"/>
      <c r="TY309" s="144"/>
      <c r="TZ309" s="144"/>
      <c r="UA309" s="144"/>
      <c r="UB309" s="144"/>
      <c r="UC309" s="144"/>
      <c r="UD309" s="144"/>
      <c r="UE309" s="144"/>
      <c r="UF309" s="144"/>
      <c r="UG309" s="144"/>
      <c r="UH309" s="144"/>
      <c r="UI309" s="144"/>
      <c r="UJ309" s="144"/>
      <c r="UK309" s="144"/>
      <c r="UL309" s="144"/>
      <c r="UM309" s="144"/>
      <c r="UN309" s="144"/>
      <c r="UO309" s="144"/>
      <c r="UP309" s="144"/>
      <c r="UQ309" s="144"/>
      <c r="UR309" s="144"/>
      <c r="US309" s="144"/>
      <c r="XO309" s="825"/>
      <c r="XP309" s="665" t="s">
        <v>442</v>
      </c>
      <c r="XQ309" s="666"/>
      <c r="XR309" s="456"/>
      <c r="XS309" s="457" t="s">
        <v>1189</v>
      </c>
      <c r="XT309" s="677">
        <f>$CL$52</f>
        <v>32.488628979857047</v>
      </c>
      <c r="XU309" s="677"/>
      <c r="XV309" s="456"/>
      <c r="XW309" s="85" t="s">
        <v>467</v>
      </c>
      <c r="XX309" s="757" t="s">
        <v>461</v>
      </c>
      <c r="XY309" s="973"/>
      <c r="XZ309" s="774" t="s">
        <v>1531</v>
      </c>
      <c r="YA309" s="775"/>
      <c r="YB309" s="775"/>
      <c r="YC309" s="1126" t="s">
        <v>1532</v>
      </c>
      <c r="YD309" s="775"/>
      <c r="YE309" s="776"/>
      <c r="YF309" s="675" t="s">
        <v>731</v>
      </c>
      <c r="YG309" s="1094"/>
      <c r="YH309" s="769" t="s">
        <v>473</v>
      </c>
      <c r="YI309" s="769"/>
      <c r="YJ309" s="769"/>
      <c r="YK309" s="769"/>
      <c r="YL309" s="769"/>
      <c r="YM309" s="769" t="s">
        <v>462</v>
      </c>
      <c r="YN309" s="769"/>
      <c r="YO309" s="769"/>
      <c r="YP309" s="769"/>
      <c r="YQ309" s="769"/>
      <c r="YR309" s="769"/>
      <c r="YS309" s="769"/>
      <c r="ZC309" s="144"/>
      <c r="ZD309" s="144"/>
      <c r="ZE309" s="144"/>
      <c r="ZF309" s="144"/>
      <c r="ZG309" s="144"/>
      <c r="ZH309" s="144"/>
      <c r="ZI309" s="144"/>
      <c r="ZJ309" s="144"/>
      <c r="ZK309" s="144"/>
    </row>
    <row r="310" spans="260:687" ht="48" customHeight="1">
      <c r="QP310" s="144"/>
      <c r="QQ310" s="144"/>
      <c r="QR310" s="144"/>
      <c r="QS310" s="144"/>
      <c r="QT310" s="144"/>
      <c r="QU310" s="144"/>
      <c r="QV310" s="144"/>
      <c r="QW310" s="144"/>
      <c r="QX310" s="144"/>
      <c r="QY310" s="144"/>
      <c r="QZ310" s="144"/>
      <c r="RA310" s="144"/>
      <c r="RB310" s="144"/>
      <c r="RC310" s="144"/>
      <c r="RD310" s="144"/>
      <c r="RE310" s="144"/>
      <c r="RF310" s="144"/>
      <c r="RG310" s="144"/>
      <c r="RH310" s="144"/>
      <c r="RI310" s="144"/>
      <c r="RJ310" s="144"/>
      <c r="RK310" s="144"/>
      <c r="RL310" s="144"/>
      <c r="TR310" s="144"/>
      <c r="TS310" s="144"/>
      <c r="TT310" s="144"/>
      <c r="TU310" s="144"/>
      <c r="TV310" s="144"/>
      <c r="TW310" s="144"/>
      <c r="TX310" s="144"/>
      <c r="TY310" s="144"/>
      <c r="TZ310" s="144"/>
      <c r="UA310" s="144"/>
      <c r="UB310" s="144"/>
      <c r="UC310" s="144"/>
      <c r="UD310" s="144"/>
      <c r="UE310" s="144"/>
      <c r="UF310" s="144"/>
      <c r="UG310" s="144"/>
      <c r="UH310" s="144"/>
      <c r="UI310" s="144"/>
      <c r="UJ310" s="144"/>
      <c r="UK310" s="144"/>
      <c r="UL310" s="144"/>
      <c r="UM310" s="144"/>
      <c r="UN310" s="144"/>
      <c r="UO310" s="144"/>
      <c r="UP310" s="144"/>
      <c r="UQ310" s="144"/>
      <c r="UR310" s="144"/>
      <c r="US310" s="144"/>
      <c r="XO310" s="826"/>
      <c r="XP310" s="696" t="s">
        <v>1563</v>
      </c>
      <c r="XQ310" s="720"/>
      <c r="XR310" s="466" t="s">
        <v>1314</v>
      </c>
      <c r="XS310" s="469">
        <v>4.5</v>
      </c>
      <c r="XT310" s="939" t="s">
        <v>1545</v>
      </c>
      <c r="XU310" s="940"/>
      <c r="XV310" s="940"/>
      <c r="XW310" s="940"/>
      <c r="XX310" s="940"/>
      <c r="XY310" s="1003"/>
      <c r="XZ310" s="1087">
        <f>XS310*XT309</f>
        <v>146.1988304093567</v>
      </c>
      <c r="YA310" s="1088"/>
      <c r="YB310" s="1006"/>
      <c r="YC310" s="1087">
        <f>XS311*XT309</f>
        <v>243.66471734892787</v>
      </c>
      <c r="YD310" s="1088"/>
      <c r="YE310" s="1006"/>
      <c r="YF310" s="1127" t="s">
        <v>35</v>
      </c>
      <c r="YG310" s="896"/>
      <c r="YH310" s="1085"/>
      <c r="YI310" s="1092" t="s">
        <v>1533</v>
      </c>
      <c r="YJ310" s="1092"/>
      <c r="YK310" s="1092"/>
      <c r="YL310" s="1085"/>
      <c r="YM310" s="767"/>
      <c r="YN310" s="767"/>
      <c r="YO310" s="767"/>
      <c r="YP310" s="767"/>
      <c r="YQ310" s="767"/>
      <c r="YR310" s="767"/>
      <c r="YS310" s="767"/>
      <c r="ZC310" s="144"/>
      <c r="ZD310" s="144"/>
      <c r="ZE310" s="144"/>
      <c r="ZF310" s="144"/>
      <c r="ZG310" s="144"/>
      <c r="ZH310" s="144"/>
      <c r="ZI310" s="144"/>
      <c r="ZJ310" s="144"/>
      <c r="ZK310" s="144"/>
    </row>
    <row r="311" spans="260:687" ht="48" customHeight="1" thickBot="1">
      <c r="QP311" s="144"/>
      <c r="QQ311" s="144"/>
      <c r="QR311" s="144"/>
      <c r="QS311" s="144"/>
      <c r="QT311" s="144"/>
      <c r="QU311" s="144"/>
      <c r="QV311" s="144"/>
      <c r="QW311" s="144"/>
      <c r="QX311" s="144"/>
      <c r="QY311" s="144"/>
      <c r="QZ311" s="144"/>
      <c r="RA311" s="144"/>
      <c r="RB311" s="144"/>
      <c r="RC311" s="144"/>
      <c r="RD311" s="144"/>
      <c r="RE311" s="144"/>
      <c r="RF311" s="144"/>
      <c r="RG311" s="144"/>
      <c r="RH311" s="144"/>
      <c r="RI311" s="144"/>
      <c r="RJ311" s="144"/>
      <c r="RK311" s="144"/>
      <c r="RL311" s="144"/>
      <c r="TR311" s="144"/>
      <c r="TS311" s="144"/>
      <c r="TT311" s="144"/>
      <c r="TU311" s="144"/>
      <c r="TV311" s="144"/>
      <c r="TW311" s="144"/>
      <c r="TX311" s="144"/>
      <c r="TY311" s="144"/>
      <c r="TZ311" s="144"/>
      <c r="UA311" s="144"/>
      <c r="UB311" s="144"/>
      <c r="UC311" s="144"/>
      <c r="UD311" s="144"/>
      <c r="UE311" s="144"/>
      <c r="UF311" s="144"/>
      <c r="UG311" s="144"/>
      <c r="UH311" s="144"/>
      <c r="UI311" s="144"/>
      <c r="UJ311" s="144"/>
      <c r="UK311" s="144"/>
      <c r="UL311" s="144"/>
      <c r="UM311" s="144"/>
      <c r="UN311" s="144"/>
      <c r="UO311" s="144"/>
      <c r="UP311" s="144"/>
      <c r="UQ311" s="144"/>
      <c r="UR311" s="144"/>
      <c r="US311" s="144"/>
      <c r="XO311" s="827"/>
      <c r="XP311" s="709" t="s">
        <v>1563</v>
      </c>
      <c r="XQ311" s="709"/>
      <c r="XR311" s="468" t="s">
        <v>1313</v>
      </c>
      <c r="XS311" s="472">
        <v>7.5</v>
      </c>
      <c r="XT311" s="943"/>
      <c r="XU311" s="944"/>
      <c r="XV311" s="944"/>
      <c r="XW311" s="944"/>
      <c r="XX311" s="944"/>
      <c r="XY311" s="1004"/>
      <c r="XZ311" s="1089"/>
      <c r="YA311" s="707"/>
      <c r="YB311" s="708"/>
      <c r="YC311" s="1089"/>
      <c r="YD311" s="707"/>
      <c r="YE311" s="708"/>
      <c r="YF311" s="1128"/>
      <c r="YG311" s="898"/>
      <c r="YH311" s="1086"/>
      <c r="YI311" s="1093"/>
      <c r="YJ311" s="1093"/>
      <c r="YK311" s="1093"/>
      <c r="YL311" s="1086"/>
      <c r="YM311" s="768"/>
      <c r="YN311" s="768"/>
      <c r="YO311" s="768"/>
      <c r="YP311" s="768"/>
      <c r="YQ311" s="768"/>
      <c r="YR311" s="768"/>
      <c r="YS311" s="768"/>
    </row>
    <row r="312" spans="260:687" ht="48" customHeight="1">
      <c r="IZ312" s="144"/>
      <c r="JA312" s="144"/>
      <c r="JB312" s="144"/>
      <c r="JC312" s="144"/>
      <c r="JD312" s="144"/>
      <c r="QP312" s="144"/>
      <c r="QQ312" s="144"/>
      <c r="QR312" s="144"/>
      <c r="QS312" s="144"/>
      <c r="QT312" s="144"/>
      <c r="QU312" s="144"/>
      <c r="QV312" s="144"/>
      <c r="QW312" s="144"/>
      <c r="QX312" s="144"/>
      <c r="QY312" s="144"/>
      <c r="QZ312" s="144"/>
      <c r="RA312" s="144"/>
      <c r="RB312" s="144"/>
      <c r="RC312" s="144"/>
      <c r="RD312" s="144"/>
      <c r="RE312" s="144"/>
      <c r="RF312" s="144"/>
      <c r="RG312" s="144"/>
      <c r="RH312" s="144"/>
      <c r="RI312" s="144"/>
      <c r="RJ312" s="144"/>
      <c r="RK312" s="144"/>
      <c r="RL312" s="144"/>
      <c r="TR312" s="144"/>
      <c r="TS312" s="144"/>
      <c r="TT312" s="144"/>
      <c r="TU312" s="144"/>
      <c r="TV312" s="144"/>
      <c r="TW312" s="144"/>
      <c r="TX312" s="144"/>
      <c r="TY312" s="144"/>
      <c r="TZ312" s="144"/>
      <c r="UA312" s="144"/>
      <c r="UB312" s="144"/>
      <c r="UC312" s="144"/>
      <c r="UD312" s="144"/>
      <c r="UE312" s="144"/>
      <c r="UF312" s="144"/>
      <c r="UG312" s="144"/>
      <c r="UH312" s="144"/>
      <c r="UI312" s="144"/>
      <c r="UJ312" s="144"/>
      <c r="UK312" s="144"/>
      <c r="UL312" s="144"/>
      <c r="UM312" s="144"/>
      <c r="UN312" s="144"/>
      <c r="UO312" s="144"/>
      <c r="UP312" s="144"/>
      <c r="UQ312" s="144"/>
      <c r="UR312" s="144"/>
      <c r="US312" s="144"/>
      <c r="XZ312" s="144"/>
      <c r="YA312" s="144"/>
      <c r="YB312" s="144"/>
      <c r="YC312" s="144"/>
      <c r="YD312" s="144"/>
      <c r="YE312" s="144"/>
      <c r="YF312" s="144"/>
      <c r="YG312" s="144"/>
      <c r="YH312" s="144"/>
      <c r="YI312" s="144"/>
      <c r="YJ312" s="144"/>
      <c r="YK312" s="144"/>
      <c r="YL312" s="144"/>
      <c r="YM312" s="144"/>
      <c r="YN312" s="144"/>
      <c r="YO312" s="144"/>
      <c r="YP312" s="144"/>
      <c r="YQ312" s="144"/>
      <c r="YR312" s="144"/>
      <c r="YS312" s="144"/>
    </row>
    <row r="313" spans="260:687" ht="48" customHeight="1" thickBot="1">
      <c r="IZ313" s="144"/>
      <c r="JA313" s="144"/>
      <c r="JB313" s="144"/>
      <c r="JC313" s="144"/>
      <c r="JD313" s="144"/>
      <c r="QP313" s="144"/>
      <c r="QQ313" s="144"/>
      <c r="QR313" s="144"/>
      <c r="QS313" s="144"/>
      <c r="QT313" s="144"/>
      <c r="QU313" s="144"/>
      <c r="QV313" s="144"/>
      <c r="QW313" s="144"/>
      <c r="QX313" s="144"/>
      <c r="QY313" s="144"/>
      <c r="QZ313" s="144"/>
      <c r="RA313" s="144"/>
      <c r="RB313" s="144"/>
      <c r="RC313" s="144"/>
      <c r="RD313" s="144"/>
      <c r="RE313" s="144"/>
      <c r="RF313" s="144"/>
      <c r="RG313" s="144"/>
      <c r="RH313" s="144"/>
      <c r="RI313" s="144"/>
      <c r="RJ313" s="144"/>
      <c r="RK313" s="144"/>
      <c r="RL313" s="144"/>
      <c r="TR313" s="144"/>
      <c r="TS313" s="144"/>
      <c r="TT313" s="144"/>
      <c r="TU313" s="144"/>
      <c r="TV313" s="144"/>
      <c r="TW313" s="144"/>
      <c r="TX313" s="144"/>
      <c r="TY313" s="144"/>
      <c r="TZ313" s="144"/>
      <c r="UA313" s="144"/>
      <c r="UB313" s="144"/>
      <c r="UC313" s="144"/>
      <c r="UD313" s="144"/>
      <c r="UE313" s="144"/>
      <c r="UF313" s="144"/>
      <c r="UG313" s="144"/>
      <c r="UH313" s="144"/>
      <c r="UI313" s="144"/>
      <c r="UJ313" s="144"/>
      <c r="UK313" s="144"/>
      <c r="UL313" s="144"/>
      <c r="UM313" s="144"/>
      <c r="UN313" s="144"/>
      <c r="UO313" s="144"/>
      <c r="UP313" s="144"/>
      <c r="UQ313" s="144"/>
      <c r="UR313" s="144"/>
      <c r="US313" s="144"/>
      <c r="XO313" s="825"/>
      <c r="XP313" s="665" t="s">
        <v>442</v>
      </c>
      <c r="XQ313" s="666"/>
      <c r="XR313" s="456"/>
      <c r="XS313" s="863" t="s">
        <v>1574</v>
      </c>
      <c r="XT313" s="863"/>
      <c r="XU313" s="948">
        <f>YC305</f>
        <v>100.62815136980396</v>
      </c>
      <c r="XV313" s="965"/>
      <c r="XW313" s="459"/>
      <c r="XX313" s="85" t="s">
        <v>467</v>
      </c>
      <c r="XY313" s="757" t="s">
        <v>461</v>
      </c>
      <c r="XZ313" s="973"/>
      <c r="YA313" s="774" t="s">
        <v>1531</v>
      </c>
      <c r="YB313" s="775"/>
      <c r="YC313" s="775"/>
      <c r="YD313" s="1126" t="s">
        <v>1532</v>
      </c>
      <c r="YE313" s="775"/>
      <c r="YF313" s="776"/>
      <c r="YG313" s="675" t="s">
        <v>731</v>
      </c>
      <c r="YH313" s="1094"/>
      <c r="YI313" s="769" t="s">
        <v>473</v>
      </c>
      <c r="YJ313" s="769"/>
      <c r="YK313" s="769"/>
      <c r="YL313" s="769"/>
      <c r="YM313" s="769"/>
      <c r="YN313" s="769" t="s">
        <v>462</v>
      </c>
      <c r="YO313" s="769"/>
      <c r="YP313" s="769"/>
      <c r="YQ313" s="769"/>
      <c r="YR313" s="769"/>
      <c r="YS313" s="769"/>
      <c r="YT313" s="769"/>
    </row>
    <row r="314" spans="260:687" ht="48" customHeight="1">
      <c r="IZ314" s="144"/>
      <c r="JA314" s="144"/>
      <c r="JB314" s="144"/>
      <c r="JC314" s="144"/>
      <c r="JD314" s="144"/>
      <c r="QP314" s="144"/>
      <c r="QQ314" s="144"/>
      <c r="QR314" s="144"/>
      <c r="QS314" s="144"/>
      <c r="QT314" s="144"/>
      <c r="QU314" s="144"/>
      <c r="QV314" s="144"/>
      <c r="QW314" s="144"/>
      <c r="QX314" s="144"/>
      <c r="QY314" s="144"/>
      <c r="QZ314" s="144"/>
      <c r="RA314" s="144"/>
      <c r="RB314" s="144"/>
      <c r="RC314" s="144"/>
      <c r="RD314" s="144"/>
      <c r="RE314" s="144"/>
      <c r="RF314" s="144"/>
      <c r="RG314" s="144"/>
      <c r="RH314" s="144"/>
      <c r="RI314" s="144"/>
      <c r="RJ314" s="144"/>
      <c r="RK314" s="144"/>
      <c r="RL314" s="144"/>
      <c r="TR314" s="144"/>
      <c r="TS314" s="144"/>
      <c r="TT314" s="144"/>
      <c r="TU314" s="144"/>
      <c r="TV314" s="144"/>
      <c r="TW314" s="144"/>
      <c r="TX314" s="144"/>
      <c r="TY314" s="144"/>
      <c r="TZ314" s="144"/>
      <c r="UA314" s="144"/>
      <c r="UB314" s="144"/>
      <c r="UC314" s="144"/>
      <c r="UD314" s="144"/>
      <c r="UE314" s="144"/>
      <c r="UF314" s="144"/>
      <c r="UG314" s="144"/>
      <c r="UH314" s="144"/>
      <c r="UI314" s="144"/>
      <c r="UJ314" s="144"/>
      <c r="UK314" s="144"/>
      <c r="UL314" s="144"/>
      <c r="UM314" s="144"/>
      <c r="UN314" s="144"/>
      <c r="UO314" s="144"/>
      <c r="UP314" s="144"/>
      <c r="UQ314" s="144"/>
      <c r="UR314" s="144"/>
      <c r="US314" s="144"/>
      <c r="XO314" s="826"/>
      <c r="XP314" s="863" t="s">
        <v>1573</v>
      </c>
      <c r="XQ314" s="863"/>
      <c r="XR314" s="464" t="s">
        <v>1314</v>
      </c>
      <c r="XS314" s="461">
        <v>1.2</v>
      </c>
      <c r="XT314" s="939" t="s">
        <v>1572</v>
      </c>
      <c r="XU314" s="940"/>
      <c r="XV314" s="940"/>
      <c r="XW314" s="940"/>
      <c r="XX314" s="940"/>
      <c r="XY314" s="940"/>
      <c r="XZ314" s="940"/>
      <c r="YA314" s="1087">
        <f>XU313*XS314</f>
        <v>120.75378164376474</v>
      </c>
      <c r="YB314" s="1088"/>
      <c r="YC314" s="1006"/>
      <c r="YD314" s="1087">
        <f>XU313*XS315</f>
        <v>221.38193301356873</v>
      </c>
      <c r="YE314" s="1088"/>
      <c r="YF314" s="1006"/>
      <c r="YG314" s="1090" t="s">
        <v>1814</v>
      </c>
      <c r="YH314" s="1008"/>
      <c r="YI314" s="978"/>
      <c r="YJ314" s="1092" t="s">
        <v>1534</v>
      </c>
      <c r="YK314" s="1092"/>
      <c r="YL314" s="1092"/>
      <c r="YM314" s="1085"/>
      <c r="YN314" s="767"/>
      <c r="YO314" s="767"/>
      <c r="YP314" s="767"/>
      <c r="YQ314" s="767"/>
      <c r="YR314" s="767"/>
      <c r="YS314" s="767"/>
      <c r="YT314" s="767"/>
    </row>
    <row r="315" spans="260:687" ht="48" customHeight="1" thickBot="1">
      <c r="IZ315" s="144"/>
      <c r="JA315" s="144"/>
      <c r="JB315" s="144"/>
      <c r="JC315" s="144"/>
      <c r="JD315" s="144"/>
      <c r="QP315" s="144"/>
      <c r="QQ315" s="144"/>
      <c r="QR315" s="144"/>
      <c r="QS315" s="144"/>
      <c r="QT315" s="144"/>
      <c r="QU315" s="144"/>
      <c r="QV315" s="144"/>
      <c r="QW315" s="144"/>
      <c r="QX315" s="144"/>
      <c r="QY315" s="144"/>
      <c r="QZ315" s="144"/>
      <c r="RA315" s="144"/>
      <c r="RB315" s="144"/>
      <c r="RC315" s="144"/>
      <c r="RD315" s="144"/>
      <c r="RE315" s="144"/>
      <c r="RF315" s="144"/>
      <c r="RG315" s="144"/>
      <c r="RH315" s="144"/>
      <c r="RI315" s="144"/>
      <c r="RJ315" s="144"/>
      <c r="RK315" s="144"/>
      <c r="RL315" s="144"/>
      <c r="TR315" s="144"/>
      <c r="TS315" s="144"/>
      <c r="TT315" s="144"/>
      <c r="TU315" s="144"/>
      <c r="TV315" s="144"/>
      <c r="TW315" s="144"/>
      <c r="TX315" s="144"/>
      <c r="TY315" s="144"/>
      <c r="TZ315" s="144"/>
      <c r="UA315" s="144"/>
      <c r="UB315" s="144"/>
      <c r="UC315" s="144"/>
      <c r="UD315" s="144"/>
      <c r="UE315" s="144"/>
      <c r="UF315" s="144"/>
      <c r="UG315" s="144"/>
      <c r="UH315" s="144"/>
      <c r="UI315" s="144"/>
      <c r="UJ315" s="144"/>
      <c r="UK315" s="144"/>
      <c r="UL315" s="144"/>
      <c r="UM315" s="144"/>
      <c r="UN315" s="144"/>
      <c r="UO315" s="144"/>
      <c r="UP315" s="144"/>
      <c r="UQ315" s="144"/>
      <c r="UR315" s="144"/>
      <c r="US315" s="144"/>
      <c r="XO315" s="827"/>
      <c r="XP315" s="709" t="s">
        <v>1573</v>
      </c>
      <c r="XQ315" s="709"/>
      <c r="XR315" s="468" t="s">
        <v>1313</v>
      </c>
      <c r="XS315" s="462">
        <v>2.2000000000000002</v>
      </c>
      <c r="XT315" s="943"/>
      <c r="XU315" s="944"/>
      <c r="XV315" s="944"/>
      <c r="XW315" s="944"/>
      <c r="XX315" s="944"/>
      <c r="XY315" s="944"/>
      <c r="XZ315" s="944"/>
      <c r="YA315" s="1089"/>
      <c r="YB315" s="707"/>
      <c r="YC315" s="708"/>
      <c r="YD315" s="1089"/>
      <c r="YE315" s="707"/>
      <c r="YF315" s="708"/>
      <c r="YG315" s="1091"/>
      <c r="YH315" s="1010"/>
      <c r="YI315" s="979"/>
      <c r="YJ315" s="1093"/>
      <c r="YK315" s="1093"/>
      <c r="YL315" s="1093"/>
      <c r="YM315" s="1086"/>
      <c r="YN315" s="768"/>
      <c r="YO315" s="768"/>
      <c r="YP315" s="768"/>
      <c r="YQ315" s="768"/>
      <c r="YR315" s="768"/>
      <c r="YS315" s="768"/>
      <c r="YT315" s="768"/>
    </row>
    <row r="316" spans="260:687" ht="48" customHeight="1">
      <c r="IZ316" s="144"/>
      <c r="JA316" s="144"/>
      <c r="JB316" s="144"/>
      <c r="JC316" s="144"/>
      <c r="JD316" s="144"/>
      <c r="QP316" s="144"/>
      <c r="QQ316" s="144"/>
      <c r="QR316" s="144"/>
      <c r="QS316" s="144"/>
      <c r="QT316" s="144"/>
      <c r="QU316" s="144"/>
      <c r="QV316" s="144"/>
      <c r="QW316" s="144"/>
      <c r="QX316" s="144"/>
      <c r="QY316" s="144"/>
      <c r="QZ316" s="144"/>
      <c r="RA316" s="144"/>
      <c r="RB316" s="144"/>
      <c r="RC316" s="144"/>
      <c r="RD316" s="144"/>
      <c r="RE316" s="144"/>
      <c r="RF316" s="144"/>
      <c r="RG316" s="144"/>
      <c r="RH316" s="144"/>
      <c r="RI316" s="144"/>
      <c r="RJ316" s="144"/>
      <c r="RK316" s="144"/>
      <c r="RL316" s="144"/>
      <c r="TR316" s="144"/>
      <c r="TS316" s="144"/>
      <c r="TT316" s="144"/>
      <c r="TU316" s="144"/>
      <c r="TV316" s="144"/>
      <c r="TW316" s="144"/>
      <c r="TX316" s="144"/>
      <c r="TY316" s="144"/>
      <c r="TZ316" s="144"/>
      <c r="UA316" s="144"/>
      <c r="UB316" s="144"/>
      <c r="UC316" s="144"/>
      <c r="UD316" s="144"/>
      <c r="UE316" s="144"/>
      <c r="UF316" s="144"/>
      <c r="UG316" s="144"/>
      <c r="UH316" s="144"/>
      <c r="UI316" s="144"/>
      <c r="UJ316" s="144"/>
      <c r="UK316" s="144"/>
      <c r="UL316" s="144"/>
      <c r="UM316" s="144"/>
      <c r="UN316" s="144"/>
      <c r="UO316" s="144"/>
      <c r="UP316" s="144"/>
      <c r="UQ316" s="144"/>
      <c r="UR316" s="144"/>
      <c r="US316" s="144"/>
    </row>
    <row r="317" spans="260:687" ht="48" customHeight="1">
      <c r="IZ317" s="144"/>
      <c r="JA317" s="144"/>
      <c r="JB317" s="144"/>
      <c r="JC317" s="144"/>
      <c r="JD317" s="144"/>
      <c r="QP317" s="144"/>
      <c r="QQ317" s="144"/>
      <c r="QR317" s="144"/>
      <c r="QS317" s="144"/>
      <c r="QT317" s="144"/>
      <c r="QU317" s="144"/>
      <c r="QV317" s="144"/>
      <c r="QW317" s="144"/>
      <c r="QX317" s="144"/>
      <c r="QY317" s="144"/>
      <c r="QZ317" s="144"/>
      <c r="RA317" s="144"/>
      <c r="RB317" s="144"/>
      <c r="RC317" s="144"/>
      <c r="RD317" s="144"/>
      <c r="RE317" s="144"/>
      <c r="RF317" s="144"/>
      <c r="RG317" s="144"/>
      <c r="RH317" s="144"/>
      <c r="RI317" s="144"/>
      <c r="RJ317" s="144"/>
      <c r="RK317" s="144"/>
      <c r="RL317" s="144"/>
      <c r="TR317" s="144"/>
      <c r="TS317" s="144"/>
      <c r="TT317" s="144"/>
      <c r="TU317" s="144"/>
      <c r="TV317" s="144"/>
      <c r="TW317" s="144"/>
      <c r="TX317" s="144"/>
      <c r="TY317" s="144"/>
      <c r="TZ317" s="144"/>
      <c r="UA317" s="144"/>
      <c r="UB317" s="144"/>
      <c r="UC317" s="144"/>
      <c r="UD317" s="144"/>
      <c r="UE317" s="144"/>
      <c r="UF317" s="144"/>
      <c r="UG317" s="144"/>
      <c r="UH317" s="144"/>
      <c r="UI317" s="144"/>
      <c r="UJ317" s="144"/>
      <c r="UK317" s="144"/>
      <c r="UL317" s="144"/>
      <c r="UM317" s="144"/>
      <c r="UN317" s="144"/>
      <c r="UO317" s="144"/>
      <c r="UP317" s="144"/>
      <c r="UQ317" s="144"/>
      <c r="UR317" s="144"/>
      <c r="US317" s="144"/>
      <c r="XQ317" s="767"/>
      <c r="XR317" s="695" t="s">
        <v>947</v>
      </c>
      <c r="XS317" s="695"/>
      <c r="XT317" s="767"/>
      <c r="XU317" s="727" t="s">
        <v>1153</v>
      </c>
      <c r="XV317" s="727"/>
      <c r="XW317" s="727"/>
      <c r="XX317" s="727"/>
      <c r="XY317" s="727"/>
      <c r="XZ317" s="727"/>
      <c r="YA317" s="727"/>
      <c r="YB317" s="727"/>
      <c r="YC317" s="727"/>
      <c r="YD317" s="727"/>
      <c r="YE317" s="727"/>
      <c r="YF317" s="767"/>
      <c r="YM317" s="144"/>
      <c r="YN317" s="144"/>
      <c r="YO317" s="144"/>
      <c r="YP317" s="144"/>
      <c r="YQ317" s="144"/>
      <c r="YR317" s="144"/>
      <c r="YS317" s="144"/>
      <c r="YT317" s="144"/>
    </row>
    <row r="318" spans="260:687" ht="48" customHeight="1">
      <c r="IZ318" s="144"/>
      <c r="JA318" s="144"/>
      <c r="JB318" s="144"/>
      <c r="JC318" s="144"/>
      <c r="JD318" s="144"/>
      <c r="QP318" s="144"/>
      <c r="QQ318" s="144"/>
      <c r="QR318" s="144"/>
      <c r="QS318" s="144"/>
      <c r="QT318" s="144"/>
      <c r="QU318" s="144"/>
      <c r="QV318" s="144"/>
      <c r="QW318" s="144"/>
      <c r="QX318" s="144"/>
      <c r="QY318" s="144"/>
      <c r="QZ318" s="144"/>
      <c r="RA318" s="144"/>
      <c r="RB318" s="144"/>
      <c r="RC318" s="144"/>
      <c r="RD318" s="144"/>
      <c r="RE318" s="144"/>
      <c r="RF318" s="144"/>
      <c r="RG318" s="144"/>
      <c r="RH318" s="144"/>
      <c r="RI318" s="144"/>
      <c r="RJ318" s="144"/>
      <c r="RK318" s="144"/>
      <c r="RL318" s="144"/>
      <c r="TR318" s="144"/>
      <c r="TS318" s="144"/>
      <c r="TT318" s="144"/>
      <c r="TU318" s="144"/>
      <c r="TV318" s="144"/>
      <c r="TW318" s="144"/>
      <c r="TX318" s="144"/>
      <c r="TY318" s="144"/>
      <c r="TZ318" s="144"/>
      <c r="UA318" s="144"/>
      <c r="UB318" s="144"/>
      <c r="UC318" s="144"/>
      <c r="UD318" s="144"/>
      <c r="UE318" s="144"/>
      <c r="UF318" s="144"/>
      <c r="UG318" s="144"/>
      <c r="UH318" s="144"/>
      <c r="UI318" s="144"/>
      <c r="UJ318" s="144"/>
      <c r="UK318" s="144"/>
      <c r="UL318" s="144"/>
      <c r="UM318" s="144"/>
      <c r="UN318" s="144"/>
      <c r="UO318" s="144"/>
      <c r="UP318" s="144"/>
      <c r="UQ318" s="144"/>
      <c r="UR318" s="144"/>
      <c r="US318" s="144"/>
      <c r="XQ318" s="767"/>
      <c r="XR318" s="695"/>
      <c r="XS318" s="695"/>
      <c r="XT318" s="767"/>
      <c r="XU318" s="727"/>
      <c r="XV318" s="727"/>
      <c r="XW318" s="727"/>
      <c r="XX318" s="727"/>
      <c r="XY318" s="727"/>
      <c r="XZ318" s="727"/>
      <c r="YA318" s="727"/>
      <c r="YB318" s="727"/>
      <c r="YC318" s="727"/>
      <c r="YD318" s="727"/>
      <c r="YE318" s="727"/>
      <c r="YF318" s="767"/>
      <c r="YM318" s="144"/>
      <c r="YN318" s="144"/>
      <c r="YO318" s="144"/>
      <c r="YP318" s="144"/>
      <c r="YQ318" s="144"/>
      <c r="YR318" s="144"/>
      <c r="YS318" s="144"/>
      <c r="YT318" s="144"/>
    </row>
    <row r="319" spans="260:687" ht="48" customHeight="1">
      <c r="QP319" s="144"/>
      <c r="QQ319" s="144"/>
      <c r="QR319" s="144"/>
      <c r="QS319" s="144"/>
      <c r="QT319" s="144"/>
      <c r="QU319" s="144"/>
      <c r="QV319" s="144"/>
      <c r="QW319" s="144"/>
      <c r="QX319" s="144"/>
      <c r="QY319" s="144"/>
      <c r="QZ319" s="144"/>
      <c r="RA319" s="144"/>
      <c r="RB319" s="144"/>
      <c r="RC319" s="144"/>
      <c r="RD319" s="144"/>
      <c r="RE319" s="144"/>
      <c r="RF319" s="144"/>
      <c r="RG319" s="144"/>
      <c r="RH319" s="144"/>
      <c r="RI319" s="144"/>
      <c r="RJ319" s="144"/>
      <c r="RK319" s="144"/>
      <c r="RL319" s="144"/>
      <c r="TR319" s="144"/>
      <c r="TS319" s="144"/>
      <c r="TT319" s="144"/>
      <c r="TU319" s="144"/>
      <c r="TV319" s="144"/>
      <c r="TW319" s="144"/>
      <c r="TX319" s="144"/>
      <c r="TY319" s="144"/>
      <c r="TZ319" s="144"/>
      <c r="UA319" s="144"/>
      <c r="UB319" s="144"/>
      <c r="UC319" s="144"/>
      <c r="UD319" s="144"/>
      <c r="UE319" s="144"/>
      <c r="UF319" s="144"/>
      <c r="UG319" s="144"/>
      <c r="UH319" s="144"/>
      <c r="UI319" s="144"/>
      <c r="UJ319" s="144"/>
      <c r="UK319" s="144"/>
      <c r="UL319" s="144"/>
      <c r="UM319" s="144"/>
      <c r="UN319" s="144"/>
      <c r="UO319" s="144"/>
      <c r="UP319" s="144"/>
      <c r="UQ319" s="144"/>
      <c r="UR319" s="144"/>
      <c r="US319" s="144"/>
      <c r="XO319" s="144"/>
      <c r="XP319" s="144"/>
      <c r="XQ319" s="144"/>
      <c r="XR319" s="144"/>
      <c r="XS319" s="144"/>
      <c r="XT319" s="144"/>
      <c r="XU319" s="144"/>
      <c r="XV319" s="144"/>
      <c r="XW319" s="144"/>
      <c r="XX319" s="144"/>
      <c r="XY319" s="144"/>
      <c r="XZ319" s="144"/>
      <c r="YA319" s="144"/>
      <c r="YB319" s="144"/>
      <c r="YC319" s="144"/>
      <c r="YD319" s="144"/>
      <c r="YE319" s="144"/>
      <c r="YF319" s="144"/>
      <c r="YG319" s="144"/>
      <c r="YH319" s="144"/>
      <c r="YI319" s="144"/>
      <c r="YJ319" s="144"/>
      <c r="YK319" s="144"/>
      <c r="YL319" s="144"/>
      <c r="YM319" s="144"/>
      <c r="YN319" s="144"/>
      <c r="YO319" s="144"/>
      <c r="YP319" s="144"/>
      <c r="YQ319" s="144"/>
      <c r="YR319" s="144"/>
      <c r="YS319" s="144"/>
      <c r="YT319" s="144"/>
    </row>
    <row r="320" spans="260:687" ht="48" customHeight="1" thickBot="1">
      <c r="QP320" s="144"/>
      <c r="QQ320" s="144"/>
      <c r="QR320" s="144"/>
      <c r="QS320" s="144"/>
      <c r="QT320" s="144"/>
      <c r="QU320" s="144"/>
      <c r="QV320" s="144"/>
      <c r="QW320" s="144"/>
      <c r="QX320" s="144"/>
      <c r="QY320" s="144"/>
      <c r="QZ320" s="144"/>
      <c r="RA320" s="144"/>
      <c r="RB320" s="144"/>
      <c r="RC320" s="144"/>
      <c r="RD320" s="144"/>
      <c r="RE320" s="144"/>
      <c r="RF320" s="144"/>
      <c r="RG320" s="144"/>
      <c r="RH320" s="144"/>
      <c r="RI320" s="144"/>
      <c r="RJ320" s="144"/>
      <c r="RK320" s="144"/>
      <c r="RL320" s="144"/>
      <c r="TR320" s="144"/>
      <c r="TS320" s="144"/>
      <c r="TT320" s="144"/>
      <c r="TU320" s="144"/>
      <c r="TV320" s="144"/>
      <c r="TW320" s="144"/>
      <c r="TX320" s="144"/>
      <c r="TY320" s="144"/>
      <c r="TZ320" s="144"/>
      <c r="UA320" s="144"/>
      <c r="UB320" s="144"/>
      <c r="UC320" s="144"/>
      <c r="UD320" s="144"/>
      <c r="UE320" s="144"/>
      <c r="UF320" s="144"/>
      <c r="UG320" s="144"/>
      <c r="UH320" s="144"/>
      <c r="UI320" s="144"/>
      <c r="UJ320" s="144"/>
      <c r="UK320" s="144"/>
      <c r="UL320" s="144"/>
      <c r="UM320" s="144"/>
      <c r="UN320" s="144"/>
      <c r="UO320" s="144"/>
      <c r="UP320" s="144"/>
      <c r="UQ320" s="144"/>
      <c r="UR320" s="144"/>
      <c r="US320" s="144"/>
      <c r="XO320" s="825"/>
      <c r="XP320" s="665" t="s">
        <v>442</v>
      </c>
      <c r="XQ320" s="666"/>
      <c r="XR320" s="456"/>
      <c r="XS320" s="87"/>
      <c r="XT320" s="87"/>
      <c r="XU320" s="87"/>
      <c r="XV320" s="87"/>
      <c r="XW320" s="87"/>
      <c r="XX320" s="87"/>
      <c r="XY320" s="456"/>
      <c r="XZ320" s="85" t="s">
        <v>467</v>
      </c>
      <c r="YA320" s="757" t="s">
        <v>461</v>
      </c>
      <c r="YB320" s="899"/>
      <c r="YC320" s="819" t="s">
        <v>126</v>
      </c>
      <c r="YD320" s="820"/>
      <c r="YE320" s="675" t="s">
        <v>731</v>
      </c>
      <c r="YF320" s="676"/>
      <c r="YG320" s="821" t="s">
        <v>473</v>
      </c>
      <c r="YH320" s="822"/>
      <c r="YI320" s="822"/>
      <c r="YJ320" s="823"/>
      <c r="YK320" s="821" t="s">
        <v>462</v>
      </c>
      <c r="YL320" s="822"/>
      <c r="YM320" s="822"/>
      <c r="YN320" s="822"/>
      <c r="YO320" s="822"/>
      <c r="YP320" s="822"/>
      <c r="YQ320" s="822"/>
      <c r="YR320" s="823"/>
    </row>
    <row r="321" spans="458:668" ht="48" customHeight="1">
      <c r="QP321" s="144"/>
      <c r="QQ321" s="144"/>
      <c r="QR321" s="144"/>
      <c r="QS321" s="144"/>
      <c r="QT321" s="144"/>
      <c r="QU321" s="144"/>
      <c r="QV321" s="144"/>
      <c r="QW321" s="144"/>
      <c r="QX321" s="144"/>
      <c r="QY321" s="144"/>
      <c r="QZ321" s="144"/>
      <c r="RA321" s="144"/>
      <c r="RB321" s="144"/>
      <c r="RC321" s="144"/>
      <c r="RD321" s="144"/>
      <c r="RE321" s="144"/>
      <c r="RF321" s="144"/>
      <c r="RG321" s="144"/>
      <c r="RH321" s="144"/>
      <c r="RI321" s="144"/>
      <c r="RJ321" s="144"/>
      <c r="RK321" s="144"/>
      <c r="RL321" s="144"/>
      <c r="TR321" s="144"/>
      <c r="TS321" s="144"/>
      <c r="TT321" s="144"/>
      <c r="TU321" s="144"/>
      <c r="TV321" s="144"/>
      <c r="TW321" s="144"/>
      <c r="TX321" s="144"/>
      <c r="TY321" s="144"/>
      <c r="TZ321" s="144"/>
      <c r="UA321" s="144"/>
      <c r="UB321" s="144"/>
      <c r="UC321" s="144"/>
      <c r="UD321" s="144"/>
      <c r="UE321" s="144"/>
      <c r="UF321" s="144"/>
      <c r="UG321" s="144"/>
      <c r="UH321" s="144"/>
      <c r="UI321" s="144"/>
      <c r="UJ321" s="144"/>
      <c r="UK321" s="144"/>
      <c r="UL321" s="144"/>
      <c r="UM321" s="144"/>
      <c r="UN321" s="144"/>
      <c r="UO321" s="144"/>
      <c r="UP321" s="144"/>
      <c r="UQ321" s="144"/>
      <c r="UR321" s="144"/>
      <c r="US321" s="144"/>
      <c r="XO321" s="826"/>
      <c r="XP321" s="700" t="s">
        <v>159</v>
      </c>
      <c r="XQ321" s="701"/>
      <c r="XR321" s="701"/>
      <c r="XS321" s="701"/>
      <c r="XT321" s="701"/>
      <c r="XU321" s="701"/>
      <c r="XV321" s="701"/>
      <c r="XW321" s="701"/>
      <c r="XX321" s="701"/>
      <c r="XY321" s="701"/>
      <c r="XZ321" s="701"/>
      <c r="YA321" s="701"/>
      <c r="YB321" s="702"/>
      <c r="YC321" s="763">
        <f>MN86/((YC218/YC269)+YC250)</f>
        <v>0.83480725189799121</v>
      </c>
      <c r="YD321" s="764"/>
      <c r="YE321" s="1005"/>
      <c r="YF321" s="1006"/>
      <c r="YG321" s="712"/>
      <c r="YH321" s="716" t="s">
        <v>1549</v>
      </c>
      <c r="YI321" s="717"/>
      <c r="YJ321" s="746"/>
      <c r="YK321" s="919"/>
      <c r="YL321" s="840"/>
      <c r="YM321" s="840"/>
      <c r="YN321" s="840"/>
      <c r="YO321" s="840"/>
      <c r="YP321" s="840"/>
      <c r="YQ321" s="840"/>
      <c r="YR321" s="920"/>
    </row>
    <row r="322" spans="458:668" ht="48" customHeight="1" thickBot="1">
      <c r="QP322" s="144"/>
      <c r="QQ322" s="144"/>
      <c r="QR322" s="144"/>
      <c r="QS322" s="144"/>
      <c r="QT322" s="144"/>
      <c r="QU322" s="144"/>
      <c r="QV322" s="144"/>
      <c r="QW322" s="144"/>
      <c r="QX322" s="144"/>
      <c r="QY322" s="144"/>
      <c r="QZ322" s="144"/>
      <c r="RA322" s="144"/>
      <c r="RB322" s="144"/>
      <c r="RC322" s="144"/>
      <c r="RD322" s="144"/>
      <c r="RE322" s="144"/>
      <c r="RF322" s="144"/>
      <c r="RG322" s="144"/>
      <c r="RH322" s="144"/>
      <c r="RI322" s="144"/>
      <c r="RJ322" s="144"/>
      <c r="RK322" s="144"/>
      <c r="RL322" s="144"/>
      <c r="TR322" s="144"/>
      <c r="TS322" s="144"/>
      <c r="TT322" s="144"/>
      <c r="TU322" s="144"/>
      <c r="TV322" s="144"/>
      <c r="TW322" s="144"/>
      <c r="TX322" s="144"/>
      <c r="TY322" s="144"/>
      <c r="TZ322" s="144"/>
      <c r="UA322" s="144"/>
      <c r="UB322" s="144"/>
      <c r="UC322" s="144"/>
      <c r="UD322" s="144"/>
      <c r="UE322" s="144"/>
      <c r="UF322" s="144"/>
      <c r="UG322" s="144"/>
      <c r="UH322" s="144"/>
      <c r="UI322" s="144"/>
      <c r="UJ322" s="144"/>
      <c r="UK322" s="144"/>
      <c r="UL322" s="144"/>
      <c r="UM322" s="144"/>
      <c r="UN322" s="144"/>
      <c r="UO322" s="144"/>
      <c r="UP322" s="144"/>
      <c r="UQ322" s="144"/>
      <c r="UR322" s="144"/>
      <c r="US322" s="144"/>
      <c r="XO322" s="826"/>
      <c r="XP322" s="703"/>
      <c r="XQ322" s="704"/>
      <c r="XR322" s="704"/>
      <c r="XS322" s="704"/>
      <c r="XT322" s="704"/>
      <c r="XU322" s="704"/>
      <c r="XV322" s="704"/>
      <c r="XW322" s="704"/>
      <c r="XX322" s="704"/>
      <c r="XY322" s="704"/>
      <c r="XZ322" s="704"/>
      <c r="YA322" s="704"/>
      <c r="YB322" s="705"/>
      <c r="YC322" s="765"/>
      <c r="YD322" s="766"/>
      <c r="YE322" s="706"/>
      <c r="YF322" s="708"/>
      <c r="YG322" s="713"/>
      <c r="YH322" s="718"/>
      <c r="YI322" s="719"/>
      <c r="YJ322" s="747"/>
      <c r="YK322" s="890"/>
      <c r="YL322" s="841"/>
      <c r="YM322" s="841"/>
      <c r="YN322" s="841"/>
      <c r="YO322" s="841"/>
      <c r="YP322" s="841"/>
      <c r="YQ322" s="841"/>
      <c r="YR322" s="891"/>
    </row>
    <row r="323" spans="458:668" ht="48" customHeight="1" thickBot="1">
      <c r="QP323" s="144"/>
      <c r="QQ323" s="144"/>
      <c r="QR323" s="144"/>
      <c r="QS323" s="144"/>
      <c r="QT323" s="144"/>
      <c r="QU323" s="144"/>
      <c r="QV323" s="144"/>
      <c r="QW323" s="144"/>
      <c r="QX323" s="144"/>
      <c r="QY323" s="144"/>
      <c r="QZ323" s="144"/>
      <c r="RA323" s="144"/>
      <c r="RB323" s="144"/>
      <c r="RC323" s="144"/>
      <c r="RD323" s="144"/>
      <c r="RE323" s="144"/>
      <c r="RF323" s="144"/>
      <c r="RG323" s="144"/>
      <c r="RH323" s="144"/>
      <c r="RI323" s="144"/>
      <c r="RJ323" s="144"/>
      <c r="RK323" s="144"/>
      <c r="RL323" s="144"/>
      <c r="TR323" s="144"/>
      <c r="TS323" s="144"/>
      <c r="TT323" s="144"/>
      <c r="TU323" s="144"/>
      <c r="TV323" s="144"/>
      <c r="TW323" s="144"/>
      <c r="TX323" s="144"/>
      <c r="TY323" s="144"/>
      <c r="TZ323" s="144"/>
      <c r="UA323" s="144"/>
      <c r="UB323" s="144"/>
      <c r="UC323" s="144"/>
      <c r="UD323" s="144"/>
      <c r="UE323" s="144"/>
      <c r="UF323" s="144"/>
      <c r="UG323" s="144"/>
      <c r="UH323" s="144"/>
      <c r="UI323" s="144"/>
      <c r="UJ323" s="144"/>
      <c r="UK323" s="144"/>
      <c r="UL323" s="144"/>
      <c r="UM323" s="144"/>
      <c r="UN323" s="144"/>
      <c r="UO323" s="144"/>
      <c r="UP323" s="144"/>
      <c r="UQ323" s="144"/>
      <c r="UR323" s="144"/>
      <c r="US323" s="144"/>
      <c r="XO323" s="827"/>
      <c r="XP323" s="706"/>
      <c r="XQ323" s="707"/>
      <c r="XR323" s="707"/>
      <c r="XS323" s="707"/>
      <c r="XT323" s="707"/>
      <c r="XU323" s="707"/>
      <c r="XV323" s="707"/>
      <c r="XW323" s="707"/>
      <c r="XX323" s="707"/>
      <c r="XY323" s="707"/>
      <c r="XZ323" s="707"/>
      <c r="YA323" s="707"/>
      <c r="YB323" s="708"/>
      <c r="YC323" s="1012"/>
      <c r="YD323" s="1013"/>
      <c r="YE323" s="1013"/>
      <c r="YF323" s="1013"/>
      <c r="YG323" s="1013"/>
      <c r="YH323" s="1013"/>
      <c r="YI323" s="1013"/>
      <c r="YJ323" s="1014"/>
      <c r="YK323" s="892"/>
      <c r="YL323" s="893"/>
      <c r="YM323" s="893"/>
      <c r="YN323" s="893"/>
      <c r="YO323" s="893"/>
      <c r="YP323" s="893"/>
      <c r="YQ323" s="893"/>
      <c r="YR323" s="894"/>
    </row>
    <row r="324" spans="458:668" ht="48" customHeight="1">
      <c r="QP324" s="144"/>
      <c r="QQ324" s="144"/>
      <c r="QR324" s="144"/>
      <c r="QS324" s="144"/>
      <c r="QT324" s="144"/>
      <c r="QU324" s="144"/>
      <c r="QV324" s="144"/>
      <c r="QW324" s="144"/>
      <c r="QX324" s="144"/>
      <c r="QY324" s="144"/>
      <c r="QZ324" s="144"/>
      <c r="RA324" s="144"/>
      <c r="RB324" s="144"/>
      <c r="RC324" s="144"/>
      <c r="RD324" s="144"/>
      <c r="RE324" s="144"/>
      <c r="RF324" s="144"/>
      <c r="RG324" s="144"/>
      <c r="RH324" s="144"/>
      <c r="RI324" s="144"/>
      <c r="RJ324" s="144"/>
      <c r="RK324" s="144"/>
      <c r="RL324" s="144"/>
      <c r="TR324" s="144"/>
      <c r="TS324" s="144"/>
      <c r="TT324" s="144"/>
      <c r="TU324" s="144"/>
      <c r="TV324" s="144"/>
      <c r="TW324" s="144"/>
      <c r="TX324" s="144"/>
      <c r="TY324" s="144"/>
      <c r="TZ324" s="144"/>
      <c r="UA324" s="144"/>
      <c r="UB324" s="144"/>
      <c r="UC324" s="144"/>
      <c r="UD324" s="144"/>
      <c r="UE324" s="144"/>
      <c r="UF324" s="144"/>
      <c r="UG324" s="144"/>
      <c r="UH324" s="144"/>
      <c r="UI324" s="144"/>
      <c r="UJ324" s="144"/>
      <c r="UK324" s="144"/>
      <c r="UL324" s="144"/>
      <c r="UM324" s="144"/>
      <c r="UN324" s="144"/>
      <c r="UO324" s="144"/>
      <c r="UP324" s="144"/>
      <c r="UQ324" s="144"/>
      <c r="UR324" s="144"/>
      <c r="US324" s="144"/>
    </row>
    <row r="325" spans="458:668" ht="48" customHeight="1">
      <c r="QP325" s="144"/>
      <c r="QQ325" s="144"/>
      <c r="QR325" s="144"/>
      <c r="QS325" s="144"/>
      <c r="QT325" s="144"/>
      <c r="QU325" s="144"/>
      <c r="QV325" s="144"/>
      <c r="QW325" s="144"/>
      <c r="QX325" s="144"/>
      <c r="QY325" s="144"/>
      <c r="QZ325" s="144"/>
      <c r="RA325" s="144"/>
      <c r="RB325" s="144"/>
      <c r="RC325" s="144"/>
      <c r="RD325" s="144"/>
      <c r="RE325" s="144"/>
      <c r="RF325" s="144"/>
      <c r="RG325" s="144"/>
      <c r="RH325" s="144"/>
      <c r="RI325" s="144"/>
      <c r="RJ325" s="144"/>
      <c r="RK325" s="144"/>
      <c r="RL325" s="144"/>
      <c r="TR325" s="144"/>
      <c r="TS325" s="144"/>
      <c r="TT325" s="144"/>
      <c r="TU325" s="144"/>
      <c r="TV325" s="144"/>
      <c r="TW325" s="144"/>
      <c r="TX325" s="144"/>
      <c r="TY325" s="144"/>
      <c r="TZ325" s="144"/>
      <c r="UA325" s="144"/>
      <c r="UB325" s="144"/>
      <c r="UC325" s="144"/>
      <c r="UD325" s="144"/>
      <c r="UE325" s="144"/>
      <c r="UF325" s="144"/>
      <c r="UG325" s="144"/>
      <c r="UH325" s="144"/>
      <c r="UI325" s="144"/>
      <c r="UJ325" s="144"/>
      <c r="UK325" s="144"/>
      <c r="UL325" s="144"/>
      <c r="UM325" s="144"/>
      <c r="UN325" s="144"/>
      <c r="UO325" s="144"/>
      <c r="UP325" s="144"/>
      <c r="UQ325" s="144"/>
      <c r="UR325" s="144"/>
      <c r="US325" s="144"/>
    </row>
    <row r="326" spans="458:668" ht="48" customHeight="1">
      <c r="QP326" s="144"/>
      <c r="QQ326" s="144"/>
      <c r="QR326" s="144"/>
      <c r="QS326" s="144"/>
      <c r="QT326" s="144"/>
      <c r="QU326" s="144"/>
      <c r="QV326" s="144"/>
      <c r="QW326" s="144"/>
      <c r="QX326" s="144"/>
      <c r="QY326" s="144"/>
      <c r="QZ326" s="144"/>
      <c r="RA326" s="144"/>
      <c r="RB326" s="144"/>
      <c r="RC326" s="144"/>
      <c r="RD326" s="144"/>
      <c r="RE326" s="144"/>
      <c r="RF326" s="144"/>
      <c r="RG326" s="144"/>
      <c r="RH326" s="144"/>
      <c r="RI326" s="144"/>
      <c r="RJ326" s="144"/>
      <c r="RK326" s="144"/>
      <c r="RL326" s="144"/>
      <c r="TR326" s="144"/>
      <c r="TS326" s="144"/>
      <c r="TT326" s="144"/>
      <c r="TU326" s="144"/>
      <c r="TV326" s="144"/>
      <c r="TW326" s="144"/>
      <c r="TX326" s="144"/>
      <c r="TY326" s="144"/>
      <c r="TZ326" s="144"/>
      <c r="UA326" s="144"/>
      <c r="UB326" s="144"/>
      <c r="UC326" s="144"/>
      <c r="UD326" s="144"/>
      <c r="UE326" s="144"/>
      <c r="UF326" s="144"/>
      <c r="UG326" s="144"/>
      <c r="UH326" s="144"/>
      <c r="UI326" s="144"/>
      <c r="UJ326" s="144"/>
      <c r="UK326" s="144"/>
      <c r="UL326" s="144"/>
      <c r="UM326" s="144"/>
      <c r="UN326" s="144"/>
      <c r="UO326" s="144"/>
      <c r="UP326" s="144"/>
      <c r="UQ326" s="144"/>
      <c r="UR326" s="144"/>
      <c r="US326" s="144"/>
    </row>
    <row r="327" spans="458:668" ht="48" customHeight="1">
      <c r="QP327" s="144"/>
      <c r="QQ327" s="144"/>
      <c r="QR327" s="144"/>
      <c r="QS327" s="144"/>
      <c r="QT327" s="144"/>
      <c r="QU327" s="144"/>
      <c r="QV327" s="144"/>
      <c r="QW327" s="144"/>
      <c r="QX327" s="144"/>
      <c r="QY327" s="144"/>
      <c r="QZ327" s="144"/>
      <c r="RA327" s="144"/>
      <c r="RB327" s="144"/>
      <c r="RC327" s="144"/>
      <c r="RD327" s="144"/>
      <c r="RE327" s="144"/>
      <c r="RF327" s="144"/>
      <c r="RG327" s="144"/>
      <c r="RH327" s="144"/>
      <c r="RI327" s="144"/>
      <c r="RJ327" s="144"/>
      <c r="RK327" s="144"/>
      <c r="RL327" s="144"/>
      <c r="TR327" s="144"/>
      <c r="TS327" s="144"/>
      <c r="TT327" s="144"/>
      <c r="TU327" s="144"/>
      <c r="TV327" s="144"/>
      <c r="TW327" s="144"/>
      <c r="TX327" s="144"/>
      <c r="TY327" s="144"/>
      <c r="TZ327" s="144"/>
      <c r="UA327" s="144"/>
      <c r="UB327" s="144"/>
      <c r="UC327" s="144"/>
      <c r="UD327" s="144"/>
      <c r="UE327" s="144"/>
      <c r="UF327" s="144"/>
      <c r="UG327" s="144"/>
      <c r="UH327" s="144"/>
      <c r="UI327" s="144"/>
      <c r="UJ327" s="144"/>
      <c r="UK327" s="144"/>
      <c r="UL327" s="144"/>
      <c r="UM327" s="144"/>
      <c r="UN327" s="144"/>
      <c r="UO327" s="144"/>
      <c r="UP327" s="144"/>
      <c r="UQ327" s="144"/>
      <c r="UR327" s="144"/>
      <c r="US327" s="144"/>
    </row>
    <row r="328" spans="458:668" ht="48" customHeight="1">
      <c r="QP328" s="144"/>
      <c r="QQ328" s="144"/>
      <c r="QR328" s="144"/>
      <c r="QS328" s="144"/>
      <c r="QT328" s="144"/>
      <c r="QU328" s="144"/>
      <c r="QV328" s="144"/>
      <c r="QW328" s="144"/>
      <c r="QX328" s="144"/>
      <c r="QY328" s="144"/>
      <c r="QZ328" s="144"/>
      <c r="RA328" s="144"/>
      <c r="RB328" s="144"/>
      <c r="RC328" s="144"/>
      <c r="RD328" s="144"/>
      <c r="RE328" s="144"/>
      <c r="RF328" s="144"/>
      <c r="RG328" s="144"/>
      <c r="RH328" s="144"/>
      <c r="RI328" s="144"/>
      <c r="RJ328" s="144"/>
      <c r="RK328" s="144"/>
      <c r="RL328" s="144"/>
      <c r="RM328" s="144"/>
      <c r="RN328" s="144"/>
      <c r="RO328" s="144"/>
      <c r="RP328" s="144"/>
      <c r="RQ328" s="144"/>
      <c r="RR328" s="144"/>
      <c r="RS328" s="144"/>
      <c r="RT328" s="144"/>
      <c r="RU328" s="144"/>
      <c r="RV328" s="144"/>
      <c r="RW328" s="144"/>
      <c r="RX328" s="144"/>
      <c r="RY328" s="144"/>
      <c r="RZ328" s="144"/>
      <c r="SA328" s="144"/>
      <c r="SB328" s="144"/>
      <c r="SC328" s="144"/>
      <c r="SD328" s="144"/>
      <c r="SE328" s="144"/>
      <c r="SF328" s="144"/>
      <c r="SG328" s="144"/>
      <c r="SH328" s="144"/>
      <c r="SI328" s="144"/>
      <c r="SJ328" s="144"/>
      <c r="SK328" s="144"/>
      <c r="SL328" s="144"/>
      <c r="SM328" s="144"/>
      <c r="SN328" s="144"/>
      <c r="SO328" s="144"/>
      <c r="SP328" s="144"/>
      <c r="SQ328" s="144"/>
      <c r="SR328" s="144"/>
      <c r="SS328" s="144"/>
      <c r="ST328" s="144"/>
      <c r="SU328" s="144"/>
      <c r="SV328" s="144"/>
      <c r="SW328" s="144"/>
      <c r="SX328" s="144"/>
      <c r="SY328" s="144"/>
      <c r="SZ328" s="144"/>
      <c r="TA328" s="144"/>
      <c r="TB328" s="144"/>
      <c r="TC328" s="144"/>
      <c r="TD328" s="144"/>
      <c r="TE328" s="144"/>
      <c r="TF328" s="144"/>
      <c r="TG328" s="144"/>
      <c r="TH328" s="144"/>
      <c r="TI328" s="144"/>
      <c r="TJ328" s="144"/>
      <c r="TK328" s="144"/>
      <c r="TL328" s="144"/>
      <c r="TM328" s="144"/>
      <c r="TN328" s="144"/>
      <c r="TO328" s="144"/>
      <c r="TP328" s="144"/>
      <c r="TQ328" s="144"/>
      <c r="TR328" s="144"/>
      <c r="TS328" s="144"/>
      <c r="TT328" s="144"/>
      <c r="TU328" s="144"/>
      <c r="TV328" s="144"/>
      <c r="TW328" s="144"/>
      <c r="TX328" s="144"/>
      <c r="TY328" s="144"/>
      <c r="TZ328" s="144"/>
      <c r="UA328" s="144"/>
      <c r="UB328" s="144"/>
      <c r="UC328" s="144"/>
      <c r="UD328" s="144"/>
      <c r="UE328" s="144"/>
      <c r="UF328" s="144"/>
      <c r="UG328" s="144"/>
      <c r="UH328" s="144"/>
      <c r="UI328" s="144"/>
      <c r="UJ328" s="144"/>
      <c r="UK328" s="144"/>
      <c r="UL328" s="144"/>
      <c r="UM328" s="144"/>
      <c r="UN328" s="144"/>
      <c r="UO328" s="144"/>
      <c r="UP328" s="144"/>
      <c r="UQ328" s="144"/>
      <c r="UR328" s="144"/>
      <c r="US328" s="144"/>
    </row>
    <row r="329" spans="458:668" ht="48" customHeight="1">
      <c r="QP329" s="144"/>
      <c r="QQ329" s="144"/>
      <c r="QR329" s="144"/>
      <c r="QS329" s="144"/>
      <c r="QT329" s="144"/>
      <c r="QU329" s="144"/>
      <c r="QV329" s="144"/>
      <c r="QW329" s="144"/>
      <c r="QX329" s="144"/>
      <c r="QY329" s="144"/>
      <c r="QZ329" s="144"/>
      <c r="RA329" s="144"/>
      <c r="RB329" s="144"/>
      <c r="RC329" s="144"/>
      <c r="RD329" s="144"/>
      <c r="RE329" s="144"/>
      <c r="RF329" s="144"/>
      <c r="RG329" s="144"/>
      <c r="RH329" s="144"/>
      <c r="RI329" s="144"/>
      <c r="RJ329" s="144"/>
      <c r="RK329" s="144"/>
      <c r="RL329" s="144"/>
      <c r="RM329" s="144"/>
      <c r="RN329" s="144"/>
      <c r="RO329" s="144"/>
      <c r="RP329" s="144"/>
      <c r="RQ329" s="144"/>
      <c r="RR329" s="144"/>
      <c r="RS329" s="144"/>
      <c r="RT329" s="144"/>
      <c r="RU329" s="144"/>
      <c r="RV329" s="144"/>
      <c r="RW329" s="144"/>
      <c r="RX329" s="144"/>
      <c r="RY329" s="144"/>
      <c r="RZ329" s="144"/>
      <c r="SA329" s="144"/>
      <c r="SB329" s="144"/>
      <c r="SC329" s="144"/>
      <c r="SD329" s="144"/>
      <c r="SE329" s="144"/>
      <c r="SF329" s="144"/>
      <c r="SG329" s="144"/>
      <c r="SH329" s="144"/>
      <c r="SI329" s="144"/>
      <c r="SJ329" s="144"/>
      <c r="SK329" s="144"/>
      <c r="SL329" s="144"/>
      <c r="SM329" s="144"/>
      <c r="SN329" s="144"/>
      <c r="SO329" s="144"/>
      <c r="SP329" s="144"/>
      <c r="SQ329" s="144"/>
      <c r="SR329" s="144"/>
      <c r="SS329" s="144"/>
      <c r="ST329" s="144"/>
      <c r="SU329" s="144"/>
      <c r="SV329" s="144"/>
      <c r="SW329" s="144"/>
      <c r="SX329" s="144"/>
      <c r="SY329" s="144"/>
      <c r="SZ329" s="144"/>
      <c r="TA329" s="144"/>
      <c r="TB329" s="144"/>
      <c r="TC329" s="144"/>
      <c r="TD329" s="144"/>
      <c r="TE329" s="144"/>
      <c r="TF329" s="144"/>
      <c r="TG329" s="144"/>
      <c r="TH329" s="144"/>
      <c r="TI329" s="144"/>
      <c r="TJ329" s="144"/>
      <c r="TK329" s="144"/>
      <c r="TL329" s="144"/>
      <c r="TM329" s="144"/>
      <c r="TN329" s="144"/>
      <c r="TO329" s="144"/>
      <c r="TP329" s="144"/>
      <c r="TQ329" s="144"/>
      <c r="TR329" s="144"/>
      <c r="TS329" s="144"/>
      <c r="TT329" s="144"/>
      <c r="TU329" s="144"/>
      <c r="TV329" s="144"/>
      <c r="TW329" s="144"/>
      <c r="TX329" s="144"/>
      <c r="TY329" s="144"/>
      <c r="TZ329" s="144"/>
      <c r="UA329" s="144"/>
      <c r="UB329" s="144"/>
      <c r="UC329" s="144"/>
      <c r="UD329" s="144"/>
      <c r="UE329" s="144"/>
      <c r="UF329" s="144"/>
      <c r="UG329" s="144"/>
      <c r="UH329" s="144"/>
      <c r="UI329" s="144"/>
      <c r="UJ329" s="144"/>
      <c r="UK329" s="144"/>
      <c r="UL329" s="144"/>
      <c r="UM329" s="144"/>
      <c r="UN329" s="144"/>
      <c r="UO329" s="144"/>
      <c r="UP329" s="144"/>
      <c r="UQ329" s="144"/>
      <c r="UR329" s="144"/>
      <c r="US329" s="144"/>
    </row>
    <row r="330" spans="458:668" ht="48" customHeight="1">
      <c r="QP330" s="144"/>
      <c r="QQ330" s="144"/>
      <c r="QR330" s="144"/>
      <c r="QS330" s="144"/>
      <c r="QT330" s="144"/>
      <c r="QU330" s="144"/>
      <c r="QV330" s="144"/>
      <c r="QW330" s="144"/>
      <c r="QX330" s="144"/>
      <c r="QY330" s="144"/>
      <c r="QZ330" s="144"/>
      <c r="RA330" s="144"/>
      <c r="RB330" s="144"/>
      <c r="RC330" s="144"/>
      <c r="RD330" s="144"/>
      <c r="RE330" s="144"/>
      <c r="RF330" s="144"/>
      <c r="RG330" s="144"/>
      <c r="RH330" s="144"/>
      <c r="RI330" s="144"/>
      <c r="RJ330" s="144"/>
      <c r="RK330" s="144"/>
      <c r="RL330" s="144"/>
      <c r="RM330" s="144"/>
      <c r="RN330" s="144"/>
      <c r="RO330" s="144"/>
      <c r="RP330" s="144"/>
      <c r="RQ330" s="144"/>
      <c r="RR330" s="144"/>
      <c r="RS330" s="144"/>
      <c r="RT330" s="144"/>
      <c r="RU330" s="144"/>
      <c r="RV330" s="144"/>
      <c r="RW330" s="144"/>
      <c r="RX330" s="144"/>
      <c r="RY330" s="144"/>
      <c r="RZ330" s="144"/>
      <c r="SA330" s="144"/>
      <c r="SB330" s="144"/>
      <c r="SC330" s="144"/>
      <c r="SD330" s="144"/>
      <c r="SE330" s="144"/>
      <c r="SF330" s="144"/>
      <c r="SG330" s="144"/>
      <c r="SH330" s="144"/>
      <c r="SI330" s="144"/>
      <c r="SJ330" s="144"/>
      <c r="SK330" s="144"/>
      <c r="SL330" s="144"/>
      <c r="SM330" s="144"/>
      <c r="SN330" s="144"/>
      <c r="SO330" s="144"/>
      <c r="SP330" s="144"/>
      <c r="SQ330" s="144"/>
      <c r="SR330" s="144"/>
      <c r="SS330" s="144"/>
      <c r="ST330" s="144"/>
      <c r="SU330" s="144"/>
      <c r="SV330" s="144"/>
      <c r="SW330" s="144"/>
      <c r="SX330" s="144"/>
      <c r="SY330" s="144"/>
      <c r="SZ330" s="144"/>
      <c r="TA330" s="144"/>
      <c r="TB330" s="144"/>
      <c r="TC330" s="144"/>
      <c r="TD330" s="144"/>
      <c r="TE330" s="144"/>
      <c r="TF330" s="144"/>
      <c r="TG330" s="144"/>
      <c r="TH330" s="144"/>
      <c r="TI330" s="144"/>
      <c r="TJ330" s="144"/>
      <c r="TK330" s="144"/>
      <c r="TL330" s="144"/>
      <c r="TM330" s="144"/>
      <c r="TN330" s="144"/>
      <c r="TO330" s="144"/>
      <c r="TP330" s="144"/>
      <c r="TQ330" s="144"/>
      <c r="TR330" s="144"/>
      <c r="TS330" s="144"/>
      <c r="TT330" s="144"/>
      <c r="TU330" s="144"/>
      <c r="TV330" s="144"/>
      <c r="TW330" s="144"/>
      <c r="TX330" s="144"/>
      <c r="TY330" s="144"/>
      <c r="TZ330" s="144"/>
      <c r="UA330" s="144"/>
      <c r="UB330" s="144"/>
      <c r="UC330" s="144"/>
      <c r="UD330" s="144"/>
      <c r="UE330" s="144"/>
      <c r="UF330" s="144"/>
      <c r="UG330" s="144"/>
      <c r="UH330" s="144"/>
      <c r="UI330" s="144"/>
      <c r="UJ330" s="144"/>
      <c r="UK330" s="144"/>
      <c r="UL330" s="144"/>
      <c r="UM330" s="144"/>
      <c r="UN330" s="144"/>
      <c r="UO330" s="144"/>
      <c r="UP330" s="144"/>
      <c r="UQ330" s="144"/>
      <c r="UR330" s="144"/>
      <c r="US330" s="144"/>
    </row>
    <row r="331" spans="458:668" ht="48" customHeight="1">
      <c r="QP331" s="144"/>
      <c r="QQ331" s="144"/>
      <c r="QR331" s="144"/>
      <c r="QS331" s="144"/>
      <c r="QT331" s="144"/>
      <c r="QU331" s="144"/>
      <c r="QV331" s="144"/>
      <c r="QW331" s="144"/>
      <c r="QX331" s="144"/>
      <c r="QY331" s="144"/>
      <c r="QZ331" s="144"/>
      <c r="RA331" s="144"/>
      <c r="RB331" s="144"/>
      <c r="RC331" s="144"/>
      <c r="RD331" s="144"/>
      <c r="RE331" s="144"/>
      <c r="RF331" s="144"/>
      <c r="RG331" s="144"/>
      <c r="RH331" s="144"/>
      <c r="RI331" s="144"/>
      <c r="RJ331" s="144"/>
      <c r="RK331" s="144"/>
      <c r="RL331" s="144"/>
      <c r="RM331" s="144"/>
      <c r="RN331" s="144"/>
      <c r="RO331" s="144"/>
      <c r="RP331" s="144"/>
      <c r="RQ331" s="144"/>
      <c r="RR331" s="144"/>
      <c r="RS331" s="144"/>
      <c r="RT331" s="144"/>
      <c r="RU331" s="144"/>
      <c r="RV331" s="144"/>
      <c r="RW331" s="144"/>
      <c r="RX331" s="144"/>
      <c r="RY331" s="144"/>
      <c r="RZ331" s="144"/>
      <c r="SA331" s="144"/>
      <c r="SB331" s="144"/>
      <c r="SC331" s="144"/>
      <c r="SD331" s="144"/>
      <c r="SE331" s="144"/>
      <c r="SF331" s="144"/>
      <c r="SG331" s="144"/>
      <c r="SH331" s="144"/>
      <c r="SI331" s="144"/>
      <c r="SJ331" s="144"/>
      <c r="SK331" s="144"/>
      <c r="SL331" s="144"/>
      <c r="SM331" s="144"/>
      <c r="SN331" s="144"/>
      <c r="SO331" s="144"/>
      <c r="SP331" s="144"/>
      <c r="SQ331" s="144"/>
      <c r="SR331" s="144"/>
      <c r="SS331" s="144"/>
      <c r="ST331" s="144"/>
      <c r="SU331" s="144"/>
      <c r="SV331" s="144"/>
      <c r="SW331" s="144"/>
      <c r="SX331" s="144"/>
      <c r="SY331" s="144"/>
      <c r="SZ331" s="144"/>
      <c r="TA331" s="144"/>
      <c r="TB331" s="144"/>
      <c r="TC331" s="144"/>
      <c r="TD331" s="144"/>
      <c r="TE331" s="144"/>
      <c r="TF331" s="144"/>
      <c r="TG331" s="144"/>
      <c r="TH331" s="144"/>
      <c r="TI331" s="144"/>
      <c r="TJ331" s="144"/>
      <c r="TK331" s="144"/>
      <c r="TL331" s="144"/>
      <c r="TM331" s="144"/>
      <c r="TN331" s="144"/>
      <c r="TO331" s="144"/>
      <c r="TP331" s="144"/>
      <c r="TQ331" s="144"/>
      <c r="TR331" s="144"/>
      <c r="TS331" s="144"/>
      <c r="TT331" s="144"/>
      <c r="TU331" s="144"/>
      <c r="TV331" s="144"/>
      <c r="TW331" s="144"/>
      <c r="TX331" s="144"/>
      <c r="TY331" s="144"/>
      <c r="TZ331" s="144"/>
      <c r="UA331" s="144"/>
      <c r="UB331" s="144"/>
      <c r="UC331" s="144"/>
      <c r="UD331" s="144"/>
      <c r="UE331" s="144"/>
      <c r="UF331" s="144"/>
      <c r="UG331" s="144"/>
      <c r="UH331" s="144"/>
      <c r="UI331" s="144"/>
      <c r="UJ331" s="144"/>
      <c r="UK331" s="144"/>
      <c r="UL331" s="144"/>
      <c r="UM331" s="144"/>
      <c r="UN331" s="144"/>
      <c r="UO331" s="144"/>
      <c r="UP331" s="144"/>
      <c r="UQ331" s="144"/>
      <c r="UR331" s="144"/>
      <c r="US331" s="144"/>
    </row>
    <row r="332" spans="458:668" ht="48" customHeight="1">
      <c r="QP332" s="144"/>
      <c r="QQ332" s="144"/>
      <c r="QR332" s="144"/>
      <c r="QS332" s="144"/>
      <c r="QT332" s="144"/>
      <c r="QU332" s="144"/>
      <c r="QV332" s="144"/>
      <c r="QW332" s="144"/>
      <c r="QX332" s="144"/>
      <c r="QY332" s="144"/>
      <c r="QZ332" s="144"/>
      <c r="RA332" s="144"/>
      <c r="RB332" s="144"/>
      <c r="RC332" s="144"/>
      <c r="RD332" s="144"/>
      <c r="RE332" s="144"/>
      <c r="RF332" s="144"/>
      <c r="RG332" s="144"/>
      <c r="RH332" s="144"/>
      <c r="RI332" s="144"/>
      <c r="RJ332" s="144"/>
      <c r="RK332" s="144"/>
      <c r="RL332" s="144"/>
      <c r="RM332" s="144"/>
      <c r="RN332" s="144"/>
      <c r="RO332" s="144"/>
      <c r="RP332" s="144"/>
      <c r="RQ332" s="144"/>
      <c r="RR332" s="144"/>
      <c r="RS332" s="144"/>
      <c r="RT332" s="144"/>
      <c r="RU332" s="144"/>
      <c r="RV332" s="144"/>
      <c r="RW332" s="144"/>
      <c r="RX332" s="144"/>
      <c r="RY332" s="144"/>
      <c r="RZ332" s="144"/>
      <c r="SA332" s="144"/>
      <c r="SB332" s="144"/>
      <c r="SC332" s="144"/>
      <c r="SD332" s="144"/>
      <c r="SE332" s="144"/>
      <c r="SF332" s="144"/>
      <c r="SG332" s="144"/>
      <c r="SH332" s="144"/>
      <c r="SI332" s="144"/>
      <c r="SJ332" s="144"/>
      <c r="SK332" s="144"/>
      <c r="SL332" s="144"/>
      <c r="SM332" s="144"/>
      <c r="SN332" s="144"/>
      <c r="SO332" s="144"/>
      <c r="SP332" s="144"/>
      <c r="SQ332" s="144"/>
      <c r="SR332" s="144"/>
      <c r="SS332" s="144"/>
      <c r="ST332" s="144"/>
      <c r="SU332" s="144"/>
      <c r="SV332" s="144"/>
      <c r="SW332" s="144"/>
      <c r="SX332" s="144"/>
      <c r="SY332" s="144"/>
      <c r="SZ332" s="144"/>
      <c r="TA332" s="144"/>
      <c r="TB332" s="144"/>
      <c r="TC332" s="144"/>
      <c r="TD332" s="144"/>
      <c r="TE332" s="144"/>
      <c r="TF332" s="144"/>
      <c r="TG332" s="144"/>
      <c r="TH332" s="144"/>
      <c r="TI332" s="144"/>
      <c r="TJ332" s="144"/>
      <c r="TK332" s="144"/>
      <c r="TL332" s="144"/>
      <c r="TM332" s="144"/>
      <c r="TN332" s="144"/>
      <c r="TO332" s="144"/>
      <c r="TP332" s="144"/>
      <c r="TQ332" s="144"/>
      <c r="TR332" s="144"/>
      <c r="TS332" s="144"/>
      <c r="TT332" s="144"/>
      <c r="TU332" s="144"/>
      <c r="TV332" s="144"/>
      <c r="TW332" s="144"/>
      <c r="TX332" s="144"/>
      <c r="TY332" s="144"/>
      <c r="TZ332" s="144"/>
      <c r="UA332" s="144"/>
      <c r="UB332" s="144"/>
      <c r="UC332" s="144"/>
      <c r="UD332" s="144"/>
      <c r="UE332" s="144"/>
      <c r="UF332" s="144"/>
      <c r="UG332" s="144"/>
      <c r="UH332" s="144"/>
      <c r="UI332" s="144"/>
      <c r="UJ332" s="144"/>
      <c r="UK332" s="144"/>
      <c r="UL332" s="144"/>
      <c r="UM332" s="144"/>
      <c r="UN332" s="144"/>
      <c r="UO332" s="144"/>
      <c r="UP332" s="144"/>
      <c r="UQ332" s="144"/>
      <c r="UR332" s="144"/>
      <c r="US332" s="144"/>
    </row>
    <row r="333" spans="458:668" ht="48" customHeight="1">
      <c r="QP333" s="144"/>
      <c r="QQ333" s="144"/>
      <c r="QR333" s="144"/>
      <c r="QS333" s="144"/>
      <c r="QT333" s="144"/>
      <c r="QU333" s="144"/>
      <c r="QV333" s="144"/>
      <c r="QW333" s="144"/>
      <c r="QX333" s="144"/>
      <c r="QY333" s="144"/>
      <c r="QZ333" s="144"/>
      <c r="RA333" s="144"/>
      <c r="RB333" s="144"/>
      <c r="RC333" s="144"/>
      <c r="RD333" s="144"/>
      <c r="RE333" s="144"/>
      <c r="RF333" s="144"/>
      <c r="RG333" s="144"/>
      <c r="RH333" s="144"/>
      <c r="RI333" s="144"/>
      <c r="RJ333" s="144"/>
      <c r="RK333" s="144"/>
      <c r="RL333" s="144"/>
      <c r="RM333" s="144"/>
      <c r="RN333" s="144"/>
      <c r="RO333" s="144"/>
      <c r="RP333" s="144"/>
      <c r="RQ333" s="144"/>
      <c r="RR333" s="144"/>
      <c r="RS333" s="144"/>
      <c r="RT333" s="144"/>
      <c r="RU333" s="144"/>
      <c r="RV333" s="144"/>
      <c r="RW333" s="144"/>
      <c r="RX333" s="144"/>
      <c r="RY333" s="144"/>
      <c r="RZ333" s="144"/>
      <c r="SA333" s="144"/>
      <c r="SB333" s="144"/>
      <c r="SC333" s="144"/>
      <c r="SD333" s="144"/>
      <c r="SE333" s="144"/>
      <c r="SF333" s="144"/>
      <c r="SG333" s="144"/>
      <c r="SH333" s="144"/>
      <c r="SI333" s="144"/>
      <c r="SJ333" s="144"/>
      <c r="SK333" s="144"/>
      <c r="SL333" s="144"/>
      <c r="SM333" s="144"/>
      <c r="SN333" s="144"/>
      <c r="SO333" s="144"/>
      <c r="SP333" s="144"/>
      <c r="SQ333" s="144"/>
      <c r="SR333" s="144"/>
      <c r="SS333" s="144"/>
      <c r="ST333" s="144"/>
      <c r="SU333" s="144"/>
      <c r="SV333" s="144"/>
      <c r="SW333" s="144"/>
      <c r="SX333" s="144"/>
      <c r="SY333" s="144"/>
      <c r="SZ333" s="144"/>
      <c r="TA333" s="144"/>
      <c r="TB333" s="144"/>
      <c r="TC333" s="144"/>
      <c r="TD333" s="144"/>
      <c r="TE333" s="144"/>
      <c r="TF333" s="144"/>
      <c r="TG333" s="144"/>
      <c r="TH333" s="144"/>
      <c r="TI333" s="144"/>
      <c r="TJ333" s="144"/>
      <c r="TK333" s="144"/>
      <c r="TL333" s="144"/>
      <c r="TM333" s="144"/>
      <c r="TN333" s="144"/>
      <c r="TO333" s="144"/>
      <c r="TP333" s="144"/>
      <c r="TQ333" s="144"/>
      <c r="TR333" s="144"/>
      <c r="TS333" s="144"/>
      <c r="TT333" s="144"/>
      <c r="TU333" s="144"/>
      <c r="TV333" s="144"/>
      <c r="TW333" s="144"/>
      <c r="TX333" s="144"/>
      <c r="TY333" s="144"/>
      <c r="TZ333" s="144"/>
      <c r="UA333" s="144"/>
      <c r="UB333" s="144"/>
      <c r="UC333" s="144"/>
      <c r="UD333" s="144"/>
      <c r="UE333" s="144"/>
      <c r="UF333" s="144"/>
      <c r="UG333" s="144"/>
      <c r="UH333" s="144"/>
      <c r="UI333" s="144"/>
      <c r="UJ333" s="144"/>
      <c r="UK333" s="144"/>
      <c r="UL333" s="144"/>
      <c r="UM333" s="144"/>
      <c r="UN333" s="144"/>
      <c r="UO333" s="144"/>
      <c r="UP333" s="144"/>
      <c r="UQ333" s="144"/>
      <c r="UR333" s="144"/>
      <c r="US333" s="144"/>
    </row>
    <row r="334" spans="458:668" ht="48" customHeight="1">
      <c r="QP334" s="144"/>
      <c r="QQ334" s="144"/>
      <c r="QR334" s="144"/>
      <c r="QS334" s="144"/>
      <c r="QT334" s="144"/>
      <c r="QU334" s="144"/>
      <c r="QV334" s="144"/>
      <c r="QW334" s="144"/>
      <c r="QX334" s="144"/>
      <c r="QY334" s="144"/>
      <c r="QZ334" s="144"/>
      <c r="RA334" s="144"/>
      <c r="RB334" s="144"/>
      <c r="RC334" s="144"/>
      <c r="RD334" s="144"/>
      <c r="RE334" s="144"/>
      <c r="RF334" s="144"/>
      <c r="RG334" s="144"/>
      <c r="RH334" s="144"/>
      <c r="RI334" s="144"/>
      <c r="RJ334" s="144"/>
      <c r="RK334" s="144"/>
      <c r="RL334" s="144"/>
      <c r="RM334" s="144"/>
      <c r="RN334" s="144"/>
      <c r="RO334" s="144"/>
      <c r="RP334" s="144"/>
      <c r="RQ334" s="144"/>
      <c r="RR334" s="144"/>
      <c r="RS334" s="144"/>
      <c r="RT334" s="144"/>
      <c r="RU334" s="144"/>
      <c r="RV334" s="144"/>
      <c r="RW334" s="144"/>
      <c r="RX334" s="144"/>
      <c r="RY334" s="144"/>
      <c r="RZ334" s="144"/>
      <c r="SA334" s="144"/>
      <c r="SB334" s="144"/>
      <c r="SC334" s="144"/>
      <c r="SD334" s="144"/>
      <c r="SE334" s="144"/>
      <c r="SF334" s="144"/>
      <c r="SG334" s="144"/>
      <c r="SH334" s="144"/>
      <c r="SI334" s="144"/>
      <c r="SJ334" s="144"/>
      <c r="SK334" s="144"/>
      <c r="SL334" s="144"/>
      <c r="SM334" s="144"/>
      <c r="SN334" s="144"/>
      <c r="SO334" s="144"/>
      <c r="SP334" s="144"/>
      <c r="SQ334" s="144"/>
      <c r="SR334" s="144"/>
      <c r="SS334" s="144"/>
      <c r="ST334" s="144"/>
      <c r="SU334" s="144"/>
      <c r="SV334" s="144"/>
      <c r="SW334" s="144"/>
      <c r="SX334" s="144"/>
      <c r="SY334" s="144"/>
      <c r="SZ334" s="144"/>
      <c r="TA334" s="144"/>
      <c r="TB334" s="144"/>
      <c r="TC334" s="144"/>
      <c r="TD334" s="144"/>
      <c r="TE334" s="144"/>
      <c r="TF334" s="144"/>
      <c r="TG334" s="144"/>
      <c r="TH334" s="144"/>
      <c r="TI334" s="144"/>
      <c r="TJ334" s="144"/>
      <c r="TK334" s="144"/>
      <c r="TL334" s="144"/>
      <c r="TM334" s="144"/>
      <c r="TN334" s="144"/>
      <c r="TO334" s="144"/>
      <c r="TP334" s="144"/>
      <c r="TQ334" s="144"/>
      <c r="TR334" s="144"/>
      <c r="TS334" s="144"/>
      <c r="TT334" s="144"/>
      <c r="TU334" s="144"/>
      <c r="TV334" s="144"/>
      <c r="TW334" s="144"/>
      <c r="TX334" s="144"/>
      <c r="TY334" s="144"/>
      <c r="TZ334" s="144"/>
      <c r="UA334" s="144"/>
      <c r="UB334" s="144"/>
      <c r="UC334" s="144"/>
      <c r="UD334" s="144"/>
      <c r="UE334" s="144"/>
      <c r="UF334" s="144"/>
      <c r="UG334" s="144"/>
      <c r="UH334" s="144"/>
      <c r="UI334" s="144"/>
      <c r="UJ334" s="144"/>
      <c r="UK334" s="144"/>
      <c r="UL334" s="144"/>
      <c r="UM334" s="144"/>
      <c r="UN334" s="144"/>
      <c r="UO334" s="144"/>
      <c r="UP334" s="144"/>
      <c r="UQ334" s="144"/>
      <c r="UR334" s="144"/>
      <c r="US334" s="144"/>
    </row>
    <row r="335" spans="458:668" ht="48" customHeight="1">
      <c r="QP335" s="144"/>
      <c r="QQ335" s="144"/>
      <c r="QR335" s="144"/>
      <c r="QS335" s="144"/>
      <c r="QT335" s="144"/>
      <c r="QU335" s="144"/>
      <c r="QV335" s="144"/>
      <c r="QW335" s="144"/>
      <c r="QX335" s="144"/>
      <c r="QY335" s="144"/>
      <c r="QZ335" s="144"/>
      <c r="RA335" s="144"/>
      <c r="RB335" s="144"/>
      <c r="RC335" s="144"/>
      <c r="RD335" s="144"/>
      <c r="RE335" s="144"/>
      <c r="RF335" s="144"/>
      <c r="RG335" s="144"/>
      <c r="RH335" s="144"/>
      <c r="RI335" s="144"/>
      <c r="RJ335" s="144"/>
      <c r="RK335" s="144"/>
      <c r="RL335" s="144"/>
      <c r="RM335" s="144"/>
      <c r="RN335" s="144"/>
      <c r="RO335" s="144"/>
      <c r="RP335" s="144"/>
      <c r="RQ335" s="144"/>
      <c r="RR335" s="144"/>
      <c r="RS335" s="144"/>
      <c r="RT335" s="144"/>
      <c r="RU335" s="144"/>
      <c r="RV335" s="144"/>
      <c r="RW335" s="144"/>
      <c r="RX335" s="144"/>
      <c r="RY335" s="144"/>
      <c r="RZ335" s="144"/>
      <c r="SA335" s="144"/>
      <c r="SB335" s="144"/>
      <c r="SC335" s="144"/>
      <c r="SD335" s="144"/>
      <c r="SE335" s="144"/>
      <c r="SF335" s="144"/>
      <c r="SG335" s="144"/>
      <c r="SH335" s="144"/>
      <c r="SI335" s="144"/>
      <c r="SJ335" s="144"/>
      <c r="SK335" s="144"/>
      <c r="SL335" s="144"/>
      <c r="SM335" s="144"/>
      <c r="SN335" s="144"/>
      <c r="SO335" s="144"/>
      <c r="SP335" s="144"/>
      <c r="SQ335" s="144"/>
      <c r="SR335" s="144"/>
      <c r="SS335" s="144"/>
      <c r="ST335" s="144"/>
      <c r="SU335" s="144"/>
      <c r="SV335" s="144"/>
      <c r="SW335" s="144"/>
      <c r="SX335" s="144"/>
      <c r="SY335" s="144"/>
      <c r="SZ335" s="144"/>
      <c r="TA335" s="144"/>
      <c r="TB335" s="144"/>
      <c r="TC335" s="144"/>
      <c r="TD335" s="144"/>
      <c r="TE335" s="144"/>
      <c r="TF335" s="144"/>
      <c r="TG335" s="144"/>
      <c r="TH335" s="144"/>
      <c r="TI335" s="144"/>
      <c r="TJ335" s="144"/>
      <c r="TK335" s="144"/>
      <c r="TL335" s="144"/>
      <c r="TM335" s="144"/>
      <c r="TN335" s="144"/>
      <c r="TO335" s="144"/>
      <c r="TP335" s="144"/>
      <c r="TQ335" s="144"/>
      <c r="TR335" s="144"/>
      <c r="TS335" s="144"/>
      <c r="TT335" s="144"/>
      <c r="TU335" s="144"/>
      <c r="TV335" s="144"/>
      <c r="TW335" s="144"/>
      <c r="TX335" s="144"/>
      <c r="TY335" s="144"/>
      <c r="TZ335" s="144"/>
      <c r="UA335" s="144"/>
      <c r="UB335" s="144"/>
      <c r="UC335" s="144"/>
      <c r="UD335" s="144"/>
      <c r="UE335" s="144"/>
      <c r="UF335" s="144"/>
      <c r="UG335" s="144"/>
      <c r="UH335" s="144"/>
      <c r="UI335" s="144"/>
      <c r="UJ335" s="144"/>
      <c r="UK335" s="144"/>
      <c r="UL335" s="144"/>
      <c r="UM335" s="144"/>
      <c r="UN335" s="144"/>
      <c r="UO335" s="144"/>
      <c r="UP335" s="144"/>
      <c r="UQ335" s="144"/>
      <c r="UR335" s="144"/>
      <c r="US335" s="144"/>
    </row>
    <row r="336" spans="458:668" ht="48" customHeight="1">
      <c r="QP336" s="144"/>
      <c r="QQ336" s="144"/>
      <c r="QR336" s="144"/>
      <c r="QS336" s="144"/>
      <c r="QT336" s="144"/>
      <c r="QU336" s="144"/>
      <c r="QV336" s="144"/>
      <c r="QW336" s="144"/>
      <c r="QX336" s="144"/>
      <c r="QY336" s="144"/>
      <c r="QZ336" s="144"/>
      <c r="RA336" s="144"/>
      <c r="RB336" s="144"/>
      <c r="RC336" s="144"/>
      <c r="RD336" s="144"/>
      <c r="RE336" s="144"/>
      <c r="RF336" s="144"/>
      <c r="RG336" s="144"/>
      <c r="RH336" s="144"/>
      <c r="RI336" s="144"/>
      <c r="RJ336" s="144"/>
      <c r="RK336" s="144"/>
      <c r="RL336" s="144"/>
      <c r="RM336" s="144"/>
      <c r="RN336" s="144"/>
      <c r="RO336" s="144"/>
      <c r="RP336" s="144"/>
      <c r="RQ336" s="144"/>
      <c r="RR336" s="144"/>
      <c r="RS336" s="144"/>
      <c r="RT336" s="144"/>
      <c r="RU336" s="144"/>
      <c r="RV336" s="144"/>
      <c r="RW336" s="144"/>
      <c r="RX336" s="144"/>
      <c r="RY336" s="144"/>
      <c r="RZ336" s="144"/>
      <c r="SA336" s="144"/>
      <c r="SB336" s="144"/>
      <c r="SC336" s="144"/>
      <c r="SD336" s="144"/>
      <c r="SE336" s="144"/>
      <c r="SF336" s="144"/>
      <c r="SG336" s="144"/>
      <c r="SH336" s="144"/>
      <c r="SI336" s="144"/>
      <c r="SJ336" s="144"/>
      <c r="SK336" s="144"/>
      <c r="SL336" s="144"/>
      <c r="SM336" s="144"/>
      <c r="SN336" s="144"/>
      <c r="SO336" s="144"/>
      <c r="SP336" s="144"/>
      <c r="SQ336" s="144"/>
      <c r="SR336" s="144"/>
      <c r="SS336" s="144"/>
      <c r="ST336" s="144"/>
      <c r="SU336" s="144"/>
      <c r="SV336" s="144"/>
      <c r="SW336" s="144"/>
      <c r="SX336" s="144"/>
      <c r="SY336" s="144"/>
      <c r="SZ336" s="144"/>
      <c r="TA336" s="144"/>
      <c r="TB336" s="144"/>
      <c r="TC336" s="144"/>
      <c r="TD336" s="144"/>
      <c r="TE336" s="144"/>
      <c r="TF336" s="144"/>
      <c r="TG336" s="144"/>
      <c r="TH336" s="144"/>
      <c r="TI336" s="144"/>
      <c r="TJ336" s="144"/>
      <c r="TK336" s="144"/>
      <c r="TL336" s="144"/>
      <c r="TM336" s="144"/>
      <c r="TN336" s="144"/>
      <c r="TO336" s="144"/>
      <c r="TP336" s="144"/>
      <c r="TQ336" s="144"/>
      <c r="TR336" s="144"/>
      <c r="TS336" s="144"/>
      <c r="TT336" s="144"/>
      <c r="TU336" s="144"/>
      <c r="TV336" s="144"/>
      <c r="TW336" s="144"/>
      <c r="TX336" s="144"/>
      <c r="TY336" s="144"/>
      <c r="TZ336" s="144"/>
      <c r="UA336" s="144"/>
      <c r="UB336" s="144"/>
      <c r="UC336" s="144"/>
      <c r="UD336" s="144"/>
      <c r="UE336" s="144"/>
      <c r="UF336" s="144"/>
      <c r="UG336" s="144"/>
      <c r="UH336" s="144"/>
      <c r="UI336" s="144"/>
      <c r="UJ336" s="144"/>
      <c r="UK336" s="144"/>
      <c r="UL336" s="144"/>
      <c r="UM336" s="144"/>
      <c r="UN336" s="144"/>
      <c r="UO336" s="144"/>
      <c r="UP336" s="144"/>
      <c r="UQ336" s="144"/>
      <c r="UR336" s="144"/>
      <c r="US336" s="144"/>
    </row>
    <row r="337" spans="458:565" ht="48" customHeight="1">
      <c r="QP337" s="144"/>
      <c r="QQ337" s="144"/>
      <c r="QR337" s="144"/>
      <c r="QS337" s="144"/>
      <c r="QT337" s="144"/>
      <c r="QU337" s="144"/>
      <c r="QV337" s="144"/>
      <c r="QW337" s="144"/>
      <c r="QX337" s="144"/>
      <c r="QY337" s="144"/>
      <c r="QZ337" s="144"/>
      <c r="RA337" s="144"/>
      <c r="RB337" s="144"/>
      <c r="RC337" s="144"/>
      <c r="RD337" s="144"/>
      <c r="RE337" s="144"/>
      <c r="RF337" s="144"/>
      <c r="RG337" s="144"/>
      <c r="RH337" s="144"/>
      <c r="RI337" s="144"/>
      <c r="RJ337" s="144"/>
      <c r="RK337" s="144"/>
      <c r="RL337" s="144"/>
      <c r="RM337" s="144"/>
      <c r="RN337" s="144"/>
      <c r="RO337" s="144"/>
      <c r="RP337" s="144"/>
      <c r="RQ337" s="144"/>
      <c r="RR337" s="144"/>
      <c r="RS337" s="144"/>
      <c r="RT337" s="144"/>
      <c r="RU337" s="144"/>
      <c r="RV337" s="144"/>
      <c r="RW337" s="144"/>
      <c r="RX337" s="144"/>
      <c r="RY337" s="144"/>
      <c r="RZ337" s="144"/>
      <c r="SA337" s="144"/>
      <c r="SB337" s="144"/>
      <c r="SC337" s="144"/>
      <c r="SD337" s="144"/>
      <c r="SE337" s="144"/>
      <c r="SF337" s="144"/>
      <c r="SG337" s="144"/>
      <c r="SH337" s="144"/>
      <c r="SI337" s="144"/>
      <c r="SJ337" s="144"/>
      <c r="SK337" s="144"/>
      <c r="SL337" s="144"/>
      <c r="SM337" s="144"/>
      <c r="SN337" s="144"/>
      <c r="SO337" s="144"/>
      <c r="SP337" s="144"/>
      <c r="SQ337" s="144"/>
      <c r="SR337" s="144"/>
      <c r="SS337" s="144"/>
      <c r="ST337" s="144"/>
      <c r="SU337" s="144"/>
      <c r="SV337" s="144"/>
      <c r="SW337" s="144"/>
      <c r="SX337" s="144"/>
      <c r="SY337" s="144"/>
      <c r="SZ337" s="144"/>
      <c r="TA337" s="144"/>
      <c r="TB337" s="144"/>
      <c r="TC337" s="144"/>
      <c r="TD337" s="144"/>
      <c r="TE337" s="144"/>
      <c r="TF337" s="144"/>
      <c r="TG337" s="144"/>
      <c r="TH337" s="144"/>
      <c r="TI337" s="144"/>
      <c r="TJ337" s="144"/>
      <c r="TK337" s="144"/>
      <c r="TL337" s="144"/>
      <c r="TM337" s="144"/>
      <c r="TN337" s="144"/>
      <c r="TO337" s="144"/>
      <c r="TP337" s="144"/>
      <c r="TQ337" s="144"/>
      <c r="TR337" s="144"/>
      <c r="TS337" s="144"/>
      <c r="TT337" s="144"/>
      <c r="TU337" s="144"/>
      <c r="TV337" s="144"/>
      <c r="TW337" s="144"/>
      <c r="TX337" s="144"/>
      <c r="TY337" s="144"/>
      <c r="TZ337" s="144"/>
      <c r="UA337" s="144"/>
      <c r="UB337" s="144"/>
      <c r="UC337" s="144"/>
      <c r="UD337" s="144"/>
      <c r="UE337" s="144"/>
      <c r="UF337" s="144"/>
      <c r="UG337" s="144"/>
      <c r="UH337" s="144"/>
      <c r="UI337" s="144"/>
      <c r="UJ337" s="144"/>
      <c r="UK337" s="144"/>
      <c r="UL337" s="144"/>
      <c r="UM337" s="144"/>
      <c r="UN337" s="144"/>
      <c r="UO337" s="144"/>
      <c r="UP337" s="144"/>
      <c r="UQ337" s="144"/>
      <c r="UR337" s="144"/>
      <c r="US337" s="144"/>
    </row>
    <row r="338" spans="458:565" ht="48" customHeight="1">
      <c r="QP338" s="144"/>
      <c r="QQ338" s="144"/>
      <c r="QR338" s="144"/>
      <c r="QS338" s="144"/>
      <c r="QT338" s="144"/>
      <c r="QU338" s="144"/>
      <c r="QV338" s="144"/>
      <c r="QW338" s="144"/>
      <c r="QX338" s="144"/>
      <c r="QY338" s="144"/>
      <c r="QZ338" s="144"/>
      <c r="RA338" s="144"/>
      <c r="RB338" s="144"/>
      <c r="RC338" s="144"/>
      <c r="RD338" s="144"/>
      <c r="RE338" s="144"/>
      <c r="RF338" s="144"/>
      <c r="RG338" s="144"/>
      <c r="RH338" s="144"/>
      <c r="RI338" s="144"/>
      <c r="RJ338" s="144"/>
      <c r="RK338" s="144"/>
      <c r="RL338" s="144"/>
      <c r="RM338" s="144"/>
      <c r="RN338" s="144"/>
      <c r="RO338" s="144"/>
      <c r="RP338" s="144"/>
      <c r="RQ338" s="144"/>
      <c r="RR338" s="144"/>
      <c r="RS338" s="144"/>
      <c r="RT338" s="144"/>
      <c r="RU338" s="144"/>
      <c r="RV338" s="144"/>
      <c r="RW338" s="144"/>
      <c r="RX338" s="144"/>
      <c r="RY338" s="144"/>
      <c r="RZ338" s="144"/>
      <c r="SA338" s="144"/>
      <c r="SB338" s="144"/>
      <c r="SC338" s="144"/>
      <c r="SD338" s="144"/>
      <c r="SE338" s="144"/>
      <c r="SF338" s="144"/>
      <c r="SG338" s="144"/>
      <c r="SH338" s="144"/>
      <c r="SI338" s="144"/>
      <c r="SJ338" s="144"/>
      <c r="SK338" s="144"/>
      <c r="SL338" s="144"/>
      <c r="SM338" s="144"/>
      <c r="SN338" s="144"/>
      <c r="SO338" s="144"/>
      <c r="SP338" s="144"/>
      <c r="SQ338" s="144"/>
      <c r="SR338" s="144"/>
      <c r="SS338" s="144"/>
      <c r="ST338" s="144"/>
      <c r="SU338" s="144"/>
      <c r="SV338" s="144"/>
      <c r="SW338" s="144"/>
      <c r="SX338" s="144"/>
      <c r="SY338" s="144"/>
      <c r="SZ338" s="144"/>
      <c r="TA338" s="144"/>
      <c r="TB338" s="144"/>
      <c r="TC338" s="144"/>
      <c r="TD338" s="144"/>
      <c r="TE338" s="144"/>
      <c r="TF338" s="144"/>
      <c r="TG338" s="144"/>
      <c r="TH338" s="144"/>
      <c r="TI338" s="144"/>
      <c r="TJ338" s="144"/>
      <c r="TK338" s="144"/>
      <c r="TL338" s="144"/>
      <c r="TM338" s="144"/>
      <c r="TN338" s="144"/>
      <c r="TO338" s="144"/>
      <c r="TP338" s="144"/>
      <c r="TQ338" s="144"/>
      <c r="TR338" s="144"/>
      <c r="TS338" s="144"/>
      <c r="TT338" s="144"/>
      <c r="TU338" s="144"/>
      <c r="TV338" s="144"/>
      <c r="TW338" s="144"/>
      <c r="TX338" s="144"/>
      <c r="TY338" s="144"/>
      <c r="TZ338" s="144"/>
      <c r="UA338" s="144"/>
      <c r="UB338" s="144"/>
      <c r="UC338" s="144"/>
      <c r="UD338" s="144"/>
      <c r="UE338" s="144"/>
      <c r="UF338" s="144"/>
      <c r="UG338" s="144"/>
      <c r="UH338" s="144"/>
      <c r="UI338" s="144"/>
      <c r="UJ338" s="144"/>
      <c r="UK338" s="144"/>
      <c r="UL338" s="144"/>
      <c r="UM338" s="144"/>
      <c r="UN338" s="144"/>
      <c r="UO338" s="144"/>
      <c r="UP338" s="144"/>
      <c r="UQ338" s="144"/>
      <c r="UR338" s="144"/>
      <c r="US338" s="144"/>
    </row>
    <row r="339" spans="458:565" ht="48" customHeight="1">
      <c r="QP339" s="144"/>
      <c r="QQ339" s="144"/>
      <c r="QR339" s="144"/>
      <c r="QS339" s="144"/>
      <c r="QT339" s="144"/>
      <c r="QU339" s="144"/>
      <c r="QV339" s="144"/>
      <c r="QW339" s="144"/>
      <c r="QX339" s="144"/>
      <c r="QY339" s="144"/>
      <c r="QZ339" s="144"/>
      <c r="RA339" s="144"/>
      <c r="RB339" s="144"/>
      <c r="RC339" s="144"/>
      <c r="RD339" s="144"/>
      <c r="RE339" s="144"/>
      <c r="RF339" s="144"/>
      <c r="RG339" s="144"/>
      <c r="RH339" s="144"/>
      <c r="RI339" s="144"/>
      <c r="RJ339" s="144"/>
      <c r="RK339" s="144"/>
      <c r="RL339" s="144"/>
      <c r="RM339" s="144"/>
      <c r="RN339" s="144"/>
      <c r="RO339" s="144"/>
      <c r="RP339" s="144"/>
      <c r="RQ339" s="144"/>
      <c r="RR339" s="144"/>
      <c r="RS339" s="144"/>
      <c r="RT339" s="144"/>
      <c r="RU339" s="144"/>
      <c r="RV339" s="144"/>
      <c r="RW339" s="144"/>
      <c r="RX339" s="144"/>
      <c r="RY339" s="144"/>
      <c r="RZ339" s="144"/>
      <c r="SA339" s="144"/>
      <c r="SB339" s="144"/>
      <c r="SC339" s="144"/>
      <c r="SD339" s="144"/>
      <c r="SE339" s="144"/>
      <c r="SF339" s="144"/>
      <c r="SG339" s="144"/>
      <c r="SH339" s="144"/>
      <c r="SI339" s="144"/>
      <c r="SJ339" s="144"/>
      <c r="SK339" s="144"/>
      <c r="SL339" s="144"/>
      <c r="SM339" s="144"/>
      <c r="SN339" s="144"/>
      <c r="SO339" s="144"/>
      <c r="SP339" s="144"/>
      <c r="SQ339" s="144"/>
      <c r="SR339" s="144"/>
      <c r="SS339" s="144"/>
      <c r="ST339" s="144"/>
      <c r="SU339" s="144"/>
      <c r="SV339" s="144"/>
      <c r="SW339" s="144"/>
      <c r="SX339" s="144"/>
      <c r="SY339" s="144"/>
      <c r="SZ339" s="144"/>
      <c r="TA339" s="144"/>
      <c r="TB339" s="144"/>
      <c r="TC339" s="144"/>
      <c r="TD339" s="144"/>
      <c r="TE339" s="144"/>
      <c r="TF339" s="144"/>
      <c r="TG339" s="144"/>
      <c r="TH339" s="144"/>
      <c r="TI339" s="144"/>
      <c r="TJ339" s="144"/>
      <c r="TK339" s="144"/>
      <c r="TL339" s="144"/>
      <c r="TM339" s="144"/>
      <c r="TN339" s="144"/>
      <c r="TO339" s="144"/>
      <c r="TP339" s="144"/>
      <c r="TQ339" s="144"/>
      <c r="TR339" s="144"/>
      <c r="TS339" s="144"/>
      <c r="TT339" s="144"/>
      <c r="TU339" s="144"/>
      <c r="TV339" s="144"/>
      <c r="TW339" s="144"/>
      <c r="TX339" s="144"/>
      <c r="TY339" s="144"/>
      <c r="TZ339" s="144"/>
      <c r="UA339" s="144"/>
      <c r="UB339" s="144"/>
      <c r="UC339" s="144"/>
      <c r="UD339" s="144"/>
      <c r="UE339" s="144"/>
      <c r="UF339" s="144"/>
      <c r="UG339" s="144"/>
      <c r="UH339" s="144"/>
      <c r="UI339" s="144"/>
      <c r="UJ339" s="144"/>
      <c r="UK339" s="144"/>
      <c r="UL339" s="144"/>
      <c r="UM339" s="144"/>
      <c r="UN339" s="144"/>
      <c r="UO339" s="144"/>
      <c r="UP339" s="144"/>
      <c r="UQ339" s="144"/>
      <c r="UR339" s="144"/>
      <c r="US339" s="144"/>
    </row>
    <row r="340" spans="458:565" ht="48" customHeight="1">
      <c r="QP340" s="144"/>
      <c r="QQ340" s="144"/>
      <c r="QR340" s="144"/>
      <c r="QS340" s="144"/>
      <c r="QT340" s="144"/>
      <c r="QU340" s="144"/>
      <c r="QV340" s="144"/>
      <c r="QW340" s="144"/>
      <c r="QX340" s="144"/>
      <c r="QY340" s="144"/>
      <c r="QZ340" s="144"/>
      <c r="RA340" s="144"/>
      <c r="RB340" s="144"/>
      <c r="RC340" s="144"/>
      <c r="RD340" s="144"/>
      <c r="RE340" s="144"/>
      <c r="RF340" s="144"/>
      <c r="RG340" s="144"/>
      <c r="RH340" s="144"/>
      <c r="RI340" s="144"/>
      <c r="RJ340" s="144"/>
      <c r="RK340" s="144"/>
      <c r="RL340" s="144"/>
      <c r="RM340" s="144"/>
      <c r="RN340" s="144"/>
      <c r="RO340" s="144"/>
      <c r="RP340" s="144"/>
      <c r="RQ340" s="144"/>
      <c r="RR340" s="144"/>
      <c r="RS340" s="144"/>
      <c r="RT340" s="144"/>
      <c r="RU340" s="144"/>
      <c r="RV340" s="144"/>
      <c r="RW340" s="144"/>
      <c r="RX340" s="144"/>
      <c r="RY340" s="144"/>
      <c r="RZ340" s="144"/>
      <c r="SA340" s="144"/>
      <c r="SB340" s="144"/>
      <c r="SC340" s="144"/>
      <c r="SD340" s="144"/>
      <c r="SE340" s="144"/>
      <c r="SF340" s="144"/>
      <c r="SG340" s="144"/>
      <c r="SH340" s="144"/>
      <c r="SI340" s="144"/>
      <c r="SJ340" s="144"/>
      <c r="SK340" s="144"/>
      <c r="SL340" s="144"/>
      <c r="SM340" s="144"/>
      <c r="SN340" s="144"/>
      <c r="SO340" s="144"/>
      <c r="SP340" s="144"/>
      <c r="SQ340" s="144"/>
      <c r="SR340" s="144"/>
      <c r="SS340" s="144"/>
      <c r="ST340" s="144"/>
      <c r="SU340" s="144"/>
      <c r="SV340" s="144"/>
      <c r="SW340" s="144"/>
      <c r="SX340" s="144"/>
      <c r="SY340" s="144"/>
      <c r="SZ340" s="144"/>
      <c r="TA340" s="144"/>
      <c r="TB340" s="144"/>
      <c r="TC340" s="144"/>
      <c r="TD340" s="144"/>
      <c r="TE340" s="144"/>
      <c r="TF340" s="144"/>
      <c r="TG340" s="144"/>
      <c r="TH340" s="144"/>
      <c r="TI340" s="144"/>
      <c r="TJ340" s="144"/>
      <c r="TK340" s="144"/>
      <c r="TL340" s="144"/>
      <c r="TM340" s="144"/>
      <c r="TN340" s="144"/>
      <c r="TO340" s="144"/>
      <c r="TP340" s="144"/>
      <c r="TQ340" s="144"/>
      <c r="TR340" s="144"/>
      <c r="TS340" s="144"/>
      <c r="TT340" s="144"/>
      <c r="TU340" s="144"/>
      <c r="TV340" s="144"/>
      <c r="TW340" s="144"/>
      <c r="TX340" s="144"/>
      <c r="TY340" s="144"/>
      <c r="TZ340" s="144"/>
      <c r="UA340" s="144"/>
      <c r="UB340" s="144"/>
      <c r="UC340" s="144"/>
      <c r="UD340" s="144"/>
      <c r="UE340" s="144"/>
      <c r="UF340" s="144"/>
      <c r="UG340" s="144"/>
      <c r="UH340" s="144"/>
      <c r="UI340" s="144"/>
      <c r="UJ340" s="144"/>
      <c r="UK340" s="144"/>
      <c r="UL340" s="144"/>
      <c r="UM340" s="144"/>
      <c r="UN340" s="144"/>
      <c r="UO340" s="144"/>
      <c r="UP340" s="144"/>
      <c r="UQ340" s="144"/>
      <c r="UR340" s="144"/>
      <c r="US340" s="144"/>
    </row>
    <row r="341" spans="458:565" ht="48" customHeight="1">
      <c r="QP341" s="144"/>
      <c r="QQ341" s="144"/>
      <c r="QR341" s="144"/>
      <c r="QS341" s="144"/>
      <c r="QT341" s="144"/>
      <c r="QU341" s="144"/>
      <c r="QV341" s="144"/>
      <c r="QW341" s="144"/>
      <c r="QX341" s="144"/>
      <c r="QY341" s="144"/>
      <c r="QZ341" s="144"/>
      <c r="RA341" s="144"/>
      <c r="RB341" s="144"/>
      <c r="RC341" s="144"/>
      <c r="RD341" s="144"/>
      <c r="RE341" s="144"/>
      <c r="RF341" s="144"/>
      <c r="RG341" s="144"/>
      <c r="RH341" s="144"/>
      <c r="RI341" s="144"/>
      <c r="RJ341" s="144"/>
      <c r="RK341" s="144"/>
      <c r="RL341" s="144"/>
      <c r="RM341" s="144"/>
      <c r="RN341" s="144"/>
      <c r="RO341" s="144"/>
      <c r="RP341" s="144"/>
      <c r="RQ341" s="144"/>
      <c r="RR341" s="144"/>
      <c r="RS341" s="144"/>
      <c r="RT341" s="144"/>
      <c r="RU341" s="144"/>
      <c r="RV341" s="144"/>
      <c r="RW341" s="144"/>
      <c r="RX341" s="144"/>
      <c r="RY341" s="144"/>
      <c r="RZ341" s="144"/>
      <c r="SA341" s="144"/>
      <c r="SB341" s="144"/>
      <c r="SC341" s="144"/>
      <c r="SD341" s="144"/>
      <c r="SE341" s="144"/>
      <c r="SF341" s="144"/>
      <c r="SG341" s="144"/>
      <c r="SH341" s="144"/>
      <c r="SI341" s="144"/>
      <c r="SJ341" s="144"/>
      <c r="SK341" s="144"/>
      <c r="SL341" s="144"/>
      <c r="SM341" s="144"/>
      <c r="SN341" s="144"/>
      <c r="SO341" s="144"/>
      <c r="SP341" s="144"/>
      <c r="SQ341" s="144"/>
      <c r="SR341" s="144"/>
      <c r="SS341" s="144"/>
      <c r="ST341" s="144"/>
      <c r="SU341" s="144"/>
      <c r="SV341" s="144"/>
      <c r="SW341" s="144"/>
      <c r="SX341" s="144"/>
      <c r="SY341" s="144"/>
      <c r="SZ341" s="144"/>
      <c r="TA341" s="144"/>
      <c r="TB341" s="144"/>
      <c r="TC341" s="144"/>
      <c r="TD341" s="144"/>
      <c r="TE341" s="144"/>
      <c r="TF341" s="144"/>
      <c r="TG341" s="144"/>
      <c r="TH341" s="144"/>
      <c r="TI341" s="144"/>
      <c r="TJ341" s="144"/>
      <c r="TK341" s="144"/>
      <c r="TL341" s="144"/>
      <c r="TM341" s="144"/>
      <c r="TN341" s="144"/>
      <c r="TO341" s="144"/>
      <c r="TP341" s="144"/>
      <c r="TQ341" s="144"/>
      <c r="TR341" s="144"/>
      <c r="TS341" s="144"/>
      <c r="TT341" s="144"/>
      <c r="TU341" s="144"/>
      <c r="TV341" s="144"/>
      <c r="TW341" s="144"/>
      <c r="TX341" s="144"/>
      <c r="TY341" s="144"/>
      <c r="TZ341" s="144"/>
      <c r="UA341" s="144"/>
      <c r="UB341" s="144"/>
      <c r="UC341" s="144"/>
      <c r="UD341" s="144"/>
      <c r="UE341" s="144"/>
      <c r="UF341" s="144"/>
      <c r="UG341" s="144"/>
      <c r="UH341" s="144"/>
      <c r="UI341" s="144"/>
      <c r="UJ341" s="144"/>
      <c r="UK341" s="144"/>
      <c r="UL341" s="144"/>
      <c r="UM341" s="144"/>
      <c r="UN341" s="144"/>
      <c r="UO341" s="144"/>
      <c r="UP341" s="144"/>
      <c r="UQ341" s="144"/>
      <c r="UR341" s="144"/>
      <c r="US341" s="144"/>
    </row>
    <row r="342" spans="458:565" ht="48" customHeight="1">
      <c r="QP342" s="144"/>
      <c r="QQ342" s="144"/>
      <c r="QR342" s="144"/>
      <c r="QS342" s="144"/>
      <c r="QT342" s="144"/>
      <c r="QU342" s="144"/>
      <c r="QV342" s="144"/>
      <c r="QW342" s="144"/>
      <c r="QX342" s="144"/>
      <c r="QY342" s="144"/>
      <c r="QZ342" s="144"/>
      <c r="RA342" s="144"/>
      <c r="RB342" s="144"/>
      <c r="RC342" s="144"/>
      <c r="RD342" s="144"/>
      <c r="RE342" s="144"/>
      <c r="RF342" s="144"/>
      <c r="RG342" s="144"/>
      <c r="RH342" s="144"/>
      <c r="RI342" s="144"/>
      <c r="RJ342" s="144"/>
      <c r="RK342" s="144"/>
      <c r="RL342" s="144"/>
      <c r="RM342" s="144"/>
      <c r="RN342" s="144"/>
      <c r="RO342" s="144"/>
      <c r="RP342" s="144"/>
      <c r="RQ342" s="144"/>
      <c r="RR342" s="144"/>
      <c r="RS342" s="144"/>
      <c r="RT342" s="144"/>
      <c r="RU342" s="144"/>
      <c r="RV342" s="144"/>
      <c r="RW342" s="144"/>
      <c r="RX342" s="144"/>
      <c r="RY342" s="144"/>
      <c r="RZ342" s="144"/>
      <c r="SA342" s="144"/>
      <c r="SB342" s="144"/>
      <c r="SC342" s="144"/>
      <c r="SD342" s="144"/>
      <c r="SE342" s="144"/>
      <c r="SF342" s="144"/>
      <c r="SG342" s="144"/>
      <c r="SH342" s="144"/>
      <c r="SI342" s="144"/>
      <c r="SJ342" s="144"/>
      <c r="SK342" s="144"/>
      <c r="SL342" s="144"/>
      <c r="SM342" s="144"/>
      <c r="SN342" s="144"/>
      <c r="SO342" s="144"/>
      <c r="SP342" s="144"/>
      <c r="SQ342" s="144"/>
      <c r="SR342" s="144"/>
      <c r="SS342" s="144"/>
      <c r="ST342" s="144"/>
      <c r="SU342" s="144"/>
      <c r="SV342" s="144"/>
      <c r="SW342" s="144"/>
      <c r="SX342" s="144"/>
      <c r="SY342" s="144"/>
      <c r="SZ342" s="144"/>
      <c r="TA342" s="144"/>
      <c r="TB342" s="144"/>
      <c r="TC342" s="144"/>
      <c r="TD342" s="144"/>
      <c r="TE342" s="144"/>
      <c r="TF342" s="144"/>
      <c r="TG342" s="144"/>
      <c r="TH342" s="144"/>
      <c r="TI342" s="144"/>
      <c r="TJ342" s="144"/>
      <c r="TK342" s="144"/>
      <c r="TL342" s="144"/>
      <c r="TM342" s="144"/>
      <c r="TN342" s="144"/>
      <c r="TO342" s="144"/>
      <c r="TP342" s="144"/>
      <c r="TQ342" s="144"/>
      <c r="TR342" s="144"/>
      <c r="TS342" s="144"/>
      <c r="TT342" s="144"/>
      <c r="TU342" s="144"/>
      <c r="TV342" s="144"/>
      <c r="TW342" s="144"/>
      <c r="TX342" s="144"/>
      <c r="TY342" s="144"/>
      <c r="TZ342" s="144"/>
      <c r="UA342" s="144"/>
      <c r="UB342" s="144"/>
      <c r="UC342" s="144"/>
      <c r="UD342" s="144"/>
      <c r="UE342" s="144"/>
      <c r="UF342" s="144"/>
      <c r="UG342" s="144"/>
      <c r="UH342" s="144"/>
      <c r="UI342" s="144"/>
      <c r="UJ342" s="144"/>
      <c r="UK342" s="144"/>
      <c r="UL342" s="144"/>
      <c r="UM342" s="144"/>
      <c r="UN342" s="144"/>
      <c r="UO342" s="144"/>
      <c r="UP342" s="144"/>
      <c r="UQ342" s="144"/>
      <c r="UR342" s="144"/>
      <c r="US342" s="144"/>
    </row>
    <row r="343" spans="458:565" ht="48" customHeight="1">
      <c r="QP343" s="144"/>
      <c r="QQ343" s="144"/>
      <c r="QR343" s="144"/>
      <c r="QS343" s="144"/>
      <c r="QT343" s="144"/>
      <c r="QU343" s="144"/>
      <c r="QV343" s="144"/>
      <c r="QW343" s="144"/>
      <c r="QX343" s="144"/>
      <c r="QY343" s="144"/>
      <c r="QZ343" s="144"/>
      <c r="RA343" s="144"/>
      <c r="RB343" s="144"/>
      <c r="RC343" s="144"/>
      <c r="RD343" s="144"/>
      <c r="RE343" s="144"/>
      <c r="RF343" s="144"/>
      <c r="RG343" s="144"/>
      <c r="RH343" s="144"/>
      <c r="RI343" s="144"/>
      <c r="RJ343" s="144"/>
      <c r="RK343" s="144"/>
      <c r="RL343" s="144"/>
      <c r="RM343" s="144"/>
      <c r="RN343" s="144"/>
      <c r="RO343" s="144"/>
      <c r="RP343" s="144"/>
      <c r="RQ343" s="144"/>
      <c r="RR343" s="144"/>
      <c r="RS343" s="144"/>
      <c r="RT343" s="144"/>
      <c r="RU343" s="144"/>
      <c r="RV343" s="144"/>
      <c r="RW343" s="144"/>
      <c r="RX343" s="144"/>
      <c r="RY343" s="144"/>
      <c r="RZ343" s="144"/>
      <c r="SA343" s="144"/>
      <c r="SB343" s="144"/>
      <c r="SC343" s="144"/>
      <c r="SD343" s="144"/>
      <c r="SE343" s="144"/>
      <c r="SF343" s="144"/>
      <c r="SG343" s="144"/>
      <c r="SH343" s="144"/>
      <c r="SI343" s="144"/>
      <c r="SJ343" s="144"/>
      <c r="SK343" s="144"/>
      <c r="SL343" s="144"/>
      <c r="SM343" s="144"/>
      <c r="SN343" s="144"/>
      <c r="SO343" s="144"/>
      <c r="SP343" s="144"/>
      <c r="SQ343" s="144"/>
      <c r="SR343" s="144"/>
      <c r="SS343" s="144"/>
      <c r="ST343" s="144"/>
      <c r="SU343" s="144"/>
      <c r="SV343" s="144"/>
      <c r="SW343" s="144"/>
      <c r="SX343" s="144"/>
      <c r="SY343" s="144"/>
      <c r="SZ343" s="144"/>
      <c r="TA343" s="144"/>
      <c r="TB343" s="144"/>
      <c r="TC343" s="144"/>
      <c r="TD343" s="144"/>
      <c r="TE343" s="144"/>
      <c r="TF343" s="144"/>
      <c r="TG343" s="144"/>
      <c r="TH343" s="144"/>
      <c r="TI343" s="144"/>
      <c r="TJ343" s="144"/>
      <c r="TK343" s="144"/>
      <c r="TL343" s="144"/>
      <c r="TM343" s="144"/>
      <c r="TN343" s="144"/>
      <c r="TO343" s="144"/>
      <c r="TP343" s="144"/>
      <c r="TQ343" s="144"/>
      <c r="TR343" s="144"/>
      <c r="TS343" s="144"/>
      <c r="TT343" s="144"/>
      <c r="TU343" s="144"/>
      <c r="TV343" s="144"/>
      <c r="TW343" s="144"/>
      <c r="TX343" s="144"/>
      <c r="TY343" s="144"/>
      <c r="TZ343" s="144"/>
      <c r="UA343" s="144"/>
      <c r="UB343" s="144"/>
      <c r="UC343" s="144"/>
      <c r="UD343" s="144"/>
      <c r="UE343" s="144"/>
      <c r="UF343" s="144"/>
      <c r="UG343" s="144"/>
      <c r="UH343" s="144"/>
      <c r="UI343" s="144"/>
      <c r="UJ343" s="144"/>
      <c r="UK343" s="144"/>
      <c r="UL343" s="144"/>
      <c r="UM343" s="144"/>
      <c r="UN343" s="144"/>
      <c r="UO343" s="144"/>
      <c r="UP343" s="144"/>
      <c r="UQ343" s="144"/>
      <c r="UR343" s="144"/>
      <c r="US343" s="144"/>
    </row>
    <row r="344" spans="458:565" ht="48" customHeight="1">
      <c r="QP344" s="144"/>
      <c r="QQ344" s="144"/>
      <c r="QR344" s="144"/>
      <c r="QS344" s="144"/>
      <c r="QT344" s="144"/>
      <c r="QU344" s="144"/>
      <c r="QV344" s="144"/>
      <c r="QW344" s="144"/>
      <c r="QX344" s="144"/>
      <c r="QY344" s="144"/>
      <c r="QZ344" s="144"/>
      <c r="RA344" s="144"/>
      <c r="RB344" s="144"/>
      <c r="RC344" s="144"/>
      <c r="RD344" s="144"/>
      <c r="RE344" s="144"/>
      <c r="RF344" s="144"/>
      <c r="RG344" s="144"/>
      <c r="RH344" s="144"/>
      <c r="RI344" s="144"/>
      <c r="RJ344" s="144"/>
      <c r="RK344" s="144"/>
      <c r="RL344" s="144"/>
      <c r="RM344" s="144"/>
      <c r="RN344" s="144"/>
      <c r="RO344" s="144"/>
      <c r="RP344" s="144"/>
      <c r="RQ344" s="144"/>
      <c r="RR344" s="144"/>
      <c r="RS344" s="144"/>
      <c r="RT344" s="144"/>
      <c r="RU344" s="144"/>
      <c r="RV344" s="144"/>
      <c r="RW344" s="144"/>
      <c r="RX344" s="144"/>
      <c r="RY344" s="144"/>
      <c r="RZ344" s="144"/>
      <c r="SA344" s="144"/>
      <c r="SB344" s="144"/>
      <c r="SC344" s="144"/>
      <c r="SD344" s="144"/>
      <c r="SE344" s="144"/>
      <c r="SF344" s="144"/>
      <c r="SG344" s="144"/>
      <c r="SH344" s="144"/>
      <c r="SI344" s="144"/>
      <c r="SJ344" s="144"/>
      <c r="SK344" s="144"/>
      <c r="SL344" s="144"/>
      <c r="SM344" s="144"/>
      <c r="SN344" s="144"/>
      <c r="SO344" s="144"/>
      <c r="SP344" s="144"/>
      <c r="SQ344" s="144"/>
      <c r="SR344" s="144"/>
      <c r="SS344" s="144"/>
      <c r="ST344" s="144"/>
      <c r="SU344" s="144"/>
      <c r="SV344" s="144"/>
      <c r="SW344" s="144"/>
      <c r="SX344" s="144"/>
      <c r="SY344" s="144"/>
      <c r="SZ344" s="144"/>
      <c r="TA344" s="144"/>
      <c r="TB344" s="144"/>
      <c r="TC344" s="144"/>
      <c r="TD344" s="144"/>
      <c r="TE344" s="144"/>
      <c r="TF344" s="144"/>
      <c r="TG344" s="144"/>
      <c r="TH344" s="144"/>
      <c r="TI344" s="144"/>
      <c r="TJ344" s="144"/>
      <c r="TK344" s="144"/>
      <c r="TL344" s="144"/>
      <c r="TM344" s="144"/>
      <c r="TN344" s="144"/>
      <c r="TO344" s="144"/>
      <c r="TP344" s="144"/>
      <c r="TQ344" s="144"/>
      <c r="TR344" s="144"/>
      <c r="TS344" s="144"/>
      <c r="TT344" s="144"/>
      <c r="TU344" s="144"/>
      <c r="TV344" s="144"/>
      <c r="TW344" s="144"/>
      <c r="TX344" s="144"/>
      <c r="TY344" s="144"/>
      <c r="TZ344" s="144"/>
      <c r="UA344" s="144"/>
      <c r="UB344" s="144"/>
      <c r="UC344" s="144"/>
      <c r="UD344" s="144"/>
      <c r="UE344" s="144"/>
      <c r="UF344" s="144"/>
      <c r="UG344" s="144"/>
      <c r="UH344" s="144"/>
      <c r="UI344" s="144"/>
      <c r="UJ344" s="144"/>
      <c r="UK344" s="144"/>
      <c r="UL344" s="144"/>
      <c r="UM344" s="144"/>
      <c r="UN344" s="144"/>
      <c r="UO344" s="144"/>
      <c r="UP344" s="144"/>
      <c r="UQ344" s="144"/>
      <c r="UR344" s="144"/>
      <c r="US344" s="144"/>
    </row>
    <row r="345" spans="458:565" ht="48" customHeight="1">
      <c r="QP345" s="144"/>
      <c r="QQ345" s="144"/>
      <c r="QR345" s="144"/>
      <c r="QS345" s="144"/>
      <c r="QT345" s="144"/>
      <c r="QU345" s="144"/>
      <c r="QV345" s="144"/>
      <c r="QW345" s="144"/>
      <c r="QX345" s="144"/>
      <c r="QY345" s="144"/>
      <c r="QZ345" s="144"/>
      <c r="RA345" s="144"/>
      <c r="RB345" s="144"/>
      <c r="RC345" s="144"/>
      <c r="RD345" s="144"/>
      <c r="RE345" s="144"/>
      <c r="RF345" s="144"/>
      <c r="RG345" s="144"/>
      <c r="RH345" s="144"/>
      <c r="RI345" s="144"/>
      <c r="RJ345" s="144"/>
      <c r="RK345" s="144"/>
      <c r="RL345" s="144"/>
      <c r="RM345" s="144"/>
      <c r="RN345" s="144"/>
      <c r="RO345" s="144"/>
      <c r="RP345" s="144"/>
      <c r="RQ345" s="144"/>
      <c r="RR345" s="144"/>
      <c r="RS345" s="144"/>
      <c r="RT345" s="144"/>
      <c r="RU345" s="144"/>
      <c r="RV345" s="144"/>
      <c r="RW345" s="144"/>
      <c r="RX345" s="144"/>
      <c r="RY345" s="144"/>
      <c r="RZ345" s="144"/>
      <c r="SA345" s="144"/>
      <c r="SB345" s="144"/>
      <c r="SC345" s="144"/>
      <c r="SD345" s="144"/>
      <c r="SE345" s="144"/>
      <c r="SF345" s="144"/>
      <c r="SG345" s="144"/>
      <c r="SH345" s="144"/>
      <c r="SI345" s="144"/>
      <c r="SJ345" s="144"/>
      <c r="SK345" s="144"/>
      <c r="SL345" s="144"/>
      <c r="SM345" s="144"/>
      <c r="SN345" s="144"/>
      <c r="SO345" s="144"/>
      <c r="SP345" s="144"/>
      <c r="SQ345" s="144"/>
      <c r="SR345" s="144"/>
      <c r="SS345" s="144"/>
      <c r="ST345" s="144"/>
      <c r="SU345" s="144"/>
      <c r="SV345" s="144"/>
      <c r="SW345" s="144"/>
      <c r="SX345" s="144"/>
      <c r="SY345" s="144"/>
      <c r="SZ345" s="144"/>
      <c r="TA345" s="144"/>
      <c r="TB345" s="144"/>
      <c r="TC345" s="144"/>
      <c r="TD345" s="144"/>
      <c r="TE345" s="144"/>
      <c r="TF345" s="144"/>
      <c r="TG345" s="144"/>
      <c r="TH345" s="144"/>
      <c r="TI345" s="144"/>
      <c r="TJ345" s="144"/>
      <c r="TK345" s="144"/>
      <c r="TL345" s="144"/>
      <c r="TM345" s="144"/>
      <c r="TN345" s="144"/>
      <c r="TO345" s="144"/>
      <c r="TP345" s="144"/>
      <c r="TQ345" s="144"/>
      <c r="TR345" s="144"/>
      <c r="TS345" s="144"/>
      <c r="TT345" s="144"/>
      <c r="TU345" s="144"/>
      <c r="TV345" s="144"/>
      <c r="TW345" s="144"/>
      <c r="TX345" s="144"/>
      <c r="TY345" s="144"/>
      <c r="TZ345" s="144"/>
      <c r="UA345" s="144"/>
      <c r="UB345" s="144"/>
      <c r="UC345" s="144"/>
      <c r="UD345" s="144"/>
      <c r="UE345" s="144"/>
      <c r="UF345" s="144"/>
      <c r="UG345" s="144"/>
      <c r="UH345" s="144"/>
      <c r="UI345" s="144"/>
      <c r="UJ345" s="144"/>
      <c r="UK345" s="144"/>
      <c r="UL345" s="144"/>
      <c r="UM345" s="144"/>
      <c r="UN345" s="144"/>
      <c r="UO345" s="144"/>
      <c r="UP345" s="144"/>
      <c r="UQ345" s="144"/>
      <c r="UR345" s="144"/>
      <c r="US345" s="144"/>
    </row>
    <row r="346" spans="458:565" ht="48" customHeight="1">
      <c r="QP346" s="144"/>
      <c r="QQ346" s="144"/>
      <c r="QR346" s="144"/>
      <c r="QS346" s="144"/>
      <c r="QT346" s="144"/>
      <c r="QU346" s="144"/>
      <c r="QV346" s="144"/>
      <c r="QW346" s="144"/>
      <c r="QX346" s="144"/>
      <c r="QY346" s="144"/>
      <c r="QZ346" s="144"/>
      <c r="RA346" s="144"/>
      <c r="RB346" s="144"/>
      <c r="RC346" s="144"/>
      <c r="RD346" s="144"/>
      <c r="RE346" s="144"/>
      <c r="RF346" s="144"/>
      <c r="RG346" s="144"/>
      <c r="RH346" s="144"/>
      <c r="RI346" s="144"/>
      <c r="RJ346" s="144"/>
      <c r="RK346" s="144"/>
      <c r="RL346" s="144"/>
      <c r="RM346" s="144"/>
      <c r="RN346" s="144"/>
      <c r="RO346" s="144"/>
      <c r="RP346" s="144"/>
      <c r="RQ346" s="144"/>
      <c r="RR346" s="144"/>
      <c r="RS346" s="144"/>
      <c r="RT346" s="144"/>
      <c r="RU346" s="144"/>
      <c r="RV346" s="144"/>
      <c r="RW346" s="144"/>
      <c r="RX346" s="144"/>
      <c r="RY346" s="144"/>
      <c r="RZ346" s="144"/>
      <c r="SA346" s="144"/>
      <c r="SB346" s="144"/>
      <c r="SC346" s="144"/>
      <c r="SD346" s="144"/>
      <c r="SE346" s="144"/>
      <c r="SF346" s="144"/>
      <c r="SG346" s="144"/>
      <c r="SH346" s="144"/>
      <c r="SI346" s="144"/>
      <c r="SJ346" s="144"/>
      <c r="SK346" s="144"/>
      <c r="SL346" s="144"/>
      <c r="SM346" s="144"/>
      <c r="SN346" s="144"/>
      <c r="SO346" s="144"/>
      <c r="SP346" s="144"/>
      <c r="SQ346" s="144"/>
      <c r="SR346" s="144"/>
      <c r="SS346" s="144"/>
      <c r="ST346" s="144"/>
      <c r="SU346" s="144"/>
      <c r="SV346" s="144"/>
      <c r="SW346" s="144"/>
      <c r="SX346" s="144"/>
      <c r="SY346" s="144"/>
      <c r="SZ346" s="144"/>
      <c r="TA346" s="144"/>
      <c r="TB346" s="144"/>
      <c r="TC346" s="144"/>
      <c r="TD346" s="144"/>
      <c r="TE346" s="144"/>
      <c r="TF346" s="144"/>
      <c r="TG346" s="144"/>
      <c r="TH346" s="144"/>
      <c r="TI346" s="144"/>
      <c r="TJ346" s="144"/>
      <c r="TK346" s="144"/>
      <c r="TL346" s="144"/>
      <c r="TM346" s="144"/>
      <c r="TN346" s="144"/>
      <c r="TO346" s="144"/>
      <c r="TP346" s="144"/>
      <c r="TQ346" s="144"/>
      <c r="TR346" s="144"/>
      <c r="TS346" s="144"/>
      <c r="TT346" s="144"/>
      <c r="TU346" s="144"/>
      <c r="TV346" s="144"/>
      <c r="TW346" s="144"/>
      <c r="TX346" s="144"/>
      <c r="TY346" s="144"/>
      <c r="TZ346" s="144"/>
      <c r="UA346" s="144"/>
      <c r="UB346" s="144"/>
      <c r="UC346" s="144"/>
      <c r="UD346" s="144"/>
      <c r="UE346" s="144"/>
      <c r="UF346" s="144"/>
      <c r="UG346" s="144"/>
      <c r="UH346" s="144"/>
      <c r="UI346" s="144"/>
      <c r="UJ346" s="144"/>
      <c r="UK346" s="144"/>
      <c r="UL346" s="144"/>
      <c r="UM346" s="144"/>
      <c r="UN346" s="144"/>
      <c r="UO346" s="144"/>
      <c r="UP346" s="144"/>
      <c r="UQ346" s="144"/>
      <c r="UR346" s="144"/>
      <c r="US346" s="144"/>
    </row>
    <row r="347" spans="458:565" ht="48" customHeight="1">
      <c r="QP347" s="144"/>
      <c r="QQ347" s="144"/>
      <c r="QR347" s="144"/>
      <c r="QS347" s="144"/>
      <c r="QT347" s="144"/>
      <c r="QU347" s="144"/>
      <c r="QV347" s="144"/>
      <c r="QW347" s="144"/>
      <c r="QX347" s="144"/>
      <c r="QY347" s="144"/>
      <c r="QZ347" s="144"/>
      <c r="RA347" s="144"/>
      <c r="RB347" s="144"/>
      <c r="RC347" s="144"/>
      <c r="RD347" s="144"/>
      <c r="RE347" s="144"/>
      <c r="RF347" s="144"/>
      <c r="RG347" s="144"/>
      <c r="RH347" s="144"/>
      <c r="RI347" s="144"/>
      <c r="RJ347" s="144"/>
      <c r="RK347" s="144"/>
      <c r="RL347" s="144"/>
      <c r="RM347" s="144"/>
      <c r="RN347" s="144"/>
      <c r="RO347" s="144"/>
      <c r="RP347" s="144"/>
      <c r="RQ347" s="144"/>
      <c r="RR347" s="144"/>
      <c r="RS347" s="144"/>
      <c r="RT347" s="144"/>
      <c r="RU347" s="144"/>
      <c r="RV347" s="144"/>
      <c r="RW347" s="144"/>
      <c r="RX347" s="144"/>
      <c r="RY347" s="144"/>
      <c r="RZ347" s="144"/>
      <c r="SA347" s="144"/>
      <c r="SB347" s="144"/>
      <c r="SC347" s="144"/>
      <c r="SD347" s="144"/>
      <c r="SE347" s="144"/>
      <c r="SF347" s="144"/>
      <c r="SG347" s="144"/>
      <c r="SH347" s="144"/>
      <c r="SI347" s="144"/>
      <c r="SJ347" s="144"/>
      <c r="SK347" s="144"/>
      <c r="SL347" s="144"/>
      <c r="SM347" s="144"/>
      <c r="SN347" s="144"/>
      <c r="SO347" s="144"/>
      <c r="SP347" s="144"/>
      <c r="SQ347" s="144"/>
      <c r="SR347" s="144"/>
      <c r="SS347" s="144"/>
      <c r="ST347" s="144"/>
      <c r="SU347" s="144"/>
      <c r="SV347" s="144"/>
      <c r="SW347" s="144"/>
      <c r="SX347" s="144"/>
      <c r="SY347" s="144"/>
      <c r="SZ347" s="144"/>
      <c r="TA347" s="144"/>
      <c r="TB347" s="144"/>
      <c r="TC347" s="144"/>
      <c r="TD347" s="144"/>
      <c r="TE347" s="144"/>
      <c r="TF347" s="144"/>
      <c r="TG347" s="144"/>
      <c r="TH347" s="144"/>
      <c r="TI347" s="144"/>
      <c r="TJ347" s="144"/>
      <c r="TK347" s="144"/>
      <c r="TL347" s="144"/>
      <c r="TM347" s="144"/>
      <c r="TN347" s="144"/>
      <c r="TO347" s="144"/>
      <c r="TP347" s="144"/>
      <c r="TQ347" s="144"/>
      <c r="TR347" s="144"/>
      <c r="TS347" s="144"/>
      <c r="TT347" s="144"/>
      <c r="TU347" s="144"/>
      <c r="TV347" s="144"/>
      <c r="TW347" s="144"/>
      <c r="TX347" s="144"/>
      <c r="TY347" s="144"/>
      <c r="TZ347" s="144"/>
      <c r="UA347" s="144"/>
      <c r="UB347" s="144"/>
      <c r="UC347" s="144"/>
      <c r="UD347" s="144"/>
      <c r="UE347" s="144"/>
      <c r="UF347" s="144"/>
      <c r="UG347" s="144"/>
      <c r="UH347" s="144"/>
      <c r="UI347" s="144"/>
      <c r="UJ347" s="144"/>
      <c r="UK347" s="144"/>
      <c r="UL347" s="144"/>
      <c r="UM347" s="144"/>
      <c r="UN347" s="144"/>
      <c r="UO347" s="144"/>
      <c r="UP347" s="144"/>
      <c r="UQ347" s="144"/>
      <c r="UR347" s="144"/>
      <c r="US347" s="144"/>
    </row>
    <row r="348" spans="458:565" ht="48" customHeight="1">
      <c r="QP348" s="144"/>
      <c r="QQ348" s="144"/>
      <c r="QR348" s="144"/>
      <c r="QS348" s="144"/>
      <c r="QT348" s="144"/>
      <c r="QU348" s="144"/>
      <c r="QV348" s="144"/>
      <c r="QW348" s="144"/>
      <c r="QX348" s="144"/>
      <c r="QY348" s="144"/>
      <c r="QZ348" s="144"/>
      <c r="RA348" s="144"/>
      <c r="RB348" s="144"/>
      <c r="RC348" s="144"/>
      <c r="RD348" s="144"/>
      <c r="RE348" s="144"/>
      <c r="RF348" s="144"/>
      <c r="RG348" s="144"/>
      <c r="RH348" s="144"/>
      <c r="RI348" s="144"/>
      <c r="RJ348" s="144"/>
      <c r="RK348" s="144"/>
      <c r="RL348" s="144"/>
      <c r="RM348" s="144"/>
      <c r="RN348" s="144"/>
      <c r="RO348" s="144"/>
      <c r="RP348" s="144"/>
      <c r="RQ348" s="144"/>
      <c r="RR348" s="144"/>
      <c r="RS348" s="144"/>
      <c r="RT348" s="144"/>
      <c r="RU348" s="144"/>
      <c r="RV348" s="144"/>
      <c r="RW348" s="144"/>
      <c r="RX348" s="144"/>
      <c r="RY348" s="144"/>
      <c r="RZ348" s="144"/>
      <c r="SA348" s="144"/>
      <c r="SB348" s="144"/>
      <c r="SC348" s="144"/>
      <c r="SD348" s="144"/>
      <c r="SE348" s="144"/>
      <c r="SF348" s="144"/>
      <c r="SG348" s="144"/>
      <c r="SH348" s="144"/>
      <c r="SI348" s="144"/>
      <c r="SJ348" s="144"/>
      <c r="SK348" s="144"/>
      <c r="SL348" s="144"/>
      <c r="SM348" s="144"/>
      <c r="SN348" s="144"/>
      <c r="SO348" s="144"/>
      <c r="SP348" s="144"/>
      <c r="SQ348" s="144"/>
      <c r="SR348" s="144"/>
      <c r="SS348" s="144"/>
      <c r="ST348" s="144"/>
      <c r="SU348" s="144"/>
      <c r="SV348" s="144"/>
      <c r="SW348" s="144"/>
      <c r="SX348" s="144"/>
      <c r="SY348" s="144"/>
      <c r="SZ348" s="144"/>
      <c r="TA348" s="144"/>
      <c r="TB348" s="144"/>
      <c r="TC348" s="144"/>
      <c r="TD348" s="144"/>
      <c r="TE348" s="144"/>
      <c r="TF348" s="144"/>
      <c r="TG348" s="144"/>
      <c r="TH348" s="144"/>
      <c r="TI348" s="144"/>
      <c r="TJ348" s="144"/>
      <c r="TK348" s="144"/>
      <c r="TL348" s="144"/>
      <c r="TM348" s="144"/>
      <c r="TN348" s="144"/>
      <c r="TO348" s="144"/>
      <c r="TP348" s="144"/>
      <c r="TQ348" s="144"/>
      <c r="TR348" s="144"/>
      <c r="TS348" s="144"/>
      <c r="TT348" s="144"/>
      <c r="TU348" s="144"/>
      <c r="TV348" s="144"/>
      <c r="TW348" s="144"/>
      <c r="TX348" s="144"/>
      <c r="TY348" s="144"/>
      <c r="TZ348" s="144"/>
      <c r="UA348" s="144"/>
      <c r="UB348" s="144"/>
      <c r="UC348" s="144"/>
      <c r="UD348" s="144"/>
      <c r="UE348" s="144"/>
      <c r="UF348" s="144"/>
      <c r="UG348" s="144"/>
      <c r="UH348" s="144"/>
      <c r="UI348" s="144"/>
      <c r="UJ348" s="144"/>
      <c r="UK348" s="144"/>
      <c r="UL348" s="144"/>
      <c r="UM348" s="144"/>
      <c r="UN348" s="144"/>
      <c r="UO348" s="144"/>
      <c r="UP348" s="144"/>
      <c r="UQ348" s="144"/>
      <c r="UR348" s="144"/>
      <c r="US348" s="144"/>
    </row>
    <row r="349" spans="458:565" ht="48" customHeight="1">
      <c r="QP349" s="144"/>
      <c r="QQ349" s="144"/>
      <c r="QR349" s="144"/>
      <c r="QS349" s="144"/>
      <c r="QT349" s="144"/>
      <c r="QU349" s="144"/>
      <c r="QV349" s="144"/>
      <c r="QW349" s="144"/>
      <c r="QX349" s="144"/>
      <c r="QY349" s="144"/>
      <c r="QZ349" s="144"/>
      <c r="RA349" s="144"/>
      <c r="RB349" s="144"/>
      <c r="RC349" s="144"/>
      <c r="RD349" s="144"/>
      <c r="RE349" s="144"/>
      <c r="RF349" s="144"/>
      <c r="RG349" s="144"/>
      <c r="RH349" s="144"/>
      <c r="RI349" s="144"/>
      <c r="RJ349" s="144"/>
      <c r="RK349" s="144"/>
      <c r="RL349" s="144"/>
      <c r="RM349" s="144"/>
      <c r="RN349" s="144"/>
      <c r="RO349" s="144"/>
      <c r="RP349" s="144"/>
      <c r="RQ349" s="144"/>
      <c r="RR349" s="144"/>
      <c r="RS349" s="144"/>
      <c r="RT349" s="144"/>
      <c r="RU349" s="144"/>
      <c r="RV349" s="144"/>
      <c r="RW349" s="144"/>
      <c r="RX349" s="144"/>
      <c r="RY349" s="144"/>
      <c r="RZ349" s="144"/>
      <c r="SA349" s="144"/>
      <c r="SB349" s="144"/>
      <c r="SC349" s="144"/>
      <c r="SD349" s="144"/>
      <c r="SE349" s="144"/>
      <c r="SF349" s="144"/>
      <c r="SG349" s="144"/>
      <c r="SH349" s="144"/>
      <c r="SI349" s="144"/>
      <c r="SJ349" s="144"/>
      <c r="SK349" s="144"/>
      <c r="SL349" s="144"/>
      <c r="SM349" s="144"/>
      <c r="SN349" s="144"/>
      <c r="SO349" s="144"/>
      <c r="SP349" s="144"/>
      <c r="SQ349" s="144"/>
      <c r="SR349" s="144"/>
      <c r="SS349" s="144"/>
      <c r="ST349" s="144"/>
      <c r="SU349" s="144"/>
      <c r="SV349" s="144"/>
      <c r="SW349" s="144"/>
      <c r="SX349" s="144"/>
      <c r="SY349" s="144"/>
      <c r="SZ349" s="144"/>
      <c r="TA349" s="144"/>
      <c r="TB349" s="144"/>
      <c r="TC349" s="144"/>
      <c r="TD349" s="144"/>
      <c r="TE349" s="144"/>
      <c r="TF349" s="144"/>
      <c r="TG349" s="144"/>
      <c r="TH349" s="144"/>
      <c r="TI349" s="144"/>
      <c r="TJ349" s="144"/>
      <c r="TK349" s="144"/>
      <c r="TL349" s="144"/>
      <c r="TM349" s="144"/>
      <c r="TN349" s="144"/>
      <c r="TO349" s="144"/>
      <c r="TP349" s="144"/>
      <c r="TQ349" s="144"/>
      <c r="TR349" s="144"/>
      <c r="TS349" s="144"/>
      <c r="TT349" s="144"/>
      <c r="TU349" s="144"/>
      <c r="TV349" s="144"/>
      <c r="TW349" s="144"/>
      <c r="TX349" s="144"/>
      <c r="TY349" s="144"/>
      <c r="TZ349" s="144"/>
      <c r="UA349" s="144"/>
      <c r="UB349" s="144"/>
      <c r="UC349" s="144"/>
      <c r="UD349" s="144"/>
      <c r="UE349" s="144"/>
      <c r="UF349" s="144"/>
      <c r="UG349" s="144"/>
      <c r="UH349" s="144"/>
      <c r="UI349" s="144"/>
      <c r="UJ349" s="144"/>
      <c r="UK349" s="144"/>
      <c r="UL349" s="144"/>
      <c r="UM349" s="144"/>
      <c r="UN349" s="144"/>
      <c r="UO349" s="144"/>
      <c r="UP349" s="144"/>
      <c r="UQ349" s="144"/>
      <c r="UR349" s="144"/>
      <c r="US349" s="144"/>
    </row>
    <row r="350" spans="458:565" ht="48" customHeight="1">
      <c r="QP350" s="144"/>
      <c r="QQ350" s="144"/>
      <c r="QR350" s="144"/>
      <c r="QS350" s="144"/>
      <c r="QT350" s="144"/>
      <c r="QU350" s="144"/>
      <c r="QV350" s="144"/>
      <c r="QW350" s="144"/>
      <c r="QX350" s="144"/>
      <c r="QY350" s="144"/>
      <c r="QZ350" s="144"/>
      <c r="RA350" s="144"/>
      <c r="RB350" s="144"/>
      <c r="RC350" s="144"/>
      <c r="RD350" s="144"/>
      <c r="RE350" s="144"/>
      <c r="RF350" s="144"/>
      <c r="RG350" s="144"/>
      <c r="RH350" s="144"/>
      <c r="RI350" s="144"/>
      <c r="RJ350" s="144"/>
      <c r="RK350" s="144"/>
      <c r="RL350" s="144"/>
      <c r="RM350" s="144"/>
      <c r="RN350" s="144"/>
      <c r="RO350" s="144"/>
      <c r="RP350" s="144"/>
      <c r="RQ350" s="144"/>
      <c r="RR350" s="144"/>
      <c r="RS350" s="144"/>
      <c r="RT350" s="144"/>
      <c r="RU350" s="144"/>
      <c r="RV350" s="144"/>
      <c r="RW350" s="144"/>
      <c r="RX350" s="144"/>
      <c r="RY350" s="144"/>
      <c r="RZ350" s="144"/>
      <c r="SA350" s="144"/>
      <c r="SB350" s="144"/>
      <c r="SC350" s="144"/>
      <c r="SD350" s="144"/>
      <c r="SE350" s="144"/>
      <c r="SF350" s="144"/>
      <c r="SG350" s="144"/>
      <c r="SH350" s="144"/>
      <c r="SI350" s="144"/>
      <c r="SJ350" s="144"/>
      <c r="SK350" s="144"/>
      <c r="SL350" s="144"/>
      <c r="SM350" s="144"/>
      <c r="SN350" s="144"/>
      <c r="SO350" s="144"/>
      <c r="SP350" s="144"/>
      <c r="SQ350" s="144"/>
      <c r="SR350" s="144"/>
      <c r="SS350" s="144"/>
      <c r="ST350" s="144"/>
      <c r="SU350" s="144"/>
      <c r="SV350" s="144"/>
      <c r="SW350" s="144"/>
      <c r="SX350" s="144"/>
      <c r="SY350" s="144"/>
      <c r="SZ350" s="144"/>
      <c r="TA350" s="144"/>
      <c r="TB350" s="144"/>
      <c r="TC350" s="144"/>
      <c r="TD350" s="144"/>
      <c r="TE350" s="144"/>
      <c r="TF350" s="144"/>
      <c r="TG350" s="144"/>
      <c r="TH350" s="144"/>
      <c r="TI350" s="144"/>
      <c r="TJ350" s="144"/>
      <c r="TK350" s="144"/>
      <c r="TL350" s="144"/>
      <c r="TM350" s="144"/>
      <c r="TN350" s="144"/>
      <c r="TO350" s="144"/>
      <c r="TP350" s="144"/>
      <c r="TQ350" s="144"/>
      <c r="TR350" s="144"/>
      <c r="TS350" s="144"/>
      <c r="TT350" s="144"/>
      <c r="TU350" s="144"/>
      <c r="TV350" s="144"/>
      <c r="TW350" s="144"/>
      <c r="TX350" s="144"/>
      <c r="TY350" s="144"/>
      <c r="TZ350" s="144"/>
      <c r="UA350" s="144"/>
      <c r="UB350" s="144"/>
      <c r="UC350" s="144"/>
      <c r="UD350" s="144"/>
      <c r="UE350" s="144"/>
      <c r="UF350" s="144"/>
      <c r="UG350" s="144"/>
      <c r="UH350" s="144"/>
      <c r="UI350" s="144"/>
      <c r="UJ350" s="144"/>
      <c r="UK350" s="144"/>
      <c r="UL350" s="144"/>
      <c r="UM350" s="144"/>
      <c r="UN350" s="144"/>
      <c r="UO350" s="144"/>
      <c r="UP350" s="144"/>
      <c r="UQ350" s="144"/>
      <c r="UR350" s="144"/>
      <c r="US350" s="144"/>
    </row>
    <row r="351" spans="458:565" ht="48" customHeight="1">
      <c r="QP351" s="144"/>
      <c r="QQ351" s="144"/>
      <c r="QR351" s="144"/>
      <c r="QS351" s="144"/>
      <c r="QT351" s="144"/>
      <c r="QU351" s="144"/>
      <c r="QV351" s="144"/>
      <c r="QW351" s="144"/>
      <c r="QX351" s="144"/>
      <c r="QY351" s="144"/>
      <c r="QZ351" s="144"/>
      <c r="RA351" s="144"/>
      <c r="RB351" s="144"/>
      <c r="RC351" s="144"/>
      <c r="RD351" s="144"/>
      <c r="RE351" s="144"/>
      <c r="RF351" s="144"/>
      <c r="RG351" s="144"/>
      <c r="RH351" s="144"/>
      <c r="RI351" s="144"/>
      <c r="RJ351" s="144"/>
      <c r="RK351" s="144"/>
      <c r="RL351" s="144"/>
      <c r="RM351" s="144"/>
      <c r="RN351" s="144"/>
      <c r="RO351" s="144"/>
      <c r="RP351" s="144"/>
      <c r="RQ351" s="144"/>
      <c r="RR351" s="144"/>
      <c r="RS351" s="144"/>
      <c r="RT351" s="144"/>
      <c r="RU351" s="144"/>
      <c r="RV351" s="144"/>
      <c r="RW351" s="144"/>
      <c r="RX351" s="144"/>
      <c r="RY351" s="144"/>
      <c r="RZ351" s="144"/>
      <c r="SA351" s="144"/>
      <c r="SB351" s="144"/>
      <c r="SC351" s="144"/>
      <c r="SD351" s="144"/>
      <c r="SE351" s="144"/>
      <c r="SF351" s="144"/>
      <c r="SG351" s="144"/>
      <c r="SH351" s="144"/>
      <c r="SI351" s="144"/>
      <c r="SJ351" s="144"/>
      <c r="SK351" s="144"/>
      <c r="SL351" s="144"/>
      <c r="SM351" s="144"/>
      <c r="SN351" s="144"/>
      <c r="SO351" s="144"/>
      <c r="SP351" s="144"/>
      <c r="SQ351" s="144"/>
      <c r="SR351" s="144"/>
      <c r="SS351" s="144"/>
      <c r="ST351" s="144"/>
      <c r="SU351" s="144"/>
      <c r="SV351" s="144"/>
      <c r="SW351" s="144"/>
      <c r="SX351" s="144"/>
      <c r="SY351" s="144"/>
      <c r="SZ351" s="144"/>
      <c r="TA351" s="144"/>
      <c r="TB351" s="144"/>
      <c r="TC351" s="144"/>
      <c r="TD351" s="144"/>
      <c r="TE351" s="144"/>
      <c r="TF351" s="144"/>
      <c r="TG351" s="144"/>
      <c r="TH351" s="144"/>
      <c r="TI351" s="144"/>
      <c r="TJ351" s="144"/>
      <c r="TK351" s="144"/>
      <c r="TL351" s="144"/>
      <c r="TM351" s="144"/>
      <c r="TN351" s="144"/>
      <c r="TO351" s="144"/>
      <c r="TP351" s="144"/>
      <c r="TQ351" s="144"/>
      <c r="TR351" s="144"/>
      <c r="TS351" s="144"/>
      <c r="TT351" s="144"/>
      <c r="TU351" s="144"/>
      <c r="TV351" s="144"/>
      <c r="TW351" s="144"/>
      <c r="TX351" s="144"/>
      <c r="TY351" s="144"/>
      <c r="TZ351" s="144"/>
      <c r="UA351" s="144"/>
      <c r="UB351" s="144"/>
      <c r="UC351" s="144"/>
      <c r="UD351" s="144"/>
      <c r="UE351" s="144"/>
      <c r="UF351" s="144"/>
      <c r="UG351" s="144"/>
      <c r="UH351" s="144"/>
      <c r="UI351" s="144"/>
      <c r="UJ351" s="144"/>
      <c r="UK351" s="144"/>
      <c r="UL351" s="144"/>
      <c r="UM351" s="144"/>
      <c r="UN351" s="144"/>
      <c r="UO351" s="144"/>
      <c r="UP351" s="144"/>
      <c r="UQ351" s="144"/>
      <c r="UR351" s="144"/>
      <c r="US351" s="144"/>
    </row>
    <row r="352" spans="458:565" ht="48" customHeight="1">
      <c r="QP352" s="144"/>
      <c r="QQ352" s="144"/>
      <c r="QR352" s="144"/>
      <c r="QS352" s="144"/>
      <c r="QT352" s="144"/>
      <c r="QU352" s="144"/>
      <c r="QV352" s="144"/>
      <c r="QW352" s="144"/>
      <c r="QX352" s="144"/>
      <c r="QY352" s="144"/>
      <c r="QZ352" s="144"/>
      <c r="RA352" s="144"/>
      <c r="RB352" s="144"/>
      <c r="RC352" s="144"/>
      <c r="RD352" s="144"/>
      <c r="RE352" s="144"/>
      <c r="RF352" s="144"/>
      <c r="RG352" s="144"/>
      <c r="RH352" s="144"/>
      <c r="RI352" s="144"/>
      <c r="RJ352" s="144"/>
      <c r="RK352" s="144"/>
      <c r="RL352" s="144"/>
      <c r="RM352" s="144"/>
      <c r="RN352" s="144"/>
      <c r="RO352" s="144"/>
      <c r="RP352" s="144"/>
      <c r="RQ352" s="144"/>
      <c r="RR352" s="144"/>
      <c r="RS352" s="144"/>
      <c r="RT352" s="144"/>
      <c r="RU352" s="144"/>
      <c r="RV352" s="144"/>
      <c r="RW352" s="144"/>
      <c r="RX352" s="144"/>
      <c r="RY352" s="144"/>
      <c r="RZ352" s="144"/>
      <c r="SA352" s="144"/>
      <c r="SB352" s="144"/>
      <c r="SC352" s="144"/>
      <c r="SD352" s="144"/>
      <c r="SE352" s="144"/>
      <c r="SF352" s="144"/>
      <c r="SG352" s="144"/>
      <c r="SH352" s="144"/>
      <c r="SI352" s="144"/>
      <c r="SJ352" s="144"/>
      <c r="SK352" s="144"/>
      <c r="SL352" s="144"/>
      <c r="SM352" s="144"/>
      <c r="SN352" s="144"/>
      <c r="SO352" s="144"/>
      <c r="SP352" s="144"/>
      <c r="SQ352" s="144"/>
      <c r="SR352" s="144"/>
      <c r="SS352" s="144"/>
      <c r="ST352" s="144"/>
      <c r="SU352" s="144"/>
      <c r="SV352" s="144"/>
      <c r="SW352" s="144"/>
      <c r="SX352" s="144"/>
      <c r="SY352" s="144"/>
      <c r="SZ352" s="144"/>
      <c r="TA352" s="144"/>
      <c r="TB352" s="144"/>
      <c r="TC352" s="144"/>
      <c r="TD352" s="144"/>
      <c r="TE352" s="144"/>
      <c r="TF352" s="144"/>
      <c r="TG352" s="144"/>
      <c r="TH352" s="144"/>
      <c r="TI352" s="144"/>
      <c r="TJ352" s="144"/>
      <c r="TK352" s="144"/>
      <c r="TL352" s="144"/>
      <c r="TM352" s="144"/>
      <c r="TN352" s="144"/>
      <c r="TO352" s="144"/>
      <c r="TP352" s="144"/>
      <c r="TQ352" s="144"/>
      <c r="TR352" s="144"/>
      <c r="TS352" s="144"/>
      <c r="TT352" s="144"/>
      <c r="TU352" s="144"/>
      <c r="TV352" s="144"/>
      <c r="TW352" s="144"/>
      <c r="TX352" s="144"/>
      <c r="TY352" s="144"/>
      <c r="TZ352" s="144"/>
      <c r="UA352" s="144"/>
      <c r="UB352" s="144"/>
      <c r="UC352" s="144"/>
      <c r="UD352" s="144"/>
      <c r="UE352" s="144"/>
      <c r="UF352" s="144"/>
      <c r="UG352" s="144"/>
      <c r="UH352" s="144"/>
      <c r="UI352" s="144"/>
      <c r="UJ352" s="144"/>
      <c r="UK352" s="144"/>
      <c r="UL352" s="144"/>
      <c r="UM352" s="144"/>
      <c r="UN352" s="144"/>
      <c r="UO352" s="144"/>
      <c r="UP352" s="144"/>
      <c r="UQ352" s="144"/>
      <c r="UR352" s="144"/>
      <c r="US352" s="144"/>
    </row>
    <row r="353" spans="458:565" ht="48" customHeight="1">
      <c r="QP353" s="144"/>
      <c r="QQ353" s="144"/>
      <c r="QR353" s="144"/>
      <c r="QS353" s="144"/>
      <c r="QT353" s="144"/>
      <c r="QU353" s="144"/>
      <c r="QV353" s="144"/>
      <c r="QW353" s="144"/>
      <c r="QX353" s="144"/>
      <c r="QY353" s="144"/>
      <c r="QZ353" s="144"/>
      <c r="RA353" s="144"/>
      <c r="RB353" s="144"/>
      <c r="RC353" s="144"/>
      <c r="RD353" s="144"/>
      <c r="RE353" s="144"/>
      <c r="RF353" s="144"/>
      <c r="RG353" s="144"/>
      <c r="RH353" s="144"/>
      <c r="RI353" s="144"/>
      <c r="RJ353" s="144"/>
      <c r="RK353" s="144"/>
      <c r="RL353" s="144"/>
      <c r="RM353" s="144"/>
      <c r="RN353" s="144"/>
      <c r="RO353" s="144"/>
      <c r="RP353" s="144"/>
      <c r="RQ353" s="144"/>
      <c r="RR353" s="144"/>
      <c r="RS353" s="144"/>
      <c r="RT353" s="144"/>
      <c r="RU353" s="144"/>
      <c r="RV353" s="144"/>
      <c r="RW353" s="144"/>
      <c r="RX353" s="144"/>
      <c r="RY353" s="144"/>
      <c r="RZ353" s="144"/>
      <c r="SA353" s="144"/>
      <c r="SB353" s="144"/>
      <c r="SC353" s="144"/>
      <c r="SD353" s="144"/>
      <c r="SE353" s="144"/>
      <c r="SF353" s="144"/>
      <c r="SG353" s="144"/>
      <c r="SH353" s="144"/>
      <c r="SI353" s="144"/>
      <c r="SJ353" s="144"/>
      <c r="SK353" s="144"/>
      <c r="SL353" s="144"/>
      <c r="SM353" s="144"/>
      <c r="SN353" s="144"/>
      <c r="SO353" s="144"/>
      <c r="SP353" s="144"/>
      <c r="SQ353" s="144"/>
      <c r="SR353" s="144"/>
      <c r="SS353" s="144"/>
      <c r="ST353" s="144"/>
      <c r="SU353" s="144"/>
      <c r="SV353" s="144"/>
      <c r="SW353" s="144"/>
      <c r="SX353" s="144"/>
      <c r="SY353" s="144"/>
      <c r="SZ353" s="144"/>
      <c r="TA353" s="144"/>
      <c r="TB353" s="144"/>
      <c r="TC353" s="144"/>
      <c r="TD353" s="144"/>
      <c r="TE353" s="144"/>
      <c r="TF353" s="144"/>
      <c r="TG353" s="144"/>
      <c r="TH353" s="144"/>
      <c r="TI353" s="144"/>
      <c r="TJ353" s="144"/>
      <c r="TK353" s="144"/>
      <c r="TL353" s="144"/>
      <c r="TM353" s="144"/>
      <c r="TN353" s="144"/>
      <c r="TO353" s="144"/>
      <c r="TP353" s="144"/>
      <c r="TQ353" s="144"/>
      <c r="TR353" s="144"/>
      <c r="TS353" s="144"/>
      <c r="TT353" s="144"/>
      <c r="TU353" s="144"/>
      <c r="TV353" s="144"/>
      <c r="TW353" s="144"/>
      <c r="TX353" s="144"/>
      <c r="TY353" s="144"/>
      <c r="TZ353" s="144"/>
      <c r="UA353" s="144"/>
      <c r="UB353" s="144"/>
      <c r="UC353" s="144"/>
      <c r="UD353" s="144"/>
      <c r="UE353" s="144"/>
      <c r="UF353" s="144"/>
      <c r="UG353" s="144"/>
      <c r="UH353" s="144"/>
      <c r="UI353" s="144"/>
      <c r="UJ353" s="144"/>
      <c r="UK353" s="144"/>
      <c r="UL353" s="144"/>
      <c r="UM353" s="144"/>
      <c r="UN353" s="144"/>
      <c r="UO353" s="144"/>
      <c r="UP353" s="144"/>
      <c r="UQ353" s="144"/>
      <c r="UR353" s="144"/>
      <c r="US353" s="144"/>
    </row>
    <row r="354" spans="458:565" ht="48" customHeight="1">
      <c r="QP354" s="144"/>
      <c r="QQ354" s="144"/>
      <c r="QR354" s="144"/>
      <c r="QS354" s="144"/>
      <c r="QT354" s="144"/>
      <c r="QU354" s="144"/>
      <c r="QV354" s="144"/>
      <c r="QW354" s="144"/>
      <c r="QX354" s="144"/>
      <c r="QY354" s="144"/>
      <c r="QZ354" s="144"/>
      <c r="RA354" s="144"/>
      <c r="RB354" s="144"/>
      <c r="RC354" s="144"/>
      <c r="RD354" s="144"/>
      <c r="RE354" s="144"/>
      <c r="RF354" s="144"/>
      <c r="RG354" s="144"/>
      <c r="RH354" s="144"/>
      <c r="RI354" s="144"/>
      <c r="RJ354" s="144"/>
      <c r="RK354" s="144"/>
      <c r="RL354" s="144"/>
      <c r="RM354" s="144"/>
      <c r="RN354" s="144"/>
      <c r="RO354" s="144"/>
      <c r="RP354" s="144"/>
      <c r="RQ354" s="144"/>
      <c r="RR354" s="144"/>
      <c r="RS354" s="144"/>
      <c r="RT354" s="144"/>
      <c r="RU354" s="144"/>
      <c r="RV354" s="144"/>
      <c r="RW354" s="144"/>
      <c r="RX354" s="144"/>
      <c r="RY354" s="144"/>
      <c r="RZ354" s="144"/>
      <c r="SA354" s="144"/>
      <c r="SB354" s="144"/>
      <c r="SC354" s="144"/>
      <c r="SD354" s="144"/>
      <c r="SE354" s="144"/>
      <c r="SF354" s="144"/>
      <c r="SG354" s="144"/>
      <c r="SH354" s="144"/>
      <c r="SI354" s="144"/>
      <c r="SJ354" s="144"/>
      <c r="SK354" s="144"/>
      <c r="SL354" s="144"/>
      <c r="SM354" s="144"/>
      <c r="SN354" s="144"/>
      <c r="SO354" s="144"/>
      <c r="SP354" s="144"/>
      <c r="SQ354" s="144"/>
      <c r="SR354" s="144"/>
      <c r="SS354" s="144"/>
      <c r="ST354" s="144"/>
      <c r="SU354" s="144"/>
      <c r="SV354" s="144"/>
      <c r="SW354" s="144"/>
      <c r="SX354" s="144"/>
      <c r="SY354" s="144"/>
      <c r="SZ354" s="144"/>
      <c r="TA354" s="144"/>
      <c r="TB354" s="144"/>
      <c r="TC354" s="144"/>
      <c r="TD354" s="144"/>
      <c r="TE354" s="144"/>
      <c r="TF354" s="144"/>
      <c r="TG354" s="144"/>
      <c r="TH354" s="144"/>
      <c r="TI354" s="144"/>
      <c r="TJ354" s="144"/>
      <c r="TK354" s="144"/>
      <c r="TL354" s="144"/>
      <c r="TM354" s="144"/>
      <c r="TN354" s="144"/>
      <c r="TO354" s="144"/>
      <c r="TP354" s="144"/>
      <c r="TQ354" s="144"/>
      <c r="TR354" s="144"/>
      <c r="TS354" s="144"/>
      <c r="TT354" s="144"/>
      <c r="TU354" s="144"/>
      <c r="TV354" s="144"/>
      <c r="TW354" s="144"/>
      <c r="TX354" s="144"/>
      <c r="TY354" s="144"/>
      <c r="TZ354" s="144"/>
      <c r="UA354" s="144"/>
      <c r="UB354" s="144"/>
      <c r="UC354" s="144"/>
      <c r="UD354" s="144"/>
      <c r="UE354" s="144"/>
      <c r="UF354" s="144"/>
      <c r="UG354" s="144"/>
      <c r="UH354" s="144"/>
      <c r="UI354" s="144"/>
      <c r="UJ354" s="144"/>
      <c r="UK354" s="144"/>
      <c r="UL354" s="144"/>
      <c r="UM354" s="144"/>
      <c r="UN354" s="144"/>
      <c r="UO354" s="144"/>
      <c r="UP354" s="144"/>
      <c r="UQ354" s="144"/>
      <c r="UR354" s="144"/>
      <c r="US354" s="144"/>
    </row>
    <row r="355" spans="458:565" ht="48" customHeight="1">
      <c r="QP355" s="144"/>
      <c r="QQ355" s="144"/>
      <c r="QR355" s="144"/>
      <c r="QS355" s="144"/>
      <c r="QT355" s="144"/>
      <c r="QU355" s="144"/>
      <c r="QV355" s="144"/>
      <c r="QW355" s="144"/>
      <c r="QX355" s="144"/>
      <c r="QY355" s="144"/>
      <c r="QZ355" s="144"/>
      <c r="RA355" s="144"/>
      <c r="RB355" s="144"/>
      <c r="RC355" s="144"/>
      <c r="RD355" s="144"/>
      <c r="RE355" s="144"/>
      <c r="RF355" s="144"/>
      <c r="RG355" s="144"/>
      <c r="RH355" s="144"/>
      <c r="RI355" s="144"/>
      <c r="RJ355" s="144"/>
      <c r="RK355" s="144"/>
      <c r="RL355" s="144"/>
      <c r="RM355" s="144"/>
      <c r="RN355" s="144"/>
      <c r="RO355" s="144"/>
      <c r="RP355" s="144"/>
      <c r="RQ355" s="144"/>
      <c r="RR355" s="144"/>
      <c r="RS355" s="144"/>
      <c r="RT355" s="144"/>
      <c r="RU355" s="144"/>
      <c r="RV355" s="144"/>
      <c r="RW355" s="144"/>
      <c r="RX355" s="144"/>
      <c r="RY355" s="144"/>
      <c r="RZ355" s="144"/>
      <c r="SA355" s="144"/>
      <c r="SB355" s="144"/>
      <c r="SC355" s="144"/>
      <c r="SD355" s="144"/>
      <c r="SE355" s="144"/>
      <c r="SF355" s="144"/>
      <c r="SG355" s="144"/>
      <c r="SH355" s="144"/>
      <c r="SI355" s="144"/>
      <c r="SJ355" s="144"/>
      <c r="SK355" s="144"/>
      <c r="SL355" s="144"/>
      <c r="SM355" s="144"/>
      <c r="SN355" s="144"/>
      <c r="SO355" s="144"/>
      <c r="SP355" s="144"/>
      <c r="SQ355" s="144"/>
      <c r="SR355" s="144"/>
      <c r="SS355" s="144"/>
      <c r="ST355" s="144"/>
      <c r="SU355" s="144"/>
      <c r="SV355" s="144"/>
      <c r="SW355" s="144"/>
      <c r="SX355" s="144"/>
      <c r="SY355" s="144"/>
      <c r="SZ355" s="144"/>
      <c r="TA355" s="144"/>
      <c r="TB355" s="144"/>
      <c r="TC355" s="144"/>
      <c r="TD355" s="144"/>
      <c r="TE355" s="144"/>
      <c r="TF355" s="144"/>
      <c r="TG355" s="144"/>
      <c r="TH355" s="144"/>
      <c r="TI355" s="144"/>
      <c r="TJ355" s="144"/>
      <c r="TK355" s="144"/>
      <c r="TL355" s="144"/>
      <c r="TM355" s="144"/>
      <c r="TN355" s="144"/>
      <c r="TO355" s="144"/>
      <c r="TP355" s="144"/>
      <c r="TQ355" s="144"/>
      <c r="TR355" s="144"/>
      <c r="TS355" s="144"/>
      <c r="TT355" s="144"/>
      <c r="TU355" s="144"/>
      <c r="TV355" s="144"/>
      <c r="TW355" s="144"/>
      <c r="TX355" s="144"/>
      <c r="TY355" s="144"/>
      <c r="TZ355" s="144"/>
      <c r="UA355" s="144"/>
      <c r="UB355" s="144"/>
      <c r="UC355" s="144"/>
      <c r="UD355" s="144"/>
      <c r="UE355" s="144"/>
      <c r="UF355" s="144"/>
      <c r="UG355" s="144"/>
      <c r="UH355" s="144"/>
      <c r="UI355" s="144"/>
      <c r="UJ355" s="144"/>
      <c r="UK355" s="144"/>
      <c r="UL355" s="144"/>
      <c r="UM355" s="144"/>
      <c r="UN355" s="144"/>
      <c r="UO355" s="144"/>
      <c r="UP355" s="144"/>
      <c r="UQ355" s="144"/>
      <c r="UR355" s="144"/>
      <c r="US355" s="144"/>
    </row>
    <row r="356" spans="458:565" ht="48" customHeight="1">
      <c r="QP356" s="144"/>
      <c r="QQ356" s="144"/>
      <c r="QR356" s="144"/>
      <c r="QS356" s="144"/>
      <c r="QT356" s="144"/>
      <c r="QU356" s="144"/>
      <c r="QV356" s="144"/>
      <c r="QW356" s="144"/>
      <c r="QX356" s="144"/>
      <c r="QY356" s="144"/>
      <c r="QZ356" s="144"/>
      <c r="RA356" s="144"/>
      <c r="RB356" s="144"/>
      <c r="RC356" s="144"/>
      <c r="RD356" s="144"/>
      <c r="RE356" s="144"/>
      <c r="RF356" s="144"/>
      <c r="RG356" s="144"/>
      <c r="RH356" s="144"/>
      <c r="RI356" s="144"/>
      <c r="RJ356" s="144"/>
      <c r="RK356" s="144"/>
      <c r="RL356" s="144"/>
      <c r="RM356" s="144"/>
      <c r="RN356" s="144"/>
      <c r="RO356" s="144"/>
      <c r="RP356" s="144"/>
      <c r="RQ356" s="144"/>
      <c r="RR356" s="144"/>
      <c r="RS356" s="144"/>
      <c r="RT356" s="144"/>
      <c r="RU356" s="144"/>
      <c r="RV356" s="144"/>
      <c r="RW356" s="144"/>
      <c r="RX356" s="144"/>
      <c r="RY356" s="144"/>
      <c r="RZ356" s="144"/>
      <c r="SA356" s="144"/>
      <c r="SB356" s="144"/>
      <c r="SC356" s="144"/>
      <c r="SD356" s="144"/>
      <c r="SE356" s="144"/>
      <c r="SF356" s="144"/>
      <c r="SG356" s="144"/>
      <c r="SH356" s="144"/>
      <c r="SI356" s="144"/>
      <c r="SJ356" s="144"/>
      <c r="SK356" s="144"/>
      <c r="SL356" s="144"/>
      <c r="SM356" s="144"/>
      <c r="SN356" s="144"/>
      <c r="SO356" s="144"/>
      <c r="SP356" s="144"/>
      <c r="SQ356" s="144"/>
      <c r="SR356" s="144"/>
      <c r="SS356" s="144"/>
      <c r="ST356" s="144"/>
      <c r="SU356" s="144"/>
      <c r="SV356" s="144"/>
      <c r="SW356" s="144"/>
      <c r="SX356" s="144"/>
      <c r="SY356" s="144"/>
      <c r="SZ356" s="144"/>
      <c r="TA356" s="144"/>
      <c r="TB356" s="144"/>
      <c r="TC356" s="144"/>
      <c r="TD356" s="144"/>
      <c r="TE356" s="144"/>
      <c r="TF356" s="144"/>
      <c r="TG356" s="144"/>
      <c r="TH356" s="144"/>
      <c r="TI356" s="144"/>
      <c r="TJ356" s="144"/>
      <c r="TK356" s="144"/>
      <c r="TL356" s="144"/>
      <c r="TM356" s="144"/>
      <c r="TN356" s="144"/>
      <c r="TO356" s="144"/>
      <c r="TP356" s="144"/>
      <c r="TQ356" s="144"/>
      <c r="TR356" s="144"/>
      <c r="TS356" s="144"/>
      <c r="TT356" s="144"/>
      <c r="TU356" s="144"/>
      <c r="TV356" s="144"/>
      <c r="TW356" s="144"/>
      <c r="TX356" s="144"/>
      <c r="TY356" s="144"/>
      <c r="TZ356" s="144"/>
      <c r="UA356" s="144"/>
      <c r="UB356" s="144"/>
      <c r="UC356" s="144"/>
      <c r="UD356" s="144"/>
      <c r="UE356" s="144"/>
      <c r="UF356" s="144"/>
      <c r="UG356" s="144"/>
      <c r="UH356" s="144"/>
      <c r="UI356" s="144"/>
      <c r="UJ356" s="144"/>
      <c r="UK356" s="144"/>
      <c r="UL356" s="144"/>
      <c r="UM356" s="144"/>
      <c r="UN356" s="144"/>
      <c r="UO356" s="144"/>
      <c r="UP356" s="144"/>
      <c r="UQ356" s="144"/>
      <c r="UR356" s="144"/>
      <c r="US356" s="144"/>
    </row>
    <row r="357" spans="458:565" ht="48" customHeight="1">
      <c r="QP357" s="144"/>
      <c r="QQ357" s="144"/>
      <c r="QR357" s="144"/>
      <c r="QS357" s="144"/>
      <c r="QT357" s="144"/>
      <c r="QU357" s="144"/>
      <c r="QV357" s="144"/>
      <c r="QW357" s="144"/>
      <c r="QX357" s="144"/>
      <c r="QY357" s="144"/>
      <c r="QZ357" s="144"/>
      <c r="RA357" s="144"/>
      <c r="RB357" s="144"/>
      <c r="RC357" s="144"/>
      <c r="RD357" s="144"/>
      <c r="RE357" s="144"/>
      <c r="RF357" s="144"/>
      <c r="RG357" s="144"/>
      <c r="RH357" s="144"/>
      <c r="RI357" s="144"/>
      <c r="RJ357" s="144"/>
      <c r="RK357" s="144"/>
      <c r="RL357" s="144"/>
      <c r="RM357" s="144"/>
      <c r="RN357" s="144"/>
      <c r="RO357" s="144"/>
      <c r="RP357" s="144"/>
      <c r="RQ357" s="144"/>
      <c r="RR357" s="144"/>
      <c r="RS357" s="144"/>
      <c r="RT357" s="144"/>
      <c r="RU357" s="144"/>
      <c r="RV357" s="144"/>
      <c r="RW357" s="144"/>
      <c r="RX357" s="144"/>
      <c r="RY357" s="144"/>
      <c r="RZ357" s="144"/>
      <c r="SA357" s="144"/>
      <c r="SB357" s="144"/>
      <c r="SC357" s="144"/>
      <c r="SD357" s="144"/>
      <c r="SE357" s="144"/>
      <c r="SF357" s="144"/>
      <c r="SG357" s="144"/>
      <c r="SH357" s="144"/>
      <c r="SI357" s="144"/>
      <c r="SJ357" s="144"/>
      <c r="SK357" s="144"/>
      <c r="SL357" s="144"/>
      <c r="SM357" s="144"/>
      <c r="SN357" s="144"/>
      <c r="SO357" s="144"/>
      <c r="SP357" s="144"/>
      <c r="SQ357" s="144"/>
      <c r="SR357" s="144"/>
      <c r="SS357" s="144"/>
      <c r="ST357" s="144"/>
      <c r="SU357" s="144"/>
      <c r="SV357" s="144"/>
      <c r="SW357" s="144"/>
      <c r="SX357" s="144"/>
      <c r="SY357" s="144"/>
      <c r="SZ357" s="144"/>
      <c r="TA357" s="144"/>
      <c r="TB357" s="144"/>
      <c r="TC357" s="144"/>
      <c r="TD357" s="144"/>
      <c r="TE357" s="144"/>
      <c r="TF357" s="144"/>
      <c r="TG357" s="144"/>
      <c r="TH357" s="144"/>
      <c r="TI357" s="144"/>
      <c r="TJ357" s="144"/>
      <c r="TK357" s="144"/>
      <c r="TL357" s="144"/>
      <c r="TM357" s="144"/>
      <c r="TN357" s="144"/>
      <c r="TO357" s="144"/>
      <c r="TP357" s="144"/>
      <c r="TQ357" s="144"/>
      <c r="TR357" s="144"/>
      <c r="TS357" s="144"/>
      <c r="TT357" s="144"/>
      <c r="TU357" s="144"/>
      <c r="TV357" s="144"/>
      <c r="TW357" s="144"/>
      <c r="TX357" s="144"/>
      <c r="TY357" s="144"/>
      <c r="TZ357" s="144"/>
      <c r="UA357" s="144"/>
      <c r="UB357" s="144"/>
      <c r="UC357" s="144"/>
      <c r="UD357" s="144"/>
      <c r="UE357" s="144"/>
      <c r="UF357" s="144"/>
      <c r="UG357" s="144"/>
      <c r="UH357" s="144"/>
      <c r="UI357" s="144"/>
      <c r="UJ357" s="144"/>
      <c r="UK357" s="144"/>
      <c r="UL357" s="144"/>
      <c r="UM357" s="144"/>
      <c r="UN357" s="144"/>
      <c r="UO357" s="144"/>
      <c r="UP357" s="144"/>
      <c r="UQ357" s="144"/>
      <c r="UR357" s="144"/>
      <c r="US357" s="144"/>
    </row>
    <row r="358" spans="458:565" ht="48" customHeight="1">
      <c r="QP358" s="144"/>
      <c r="QQ358" s="144"/>
      <c r="QR358" s="144"/>
      <c r="QS358" s="144"/>
      <c r="QT358" s="144"/>
      <c r="QU358" s="144"/>
      <c r="QV358" s="144"/>
      <c r="QW358" s="144"/>
      <c r="QX358" s="144"/>
      <c r="QY358" s="144"/>
      <c r="QZ358" s="144"/>
      <c r="RA358" s="144"/>
      <c r="RB358" s="144"/>
      <c r="RC358" s="144"/>
      <c r="RD358" s="144"/>
      <c r="RE358" s="144"/>
      <c r="RF358" s="144"/>
      <c r="RG358" s="144"/>
      <c r="RH358" s="144"/>
      <c r="RI358" s="144"/>
      <c r="RJ358" s="144"/>
      <c r="RK358" s="144"/>
      <c r="RL358" s="144"/>
      <c r="RM358" s="144"/>
      <c r="RN358" s="144"/>
      <c r="RO358" s="144"/>
      <c r="RP358" s="144"/>
      <c r="RQ358" s="144"/>
      <c r="RR358" s="144"/>
      <c r="RS358" s="144"/>
      <c r="RT358" s="144"/>
      <c r="RU358" s="144"/>
      <c r="RV358" s="144"/>
      <c r="RW358" s="144"/>
      <c r="RX358" s="144"/>
      <c r="RY358" s="144"/>
      <c r="RZ358" s="144"/>
      <c r="SA358" s="144"/>
      <c r="SB358" s="144"/>
      <c r="SC358" s="144"/>
      <c r="SD358" s="144"/>
      <c r="SE358" s="144"/>
      <c r="SF358" s="144"/>
      <c r="SG358" s="144"/>
      <c r="SH358" s="144"/>
      <c r="SI358" s="144"/>
      <c r="SJ358" s="144"/>
      <c r="SK358" s="144"/>
      <c r="SL358" s="144"/>
      <c r="SM358" s="144"/>
      <c r="SN358" s="144"/>
      <c r="SO358" s="144"/>
      <c r="SP358" s="144"/>
      <c r="SQ358" s="144"/>
      <c r="SR358" s="144"/>
      <c r="SS358" s="144"/>
      <c r="ST358" s="144"/>
      <c r="SU358" s="144"/>
      <c r="SV358" s="144"/>
      <c r="SW358" s="144"/>
      <c r="SX358" s="144"/>
      <c r="SY358" s="144"/>
      <c r="SZ358" s="144"/>
      <c r="TA358" s="144"/>
      <c r="TB358" s="144"/>
      <c r="TC358" s="144"/>
      <c r="TD358" s="144"/>
      <c r="TE358" s="144"/>
      <c r="TF358" s="144"/>
      <c r="TG358" s="144"/>
      <c r="TH358" s="144"/>
      <c r="TI358" s="144"/>
      <c r="TJ358" s="144"/>
      <c r="TK358" s="144"/>
      <c r="TL358" s="144"/>
      <c r="TM358" s="144"/>
      <c r="TN358" s="144"/>
      <c r="TO358" s="144"/>
      <c r="TP358" s="144"/>
      <c r="TQ358" s="144"/>
      <c r="TR358" s="144"/>
      <c r="TS358" s="144"/>
      <c r="TT358" s="144"/>
      <c r="TU358" s="144"/>
      <c r="TV358" s="144"/>
      <c r="TW358" s="144"/>
      <c r="TX358" s="144"/>
      <c r="TY358" s="144"/>
      <c r="TZ358" s="144"/>
      <c r="UA358" s="144"/>
      <c r="UB358" s="144"/>
      <c r="UC358" s="144"/>
      <c r="UD358" s="144"/>
      <c r="UE358" s="144"/>
      <c r="UF358" s="144"/>
      <c r="UG358" s="144"/>
      <c r="UH358" s="144"/>
      <c r="UI358" s="144"/>
      <c r="UJ358" s="144"/>
      <c r="UK358" s="144"/>
      <c r="UL358" s="144"/>
      <c r="UM358" s="144"/>
      <c r="UN358" s="144"/>
      <c r="UO358" s="144"/>
      <c r="UP358" s="144"/>
      <c r="UQ358" s="144"/>
      <c r="UR358" s="144"/>
      <c r="US358" s="144"/>
    </row>
    <row r="359" spans="458:565" ht="48" customHeight="1">
      <c r="QP359" s="144"/>
      <c r="QQ359" s="144"/>
      <c r="QR359" s="144"/>
      <c r="QS359" s="144"/>
      <c r="QT359" s="144"/>
      <c r="QU359" s="144"/>
      <c r="QV359" s="144"/>
      <c r="QW359" s="144"/>
      <c r="QX359" s="144"/>
      <c r="QY359" s="144"/>
      <c r="QZ359" s="144"/>
      <c r="RA359" s="144"/>
      <c r="RB359" s="144"/>
      <c r="RC359" s="144"/>
      <c r="RD359" s="144"/>
      <c r="RE359" s="144"/>
      <c r="RF359" s="144"/>
      <c r="RG359" s="144"/>
      <c r="RH359" s="144"/>
      <c r="RI359" s="144"/>
      <c r="RJ359" s="144"/>
      <c r="RK359" s="144"/>
      <c r="RL359" s="144"/>
      <c r="RM359" s="144"/>
      <c r="RN359" s="144"/>
      <c r="RO359" s="144"/>
      <c r="RP359" s="144"/>
      <c r="RQ359" s="144"/>
      <c r="RR359" s="144"/>
      <c r="RS359" s="144"/>
      <c r="RT359" s="144"/>
      <c r="RU359" s="144"/>
      <c r="RV359" s="144"/>
      <c r="RW359" s="144"/>
      <c r="RX359" s="144"/>
      <c r="RY359" s="144"/>
      <c r="RZ359" s="144"/>
      <c r="SA359" s="144"/>
      <c r="SB359" s="144"/>
      <c r="SC359" s="144"/>
      <c r="SD359" s="144"/>
      <c r="SE359" s="144"/>
      <c r="SF359" s="144"/>
      <c r="SG359" s="144"/>
      <c r="SH359" s="144"/>
      <c r="SI359" s="144"/>
      <c r="SJ359" s="144"/>
      <c r="SK359" s="144"/>
      <c r="SL359" s="144"/>
      <c r="SM359" s="144"/>
      <c r="SN359" s="144"/>
      <c r="SO359" s="144"/>
      <c r="SP359" s="144"/>
      <c r="SQ359" s="144"/>
      <c r="SR359" s="144"/>
      <c r="SS359" s="144"/>
      <c r="ST359" s="144"/>
      <c r="SU359" s="144"/>
      <c r="SV359" s="144"/>
      <c r="SW359" s="144"/>
      <c r="SX359" s="144"/>
      <c r="SY359" s="144"/>
      <c r="SZ359" s="144"/>
      <c r="TA359" s="144"/>
      <c r="TB359" s="144"/>
      <c r="TC359" s="144"/>
      <c r="TD359" s="144"/>
      <c r="TE359" s="144"/>
      <c r="TF359" s="144"/>
      <c r="TG359" s="144"/>
      <c r="TH359" s="144"/>
      <c r="TI359" s="144"/>
      <c r="TJ359" s="144"/>
      <c r="TK359" s="144"/>
      <c r="TL359" s="144"/>
      <c r="TM359" s="144"/>
      <c r="TN359" s="144"/>
      <c r="TO359" s="144"/>
      <c r="TP359" s="144"/>
      <c r="TQ359" s="144"/>
      <c r="TR359" s="144"/>
      <c r="TS359" s="144"/>
      <c r="TT359" s="144"/>
      <c r="TU359" s="144"/>
      <c r="TV359" s="144"/>
      <c r="TW359" s="144"/>
      <c r="TX359" s="144"/>
      <c r="TY359" s="144"/>
      <c r="TZ359" s="144"/>
      <c r="UA359" s="144"/>
      <c r="UB359" s="144"/>
      <c r="UC359" s="144"/>
      <c r="UD359" s="144"/>
      <c r="UE359" s="144"/>
      <c r="UF359" s="144"/>
      <c r="UG359" s="144"/>
      <c r="UH359" s="144"/>
      <c r="UI359" s="144"/>
      <c r="UJ359" s="144"/>
      <c r="UK359" s="144"/>
      <c r="UL359" s="144"/>
      <c r="UM359" s="144"/>
      <c r="UN359" s="144"/>
      <c r="UO359" s="144"/>
      <c r="UP359" s="144"/>
      <c r="UQ359" s="144"/>
      <c r="UR359" s="144"/>
      <c r="US359" s="144"/>
    </row>
    <row r="360" spans="458:565" ht="48" customHeight="1">
      <c r="QP360" s="144"/>
      <c r="QQ360" s="144"/>
      <c r="QR360" s="144"/>
      <c r="QS360" s="144"/>
      <c r="QT360" s="144"/>
      <c r="QU360" s="144"/>
      <c r="QV360" s="144"/>
      <c r="QW360" s="144"/>
      <c r="QX360" s="144"/>
      <c r="QY360" s="144"/>
      <c r="QZ360" s="144"/>
      <c r="RA360" s="144"/>
      <c r="RB360" s="144"/>
      <c r="RC360" s="144"/>
      <c r="RD360" s="144"/>
      <c r="RE360" s="144"/>
      <c r="RF360" s="144"/>
      <c r="RG360" s="144"/>
      <c r="RH360" s="144"/>
      <c r="RI360" s="144"/>
      <c r="RJ360" s="144"/>
      <c r="RK360" s="144"/>
      <c r="RL360" s="144"/>
      <c r="RM360" s="144"/>
      <c r="RN360" s="144"/>
      <c r="RO360" s="144"/>
      <c r="RP360" s="144"/>
      <c r="RQ360" s="144"/>
      <c r="RR360" s="144"/>
      <c r="RS360" s="144"/>
      <c r="RT360" s="144"/>
      <c r="RU360" s="144"/>
      <c r="RV360" s="144"/>
      <c r="RW360" s="144"/>
      <c r="RX360" s="144"/>
      <c r="RY360" s="144"/>
      <c r="RZ360" s="144"/>
      <c r="SA360" s="144"/>
      <c r="SB360" s="144"/>
      <c r="SC360" s="144"/>
      <c r="SD360" s="144"/>
      <c r="SE360" s="144"/>
      <c r="SF360" s="144"/>
      <c r="SG360" s="144"/>
      <c r="SH360" s="144"/>
      <c r="SI360" s="144"/>
      <c r="SJ360" s="144"/>
      <c r="SK360" s="144"/>
      <c r="SL360" s="144"/>
      <c r="SM360" s="144"/>
      <c r="SN360" s="144"/>
      <c r="SO360" s="144"/>
      <c r="SP360" s="144"/>
      <c r="SQ360" s="144"/>
      <c r="SR360" s="144"/>
      <c r="SS360" s="144"/>
      <c r="ST360" s="144"/>
      <c r="SU360" s="144"/>
      <c r="SV360" s="144"/>
      <c r="SW360" s="144"/>
      <c r="SX360" s="144"/>
      <c r="SY360" s="144"/>
      <c r="SZ360" s="144"/>
      <c r="TA360" s="144"/>
      <c r="TB360" s="144"/>
      <c r="TC360" s="144"/>
      <c r="TD360" s="144"/>
      <c r="TE360" s="144"/>
      <c r="TF360" s="144"/>
      <c r="TG360" s="144"/>
      <c r="TH360" s="144"/>
      <c r="TI360" s="144"/>
      <c r="TJ360" s="144"/>
      <c r="TK360" s="144"/>
      <c r="TL360" s="144"/>
      <c r="TM360" s="144"/>
      <c r="TN360" s="144"/>
      <c r="TO360" s="144"/>
      <c r="TP360" s="144"/>
      <c r="TQ360" s="144"/>
      <c r="TR360" s="144"/>
      <c r="TS360" s="144"/>
      <c r="TT360" s="144"/>
      <c r="TU360" s="144"/>
      <c r="TV360" s="144"/>
      <c r="TW360" s="144"/>
      <c r="TX360" s="144"/>
      <c r="TY360" s="144"/>
      <c r="TZ360" s="144"/>
      <c r="UA360" s="144"/>
      <c r="UB360" s="144"/>
      <c r="UC360" s="144"/>
      <c r="UD360" s="144"/>
      <c r="UE360" s="144"/>
      <c r="UF360" s="144"/>
      <c r="UG360" s="144"/>
      <c r="UH360" s="144"/>
      <c r="UI360" s="144"/>
      <c r="UJ360" s="144"/>
      <c r="UK360" s="144"/>
      <c r="UL360" s="144"/>
      <c r="UM360" s="144"/>
      <c r="UN360" s="144"/>
      <c r="UO360" s="144"/>
      <c r="UP360" s="144"/>
      <c r="UQ360" s="144"/>
      <c r="UR360" s="144"/>
      <c r="US360" s="144"/>
    </row>
    <row r="361" spans="458:565" ht="48" customHeight="1">
      <c r="QP361" s="144"/>
      <c r="QQ361" s="144"/>
      <c r="QR361" s="144"/>
      <c r="QS361" s="144"/>
      <c r="QT361" s="144"/>
      <c r="QU361" s="144"/>
      <c r="QV361" s="144"/>
      <c r="QW361" s="144"/>
      <c r="QX361" s="144"/>
      <c r="QY361" s="144"/>
      <c r="QZ361" s="144"/>
      <c r="RA361" s="144"/>
      <c r="RB361" s="144"/>
      <c r="RC361" s="144"/>
      <c r="RD361" s="144"/>
      <c r="RE361" s="144"/>
      <c r="RF361" s="144"/>
      <c r="RG361" s="144"/>
      <c r="RH361" s="144"/>
      <c r="RI361" s="144"/>
      <c r="RJ361" s="144"/>
      <c r="RK361" s="144"/>
      <c r="RL361" s="144"/>
      <c r="RM361" s="144"/>
      <c r="RN361" s="144"/>
      <c r="RO361" s="144"/>
      <c r="RP361" s="144"/>
      <c r="RQ361" s="144"/>
      <c r="RR361" s="144"/>
      <c r="RS361" s="144"/>
      <c r="RT361" s="144"/>
      <c r="RU361" s="144"/>
      <c r="RV361" s="144"/>
      <c r="RW361" s="144"/>
      <c r="RX361" s="144"/>
      <c r="RY361" s="144"/>
      <c r="RZ361" s="144"/>
      <c r="SA361" s="144"/>
      <c r="SB361" s="144"/>
      <c r="SC361" s="144"/>
      <c r="SD361" s="144"/>
      <c r="SE361" s="144"/>
      <c r="SF361" s="144"/>
      <c r="SG361" s="144"/>
      <c r="SH361" s="144"/>
      <c r="SI361" s="144"/>
      <c r="SJ361" s="144"/>
      <c r="SK361" s="144"/>
      <c r="SL361" s="144"/>
      <c r="SM361" s="144"/>
      <c r="SN361" s="144"/>
      <c r="SO361" s="144"/>
      <c r="SP361" s="144"/>
      <c r="SQ361" s="144"/>
      <c r="SR361" s="144"/>
      <c r="SS361" s="144"/>
      <c r="ST361" s="144"/>
      <c r="SU361" s="144"/>
      <c r="SV361" s="144"/>
      <c r="SW361" s="144"/>
      <c r="SX361" s="144"/>
      <c r="SY361" s="144"/>
      <c r="SZ361" s="144"/>
      <c r="TA361" s="144"/>
      <c r="TB361" s="144"/>
      <c r="TC361" s="144"/>
      <c r="TD361" s="144"/>
      <c r="TE361" s="144"/>
      <c r="TF361" s="144"/>
      <c r="TG361" s="144"/>
      <c r="TH361" s="144"/>
      <c r="TI361" s="144"/>
      <c r="TJ361" s="144"/>
      <c r="TK361" s="144"/>
      <c r="TL361" s="144"/>
      <c r="TM361" s="144"/>
      <c r="TN361" s="144"/>
      <c r="TO361" s="144"/>
      <c r="TP361" s="144"/>
      <c r="TQ361" s="144"/>
      <c r="TR361" s="144"/>
      <c r="TS361" s="144"/>
      <c r="TT361" s="144"/>
      <c r="TU361" s="144"/>
      <c r="TV361" s="144"/>
      <c r="TW361" s="144"/>
      <c r="TX361" s="144"/>
      <c r="TY361" s="144"/>
      <c r="TZ361" s="144"/>
      <c r="UA361" s="144"/>
      <c r="UB361" s="144"/>
      <c r="UC361" s="144"/>
      <c r="UD361" s="144"/>
      <c r="UE361" s="144"/>
      <c r="UF361" s="144"/>
      <c r="UG361" s="144"/>
      <c r="UH361" s="144"/>
      <c r="UI361" s="144"/>
      <c r="UJ361" s="144"/>
      <c r="UK361" s="144"/>
      <c r="UL361" s="144"/>
      <c r="UM361" s="144"/>
      <c r="UN361" s="144"/>
      <c r="UO361" s="144"/>
      <c r="UP361" s="144"/>
      <c r="UQ361" s="144"/>
      <c r="UR361" s="144"/>
      <c r="US361" s="144"/>
    </row>
    <row r="362" spans="458:565" ht="48" customHeight="1">
      <c r="QP362" s="144"/>
      <c r="QQ362" s="144"/>
      <c r="QR362" s="144"/>
      <c r="QS362" s="144"/>
      <c r="QT362" s="144"/>
      <c r="QU362" s="144"/>
      <c r="QV362" s="144"/>
      <c r="QW362" s="144"/>
      <c r="QX362" s="144"/>
      <c r="QY362" s="144"/>
      <c r="QZ362" s="144"/>
      <c r="RA362" s="144"/>
      <c r="RB362" s="144"/>
      <c r="RC362" s="144"/>
      <c r="RD362" s="144"/>
      <c r="RE362" s="144"/>
      <c r="RF362" s="144"/>
      <c r="RG362" s="144"/>
      <c r="RH362" s="144"/>
      <c r="RI362" s="144"/>
      <c r="RJ362" s="144"/>
      <c r="RK362" s="144"/>
      <c r="RL362" s="144"/>
      <c r="RM362" s="144"/>
      <c r="RN362" s="144"/>
      <c r="RO362" s="144"/>
      <c r="RP362" s="144"/>
      <c r="RQ362" s="144"/>
      <c r="RR362" s="144"/>
      <c r="RS362" s="144"/>
      <c r="RT362" s="144"/>
      <c r="RU362" s="144"/>
      <c r="RV362" s="144"/>
      <c r="RW362" s="144"/>
      <c r="RX362" s="144"/>
      <c r="RY362" s="144"/>
      <c r="RZ362" s="144"/>
      <c r="SA362" s="144"/>
      <c r="SB362" s="144"/>
      <c r="SC362" s="144"/>
      <c r="SD362" s="144"/>
      <c r="SE362" s="144"/>
      <c r="SF362" s="144"/>
      <c r="SG362" s="144"/>
      <c r="SH362" s="144"/>
      <c r="SI362" s="144"/>
      <c r="SJ362" s="144"/>
      <c r="SK362" s="144"/>
      <c r="SL362" s="144"/>
      <c r="SM362" s="144"/>
      <c r="SN362" s="144"/>
      <c r="SO362" s="144"/>
      <c r="SP362" s="144"/>
      <c r="SQ362" s="144"/>
      <c r="SR362" s="144"/>
      <c r="SS362" s="144"/>
      <c r="ST362" s="144"/>
      <c r="SU362" s="144"/>
      <c r="SV362" s="144"/>
      <c r="SW362" s="144"/>
      <c r="SX362" s="144"/>
      <c r="SY362" s="144"/>
      <c r="SZ362" s="144"/>
      <c r="TA362" s="144"/>
      <c r="TB362" s="144"/>
      <c r="TC362" s="144"/>
      <c r="TD362" s="144"/>
      <c r="TE362" s="144"/>
      <c r="TF362" s="144"/>
      <c r="TG362" s="144"/>
      <c r="TH362" s="144"/>
      <c r="TI362" s="144"/>
      <c r="TJ362" s="144"/>
      <c r="TK362" s="144"/>
      <c r="TL362" s="144"/>
      <c r="TM362" s="144"/>
      <c r="TN362" s="144"/>
      <c r="TO362" s="144"/>
      <c r="TP362" s="144"/>
      <c r="TQ362" s="144"/>
      <c r="TR362" s="144"/>
      <c r="TS362" s="144"/>
      <c r="TT362" s="144"/>
      <c r="TU362" s="144"/>
      <c r="TV362" s="144"/>
      <c r="TW362" s="144"/>
      <c r="TX362" s="144"/>
      <c r="TY362" s="144"/>
      <c r="TZ362" s="144"/>
      <c r="UA362" s="144"/>
      <c r="UB362" s="144"/>
      <c r="UC362" s="144"/>
      <c r="UD362" s="144"/>
      <c r="UE362" s="144"/>
      <c r="UF362" s="144"/>
      <c r="UG362" s="144"/>
      <c r="UH362" s="144"/>
      <c r="UI362" s="144"/>
      <c r="UJ362" s="144"/>
      <c r="UK362" s="144"/>
      <c r="UL362" s="144"/>
      <c r="UM362" s="144"/>
      <c r="UN362" s="144"/>
      <c r="UO362" s="144"/>
      <c r="UP362" s="144"/>
      <c r="UQ362" s="144"/>
      <c r="UR362" s="144"/>
      <c r="US362" s="144"/>
    </row>
    <row r="363" spans="458:565" ht="48" customHeight="1">
      <c r="QP363" s="144"/>
      <c r="QQ363" s="144"/>
      <c r="QR363" s="144"/>
      <c r="QS363" s="144"/>
      <c r="QT363" s="144"/>
      <c r="QU363" s="144"/>
      <c r="QV363" s="144"/>
      <c r="QW363" s="144"/>
      <c r="QX363" s="144"/>
      <c r="QY363" s="144"/>
      <c r="QZ363" s="144"/>
      <c r="RA363" s="144"/>
      <c r="RB363" s="144"/>
      <c r="RC363" s="144"/>
      <c r="RD363" s="144"/>
      <c r="RE363" s="144"/>
      <c r="RF363" s="144"/>
      <c r="RG363" s="144"/>
      <c r="RH363" s="144"/>
      <c r="RI363" s="144"/>
      <c r="RJ363" s="144"/>
      <c r="RK363" s="144"/>
      <c r="RL363" s="144"/>
      <c r="RM363" s="144"/>
      <c r="RN363" s="144"/>
      <c r="RO363" s="144"/>
      <c r="RP363" s="144"/>
      <c r="RQ363" s="144"/>
      <c r="RR363" s="144"/>
      <c r="RS363" s="144"/>
      <c r="RT363" s="144"/>
      <c r="RU363" s="144"/>
      <c r="RV363" s="144"/>
      <c r="RW363" s="144"/>
      <c r="RX363" s="144"/>
      <c r="RY363" s="144"/>
      <c r="RZ363" s="144"/>
      <c r="SA363" s="144"/>
      <c r="SB363" s="144"/>
      <c r="SC363" s="144"/>
      <c r="SD363" s="144"/>
      <c r="SE363" s="144"/>
      <c r="SF363" s="144"/>
      <c r="SG363" s="144"/>
      <c r="SH363" s="144"/>
      <c r="SI363" s="144"/>
      <c r="SJ363" s="144"/>
      <c r="SK363" s="144"/>
      <c r="SL363" s="144"/>
      <c r="SM363" s="144"/>
      <c r="SN363" s="144"/>
      <c r="SO363" s="144"/>
      <c r="SP363" s="144"/>
      <c r="SQ363" s="144"/>
      <c r="SR363" s="144"/>
      <c r="SS363" s="144"/>
      <c r="ST363" s="144"/>
      <c r="SU363" s="144"/>
      <c r="SV363" s="144"/>
      <c r="SW363" s="144"/>
      <c r="SX363" s="144"/>
      <c r="SY363" s="144"/>
      <c r="SZ363" s="144"/>
      <c r="TA363" s="144"/>
      <c r="TB363" s="144"/>
      <c r="TC363" s="144"/>
      <c r="TD363" s="144"/>
      <c r="TE363" s="144"/>
      <c r="TF363" s="144"/>
      <c r="TG363" s="144"/>
      <c r="TH363" s="144"/>
      <c r="TI363" s="144"/>
      <c r="TJ363" s="144"/>
      <c r="TK363" s="144"/>
      <c r="TL363" s="144"/>
      <c r="TM363" s="144"/>
      <c r="TN363" s="144"/>
      <c r="TO363" s="144"/>
      <c r="TP363" s="144"/>
      <c r="TQ363" s="144"/>
      <c r="TR363" s="144"/>
      <c r="TS363" s="144"/>
      <c r="TT363" s="144"/>
      <c r="TU363" s="144"/>
      <c r="TV363" s="144"/>
      <c r="TW363" s="144"/>
      <c r="TX363" s="144"/>
      <c r="TY363" s="144"/>
      <c r="TZ363" s="144"/>
      <c r="UA363" s="144"/>
      <c r="UB363" s="144"/>
      <c r="UC363" s="144"/>
      <c r="UD363" s="144"/>
      <c r="UE363" s="144"/>
      <c r="UF363" s="144"/>
      <c r="UG363" s="144"/>
      <c r="UH363" s="144"/>
      <c r="UI363" s="144"/>
      <c r="UJ363" s="144"/>
      <c r="UK363" s="144"/>
      <c r="UL363" s="144"/>
      <c r="UM363" s="144"/>
      <c r="UN363" s="144"/>
      <c r="UO363" s="144"/>
      <c r="UP363" s="144"/>
      <c r="UQ363" s="144"/>
      <c r="UR363" s="144"/>
      <c r="US363" s="144"/>
    </row>
    <row r="364" spans="458:565" ht="48" customHeight="1">
      <c r="QP364" s="144"/>
      <c r="QQ364" s="144"/>
      <c r="QR364" s="144"/>
      <c r="QS364" s="144"/>
      <c r="QT364" s="144"/>
      <c r="QU364" s="144"/>
      <c r="QV364" s="144"/>
      <c r="QW364" s="144"/>
      <c r="QX364" s="144"/>
      <c r="QY364" s="144"/>
      <c r="QZ364" s="144"/>
      <c r="RA364" s="144"/>
      <c r="RB364" s="144"/>
      <c r="RC364" s="144"/>
      <c r="RD364" s="144"/>
      <c r="RE364" s="144"/>
      <c r="RF364" s="144"/>
      <c r="RG364" s="144"/>
      <c r="RH364" s="144"/>
      <c r="RI364" s="144"/>
      <c r="RJ364" s="144"/>
      <c r="RK364" s="144"/>
      <c r="RL364" s="144"/>
      <c r="RM364" s="144"/>
      <c r="RN364" s="144"/>
      <c r="RO364" s="144"/>
      <c r="RP364" s="144"/>
      <c r="RQ364" s="144"/>
      <c r="RR364" s="144"/>
      <c r="RS364" s="144"/>
      <c r="RT364" s="144"/>
      <c r="RU364" s="144"/>
      <c r="RV364" s="144"/>
      <c r="RW364" s="144"/>
      <c r="RX364" s="144"/>
      <c r="RY364" s="144"/>
      <c r="RZ364" s="144"/>
      <c r="SA364" s="144"/>
      <c r="SB364" s="144"/>
      <c r="SC364" s="144"/>
      <c r="SD364" s="144"/>
      <c r="SE364" s="144"/>
      <c r="SF364" s="144"/>
      <c r="SG364" s="144"/>
      <c r="SH364" s="144"/>
      <c r="SI364" s="144"/>
      <c r="SJ364" s="144"/>
      <c r="SK364" s="144"/>
      <c r="SL364" s="144"/>
      <c r="SM364" s="144"/>
      <c r="SN364" s="144"/>
      <c r="SO364" s="144"/>
      <c r="SP364" s="144"/>
      <c r="SQ364" s="144"/>
      <c r="SR364" s="144"/>
      <c r="SS364" s="144"/>
      <c r="ST364" s="144"/>
      <c r="SU364" s="144"/>
      <c r="SV364" s="144"/>
      <c r="SW364" s="144"/>
      <c r="SX364" s="144"/>
      <c r="SY364" s="144"/>
      <c r="SZ364" s="144"/>
      <c r="TA364" s="144"/>
      <c r="TB364" s="144"/>
      <c r="TC364" s="144"/>
      <c r="TD364" s="144"/>
      <c r="TE364" s="144"/>
      <c r="TF364" s="144"/>
      <c r="TG364" s="144"/>
      <c r="TH364" s="144"/>
      <c r="TI364" s="144"/>
      <c r="TJ364" s="144"/>
      <c r="TK364" s="144"/>
      <c r="TL364" s="144"/>
      <c r="TM364" s="144"/>
      <c r="TN364" s="144"/>
      <c r="TO364" s="144"/>
      <c r="TP364" s="144"/>
      <c r="TQ364" s="144"/>
      <c r="TR364" s="144"/>
      <c r="TS364" s="144"/>
      <c r="TT364" s="144"/>
      <c r="TU364" s="144"/>
      <c r="TV364" s="144"/>
      <c r="TW364" s="144"/>
      <c r="TX364" s="144"/>
      <c r="TY364" s="144"/>
      <c r="TZ364" s="144"/>
      <c r="UA364" s="144"/>
      <c r="UB364" s="144"/>
      <c r="UC364" s="144"/>
      <c r="UD364" s="144"/>
      <c r="UE364" s="144"/>
      <c r="UF364" s="144"/>
      <c r="UG364" s="144"/>
      <c r="UH364" s="144"/>
      <c r="UI364" s="144"/>
      <c r="UJ364" s="144"/>
      <c r="UK364" s="144"/>
      <c r="UL364" s="144"/>
      <c r="UM364" s="144"/>
      <c r="UN364" s="144"/>
      <c r="UO364" s="144"/>
      <c r="UP364" s="144"/>
      <c r="UQ364" s="144"/>
      <c r="UR364" s="144"/>
      <c r="US364" s="144"/>
    </row>
    <row r="365" spans="458:565" ht="48" customHeight="1">
      <c r="QP365" s="144"/>
      <c r="QQ365" s="144"/>
      <c r="QR365" s="144"/>
      <c r="QS365" s="144"/>
      <c r="QT365" s="144"/>
      <c r="QU365" s="144"/>
      <c r="QV365" s="144"/>
      <c r="QW365" s="144"/>
      <c r="QX365" s="144"/>
      <c r="QY365" s="144"/>
      <c r="QZ365" s="144"/>
      <c r="RA365" s="144"/>
      <c r="RB365" s="144"/>
      <c r="RC365" s="144"/>
      <c r="RD365" s="144"/>
      <c r="RE365" s="144"/>
      <c r="RF365" s="144"/>
      <c r="RG365" s="144"/>
      <c r="RH365" s="144"/>
      <c r="RI365" s="144"/>
      <c r="RJ365" s="144"/>
      <c r="RK365" s="144"/>
      <c r="RL365" s="144"/>
      <c r="RM365" s="144"/>
      <c r="RN365" s="144"/>
      <c r="RO365" s="144"/>
      <c r="RP365" s="144"/>
      <c r="RQ365" s="144"/>
      <c r="RR365" s="144"/>
      <c r="RS365" s="144"/>
      <c r="RT365" s="144"/>
      <c r="RU365" s="144"/>
      <c r="RV365" s="144"/>
      <c r="RW365" s="144"/>
      <c r="RX365" s="144"/>
      <c r="RY365" s="144"/>
      <c r="RZ365" s="144"/>
      <c r="SA365" s="144"/>
      <c r="SB365" s="144"/>
      <c r="SC365" s="144"/>
      <c r="SD365" s="144"/>
      <c r="SE365" s="144"/>
      <c r="SF365" s="144"/>
      <c r="SG365" s="144"/>
      <c r="SH365" s="144"/>
      <c r="SI365" s="144"/>
      <c r="SJ365" s="144"/>
      <c r="SK365" s="144"/>
      <c r="SL365" s="144"/>
      <c r="SM365" s="144"/>
      <c r="SN365" s="144"/>
      <c r="SO365" s="144"/>
      <c r="SP365" s="144"/>
      <c r="SQ365" s="144"/>
      <c r="SR365" s="144"/>
      <c r="SS365" s="144"/>
      <c r="ST365" s="144"/>
      <c r="SU365" s="144"/>
      <c r="SV365" s="144"/>
      <c r="SW365" s="144"/>
      <c r="SX365" s="144"/>
      <c r="SY365" s="144"/>
      <c r="SZ365" s="144"/>
      <c r="TA365" s="144"/>
      <c r="TB365" s="144"/>
      <c r="TC365" s="144"/>
      <c r="TD365" s="144"/>
      <c r="TE365" s="144"/>
      <c r="TF365" s="144"/>
      <c r="TG365" s="144"/>
      <c r="TH365" s="144"/>
      <c r="TI365" s="144"/>
      <c r="TJ365" s="144"/>
      <c r="TK365" s="144"/>
      <c r="TL365" s="144"/>
      <c r="TM365" s="144"/>
      <c r="TN365" s="144"/>
      <c r="TO365" s="144"/>
      <c r="TP365" s="144"/>
      <c r="TQ365" s="144"/>
      <c r="TR365" s="144"/>
      <c r="TS365" s="144"/>
      <c r="TT365" s="144"/>
      <c r="TU365" s="144"/>
      <c r="TV365" s="144"/>
      <c r="TW365" s="144"/>
      <c r="TX365" s="144"/>
      <c r="TY365" s="144"/>
      <c r="TZ365" s="144"/>
      <c r="UA365" s="144"/>
      <c r="UB365" s="144"/>
      <c r="UC365" s="144"/>
      <c r="UD365" s="144"/>
      <c r="UE365" s="144"/>
      <c r="UF365" s="144"/>
      <c r="UG365" s="144"/>
      <c r="UH365" s="144"/>
      <c r="UI365" s="144"/>
      <c r="UJ365" s="144"/>
      <c r="UK365" s="144"/>
      <c r="UL365" s="144"/>
      <c r="UM365" s="144"/>
      <c r="UN365" s="144"/>
      <c r="UO365" s="144"/>
      <c r="UP365" s="144"/>
      <c r="UQ365" s="144"/>
      <c r="UR365" s="144"/>
      <c r="US365" s="144"/>
    </row>
    <row r="366" spans="458:565" ht="48" customHeight="1">
      <c r="QP366" s="144"/>
      <c r="QQ366" s="144"/>
      <c r="QR366" s="144"/>
      <c r="QS366" s="144"/>
      <c r="QT366" s="144"/>
      <c r="QU366" s="144"/>
      <c r="QV366" s="144"/>
      <c r="QW366" s="144"/>
      <c r="QX366" s="144"/>
      <c r="QY366" s="144"/>
      <c r="QZ366" s="144"/>
      <c r="RA366" s="144"/>
      <c r="RB366" s="144"/>
      <c r="RC366" s="144"/>
      <c r="RD366" s="144"/>
      <c r="RE366" s="144"/>
      <c r="RF366" s="144"/>
      <c r="RG366" s="144"/>
      <c r="RH366" s="144"/>
      <c r="RI366" s="144"/>
      <c r="RJ366" s="144"/>
      <c r="RK366" s="144"/>
      <c r="RL366" s="144"/>
      <c r="RM366" s="144"/>
      <c r="RN366" s="144"/>
      <c r="RO366" s="144"/>
      <c r="RP366" s="144"/>
      <c r="RQ366" s="144"/>
      <c r="RR366" s="144"/>
      <c r="RS366" s="144"/>
      <c r="RT366" s="144"/>
      <c r="RU366" s="144"/>
      <c r="RV366" s="144"/>
      <c r="RW366" s="144"/>
      <c r="RX366" s="144"/>
      <c r="RY366" s="144"/>
      <c r="RZ366" s="144"/>
      <c r="SA366" s="144"/>
      <c r="SB366" s="144"/>
      <c r="SC366" s="144"/>
      <c r="SD366" s="144"/>
      <c r="SE366" s="144"/>
      <c r="SF366" s="144"/>
      <c r="SG366" s="144"/>
      <c r="SH366" s="144"/>
      <c r="SI366" s="144"/>
      <c r="SJ366" s="144"/>
      <c r="SK366" s="144"/>
      <c r="SL366" s="144"/>
      <c r="SM366" s="144"/>
      <c r="SN366" s="144"/>
      <c r="SO366" s="144"/>
      <c r="SP366" s="144"/>
      <c r="SQ366" s="144"/>
      <c r="SR366" s="144"/>
      <c r="SS366" s="144"/>
      <c r="ST366" s="144"/>
      <c r="SU366" s="144"/>
      <c r="SV366" s="144"/>
      <c r="SW366" s="144"/>
      <c r="SX366" s="144"/>
      <c r="SY366" s="144"/>
      <c r="SZ366" s="144"/>
      <c r="TA366" s="144"/>
      <c r="TB366" s="144"/>
      <c r="TC366" s="144"/>
      <c r="TD366" s="144"/>
      <c r="TE366" s="144"/>
      <c r="TF366" s="144"/>
      <c r="TG366" s="144"/>
      <c r="TH366" s="144"/>
      <c r="TI366" s="144"/>
      <c r="TJ366" s="144"/>
      <c r="TK366" s="144"/>
      <c r="TL366" s="144"/>
      <c r="TM366" s="144"/>
      <c r="TN366" s="144"/>
      <c r="TO366" s="144"/>
      <c r="TP366" s="144"/>
      <c r="TQ366" s="144"/>
      <c r="TR366" s="144"/>
      <c r="TS366" s="144"/>
      <c r="TT366" s="144"/>
      <c r="TU366" s="144"/>
      <c r="TV366" s="144"/>
      <c r="TW366" s="144"/>
      <c r="TX366" s="144"/>
      <c r="TY366" s="144"/>
      <c r="TZ366" s="144"/>
      <c r="UA366" s="144"/>
      <c r="UB366" s="144"/>
      <c r="UC366" s="144"/>
      <c r="UD366" s="144"/>
      <c r="UE366" s="144"/>
      <c r="UF366" s="144"/>
      <c r="UG366" s="144"/>
      <c r="UH366" s="144"/>
      <c r="UI366" s="144"/>
      <c r="UJ366" s="144"/>
      <c r="UK366" s="144"/>
      <c r="UL366" s="144"/>
      <c r="UM366" s="144"/>
      <c r="UN366" s="144"/>
      <c r="UO366" s="144"/>
      <c r="UP366" s="144"/>
      <c r="UQ366" s="144"/>
      <c r="UR366" s="144"/>
      <c r="US366" s="144"/>
    </row>
    <row r="367" spans="458:565" ht="48" customHeight="1">
      <c r="QP367" s="144"/>
      <c r="QQ367" s="144"/>
      <c r="QR367" s="144"/>
      <c r="QS367" s="144"/>
      <c r="QT367" s="144"/>
      <c r="QU367" s="144"/>
      <c r="QV367" s="144"/>
      <c r="QW367" s="144"/>
      <c r="QX367" s="144"/>
      <c r="QY367" s="144"/>
      <c r="QZ367" s="144"/>
      <c r="RA367" s="144"/>
      <c r="RB367" s="144"/>
      <c r="RC367" s="144"/>
      <c r="RD367" s="144"/>
      <c r="RE367" s="144"/>
      <c r="RF367" s="144"/>
      <c r="RG367" s="144"/>
      <c r="RH367" s="144"/>
      <c r="RI367" s="144"/>
      <c r="RJ367" s="144"/>
      <c r="RK367" s="144"/>
      <c r="RL367" s="144"/>
      <c r="RM367" s="144"/>
      <c r="RN367" s="144"/>
      <c r="RO367" s="144"/>
      <c r="RP367" s="144"/>
      <c r="RQ367" s="144"/>
      <c r="RR367" s="144"/>
      <c r="RS367" s="144"/>
      <c r="RT367" s="144"/>
      <c r="RU367" s="144"/>
      <c r="RV367" s="144"/>
      <c r="RW367" s="144"/>
      <c r="RX367" s="144"/>
      <c r="RY367" s="144"/>
      <c r="RZ367" s="144"/>
      <c r="SA367" s="144"/>
      <c r="SB367" s="144"/>
      <c r="SC367" s="144"/>
      <c r="SD367" s="144"/>
      <c r="SE367" s="144"/>
      <c r="SF367" s="144"/>
      <c r="SG367" s="144"/>
      <c r="SH367" s="144"/>
      <c r="SI367" s="144"/>
      <c r="SJ367" s="144"/>
      <c r="SK367" s="144"/>
      <c r="SL367" s="144"/>
      <c r="SM367" s="144"/>
      <c r="SN367" s="144"/>
      <c r="SO367" s="144"/>
      <c r="SP367" s="144"/>
      <c r="SQ367" s="144"/>
      <c r="SR367" s="144"/>
      <c r="SS367" s="144"/>
      <c r="ST367" s="144"/>
      <c r="SU367" s="144"/>
      <c r="SV367" s="144"/>
      <c r="SW367" s="144"/>
      <c r="SX367" s="144"/>
      <c r="SY367" s="144"/>
      <c r="SZ367" s="144"/>
      <c r="TA367" s="144"/>
      <c r="TB367" s="144"/>
      <c r="TC367" s="144"/>
      <c r="TD367" s="144"/>
      <c r="TE367" s="144"/>
      <c r="TF367" s="144"/>
      <c r="TG367" s="144"/>
      <c r="TH367" s="144"/>
      <c r="TI367" s="144"/>
      <c r="TJ367" s="144"/>
      <c r="TK367" s="144"/>
      <c r="TL367" s="144"/>
      <c r="TM367" s="144"/>
      <c r="TN367" s="144"/>
      <c r="TO367" s="144"/>
      <c r="TP367" s="144"/>
      <c r="TQ367" s="144"/>
      <c r="TR367" s="144"/>
      <c r="TS367" s="144"/>
      <c r="TT367" s="144"/>
      <c r="TU367" s="144"/>
      <c r="TV367" s="144"/>
      <c r="TW367" s="144"/>
      <c r="TX367" s="144"/>
      <c r="TY367" s="144"/>
      <c r="TZ367" s="144"/>
      <c r="UA367" s="144"/>
      <c r="UB367" s="144"/>
      <c r="UC367" s="144"/>
      <c r="UD367" s="144"/>
      <c r="UE367" s="144"/>
      <c r="UF367" s="144"/>
      <c r="UG367" s="144"/>
      <c r="UH367" s="144"/>
      <c r="UI367" s="144"/>
      <c r="UJ367" s="144"/>
      <c r="UK367" s="144"/>
      <c r="UL367" s="144"/>
      <c r="UM367" s="144"/>
      <c r="UN367" s="144"/>
      <c r="UO367" s="144"/>
      <c r="UP367" s="144"/>
      <c r="UQ367" s="144"/>
      <c r="UR367" s="144"/>
      <c r="US367" s="144"/>
    </row>
    <row r="368" spans="458:565" ht="48" customHeight="1">
      <c r="QP368" s="144"/>
      <c r="QQ368" s="144"/>
      <c r="QR368" s="144"/>
      <c r="QS368" s="144"/>
      <c r="QT368" s="144"/>
      <c r="QU368" s="144"/>
      <c r="QV368" s="144"/>
      <c r="QW368" s="144"/>
      <c r="QX368" s="144"/>
      <c r="QY368" s="144"/>
      <c r="QZ368" s="144"/>
      <c r="RA368" s="144"/>
      <c r="RB368" s="144"/>
      <c r="RC368" s="144"/>
      <c r="RD368" s="144"/>
      <c r="RE368" s="144"/>
      <c r="RF368" s="144"/>
      <c r="RG368" s="144"/>
      <c r="RH368" s="144"/>
      <c r="RI368" s="144"/>
      <c r="RJ368" s="144"/>
      <c r="RK368" s="144"/>
      <c r="RL368" s="144"/>
      <c r="RM368" s="144"/>
      <c r="RN368" s="144"/>
      <c r="RO368" s="144"/>
      <c r="RP368" s="144"/>
      <c r="RQ368" s="144"/>
      <c r="RR368" s="144"/>
      <c r="RS368" s="144"/>
      <c r="RT368" s="144"/>
      <c r="RU368" s="144"/>
      <c r="RV368" s="144"/>
      <c r="RW368" s="144"/>
      <c r="RX368" s="144"/>
      <c r="RY368" s="144"/>
      <c r="RZ368" s="144"/>
      <c r="SA368" s="144"/>
      <c r="SB368" s="144"/>
      <c r="SC368" s="144"/>
      <c r="SD368" s="144"/>
      <c r="SE368" s="144"/>
      <c r="SF368" s="144"/>
      <c r="SG368" s="144"/>
      <c r="SH368" s="144"/>
      <c r="SI368" s="144"/>
      <c r="SJ368" s="144"/>
      <c r="SK368" s="144"/>
      <c r="SL368" s="144"/>
      <c r="SM368" s="144"/>
      <c r="SN368" s="144"/>
      <c r="SO368" s="144"/>
      <c r="SP368" s="144"/>
      <c r="SQ368" s="144"/>
      <c r="SR368" s="144"/>
      <c r="SS368" s="144"/>
      <c r="ST368" s="144"/>
      <c r="SU368" s="144"/>
      <c r="SV368" s="144"/>
      <c r="SW368" s="144"/>
      <c r="SX368" s="144"/>
      <c r="SY368" s="144"/>
      <c r="SZ368" s="144"/>
      <c r="TA368" s="144"/>
      <c r="TB368" s="144"/>
      <c r="TC368" s="144"/>
      <c r="TD368" s="144"/>
      <c r="TE368" s="144"/>
      <c r="TF368" s="144"/>
      <c r="TG368" s="144"/>
      <c r="TH368" s="144"/>
      <c r="TI368" s="144"/>
      <c r="TJ368" s="144"/>
      <c r="TK368" s="144"/>
      <c r="TL368" s="144"/>
      <c r="TM368" s="144"/>
      <c r="TN368" s="144"/>
      <c r="TO368" s="144"/>
      <c r="TP368" s="144"/>
      <c r="TQ368" s="144"/>
      <c r="TR368" s="144"/>
      <c r="TS368" s="144"/>
      <c r="TT368" s="144"/>
      <c r="TU368" s="144"/>
      <c r="TV368" s="144"/>
      <c r="TW368" s="144"/>
      <c r="TX368" s="144"/>
      <c r="TY368" s="144"/>
      <c r="TZ368" s="144"/>
      <c r="UA368" s="144"/>
      <c r="UB368" s="144"/>
      <c r="UC368" s="144"/>
      <c r="UD368" s="144"/>
      <c r="UE368" s="144"/>
      <c r="UF368" s="144"/>
      <c r="UG368" s="144"/>
      <c r="UH368" s="144"/>
      <c r="UI368" s="144"/>
      <c r="UJ368" s="144"/>
      <c r="UK368" s="144"/>
      <c r="UL368" s="144"/>
      <c r="UM368" s="144"/>
      <c r="UN368" s="144"/>
      <c r="UO368" s="144"/>
      <c r="UP368" s="144"/>
      <c r="UQ368" s="144"/>
      <c r="UR368" s="144"/>
      <c r="US368" s="144"/>
    </row>
    <row r="369" spans="253:565" ht="48" customHeight="1">
      <c r="QP369" s="144"/>
      <c r="QQ369" s="144"/>
      <c r="QR369" s="144"/>
      <c r="QS369" s="144"/>
      <c r="QT369" s="144"/>
      <c r="QU369" s="144"/>
      <c r="QV369" s="144"/>
      <c r="QW369" s="144"/>
      <c r="QX369" s="144"/>
      <c r="QY369" s="144"/>
      <c r="QZ369" s="144"/>
      <c r="RA369" s="144"/>
      <c r="RB369" s="144"/>
      <c r="RC369" s="144"/>
      <c r="RD369" s="144"/>
      <c r="RE369" s="144"/>
      <c r="RF369" s="144"/>
      <c r="RG369" s="144"/>
      <c r="RH369" s="144"/>
      <c r="RI369" s="144"/>
      <c r="RJ369" s="144"/>
      <c r="RK369" s="144"/>
      <c r="RL369" s="144"/>
      <c r="RM369" s="144"/>
      <c r="RN369" s="144"/>
      <c r="RO369" s="144"/>
      <c r="RP369" s="144"/>
      <c r="RQ369" s="144"/>
      <c r="RR369" s="144"/>
      <c r="RS369" s="144"/>
      <c r="RT369" s="144"/>
      <c r="RU369" s="144"/>
      <c r="RV369" s="144"/>
      <c r="RW369" s="144"/>
      <c r="RX369" s="144"/>
      <c r="RY369" s="144"/>
      <c r="RZ369" s="144"/>
      <c r="SA369" s="144"/>
      <c r="SB369" s="144"/>
      <c r="SC369" s="144"/>
      <c r="SD369" s="144"/>
      <c r="SE369" s="144"/>
      <c r="SF369" s="144"/>
      <c r="SG369" s="144"/>
      <c r="SH369" s="144"/>
      <c r="SI369" s="144"/>
      <c r="SJ369" s="144"/>
      <c r="SK369" s="144"/>
      <c r="SL369" s="144"/>
      <c r="SM369" s="144"/>
      <c r="SN369" s="144"/>
      <c r="SO369" s="144"/>
      <c r="SP369" s="144"/>
      <c r="SQ369" s="144"/>
      <c r="SR369" s="144"/>
      <c r="SS369" s="144"/>
      <c r="ST369" s="144"/>
      <c r="SU369" s="144"/>
      <c r="SV369" s="144"/>
      <c r="SW369" s="144"/>
      <c r="SX369" s="144"/>
      <c r="SY369" s="144"/>
      <c r="SZ369" s="144"/>
      <c r="TA369" s="144"/>
      <c r="TB369" s="144"/>
      <c r="TC369" s="144"/>
      <c r="TD369" s="144"/>
      <c r="TE369" s="144"/>
      <c r="TF369" s="144"/>
      <c r="TG369" s="144"/>
      <c r="TH369" s="144"/>
      <c r="TI369" s="144"/>
      <c r="TJ369" s="144"/>
      <c r="TK369" s="144"/>
      <c r="TL369" s="144"/>
      <c r="TM369" s="144"/>
      <c r="TN369" s="144"/>
      <c r="TO369" s="144"/>
      <c r="TP369" s="144"/>
      <c r="TQ369" s="144"/>
      <c r="TR369" s="144"/>
      <c r="TS369" s="144"/>
      <c r="TT369" s="144"/>
      <c r="TU369" s="144"/>
      <c r="TV369" s="144"/>
      <c r="TW369" s="144"/>
      <c r="TX369" s="144"/>
      <c r="TY369" s="144"/>
      <c r="TZ369" s="144"/>
      <c r="UA369" s="144"/>
      <c r="UB369" s="144"/>
      <c r="UC369" s="144"/>
      <c r="UD369" s="144"/>
      <c r="UE369" s="144"/>
      <c r="UF369" s="144"/>
      <c r="UG369" s="144"/>
      <c r="UH369" s="144"/>
      <c r="UI369" s="144"/>
      <c r="UJ369" s="144"/>
      <c r="UK369" s="144"/>
      <c r="UL369" s="144"/>
      <c r="UM369" s="144"/>
      <c r="UN369" s="144"/>
      <c r="UO369" s="144"/>
      <c r="UP369" s="144"/>
      <c r="UQ369" s="144"/>
      <c r="UR369" s="144"/>
      <c r="US369" s="144"/>
    </row>
    <row r="370" spans="253:565" ht="48" customHeight="1">
      <c r="QP370" s="144"/>
      <c r="QQ370" s="144"/>
      <c r="QR370" s="144"/>
      <c r="QS370" s="144"/>
      <c r="QT370" s="144"/>
      <c r="QU370" s="144"/>
      <c r="QV370" s="144"/>
      <c r="QW370" s="144"/>
      <c r="QX370" s="144"/>
      <c r="QY370" s="144"/>
      <c r="QZ370" s="144"/>
      <c r="RA370" s="144"/>
      <c r="RB370" s="144"/>
      <c r="RC370" s="144"/>
      <c r="RD370" s="144"/>
      <c r="RE370" s="144"/>
      <c r="RF370" s="144"/>
      <c r="RG370" s="144"/>
      <c r="RH370" s="144"/>
      <c r="RI370" s="144"/>
      <c r="RJ370" s="144"/>
      <c r="RK370" s="144"/>
      <c r="RL370" s="144"/>
      <c r="RM370" s="144"/>
      <c r="RN370" s="144"/>
      <c r="RO370" s="144"/>
      <c r="RP370" s="144"/>
      <c r="RQ370" s="144"/>
      <c r="RR370" s="144"/>
      <c r="RS370" s="144"/>
      <c r="RT370" s="144"/>
      <c r="RU370" s="144"/>
      <c r="RV370" s="144"/>
      <c r="RW370" s="144"/>
      <c r="RX370" s="144"/>
      <c r="RY370" s="144"/>
      <c r="RZ370" s="144"/>
      <c r="SA370" s="144"/>
      <c r="SB370" s="144"/>
      <c r="SC370" s="144"/>
      <c r="SD370" s="144"/>
      <c r="SE370" s="144"/>
      <c r="SF370" s="144"/>
      <c r="SG370" s="144"/>
      <c r="SH370" s="144"/>
      <c r="SI370" s="144"/>
      <c r="SJ370" s="144"/>
      <c r="SK370" s="144"/>
      <c r="SL370" s="144"/>
      <c r="SM370" s="144"/>
      <c r="SN370" s="144"/>
      <c r="SO370" s="144"/>
      <c r="SP370" s="144"/>
      <c r="SQ370" s="144"/>
      <c r="SR370" s="144"/>
      <c r="SS370" s="144"/>
      <c r="ST370" s="144"/>
      <c r="SU370" s="144"/>
      <c r="SV370" s="144"/>
      <c r="SW370" s="144"/>
      <c r="SX370" s="144"/>
      <c r="SY370" s="144"/>
      <c r="SZ370" s="144"/>
      <c r="TA370" s="144"/>
      <c r="TB370" s="144"/>
      <c r="TC370" s="144"/>
      <c r="TD370" s="144"/>
      <c r="TE370" s="144"/>
      <c r="TF370" s="144"/>
      <c r="TG370" s="144"/>
      <c r="TH370" s="144"/>
      <c r="TI370" s="144"/>
      <c r="TJ370" s="144"/>
      <c r="TK370" s="144"/>
      <c r="TL370" s="144"/>
      <c r="TM370" s="144"/>
      <c r="TN370" s="144"/>
      <c r="TO370" s="144"/>
      <c r="TP370" s="144"/>
      <c r="TQ370" s="144"/>
      <c r="TR370" s="144"/>
      <c r="TS370" s="144"/>
      <c r="TT370" s="144"/>
      <c r="TU370" s="144"/>
      <c r="TV370" s="144"/>
      <c r="TW370" s="144"/>
      <c r="TX370" s="144"/>
      <c r="TY370" s="144"/>
      <c r="TZ370" s="144"/>
      <c r="UA370" s="144"/>
      <c r="UB370" s="144"/>
      <c r="UC370" s="144"/>
      <c r="UD370" s="144"/>
      <c r="UE370" s="144"/>
      <c r="UF370" s="144"/>
      <c r="UG370" s="144"/>
      <c r="UH370" s="144"/>
      <c r="UI370" s="144"/>
      <c r="UJ370" s="144"/>
      <c r="UK370" s="144"/>
      <c r="UL370" s="144"/>
      <c r="UM370" s="144"/>
      <c r="UN370" s="144"/>
      <c r="UO370" s="144"/>
      <c r="UP370" s="144"/>
      <c r="UQ370" s="144"/>
      <c r="UR370" s="144"/>
      <c r="US370" s="144"/>
    </row>
    <row r="371" spans="253:565" ht="48" customHeight="1">
      <c r="QP371" s="144"/>
      <c r="QQ371" s="144"/>
      <c r="QR371" s="144"/>
      <c r="QS371" s="144"/>
      <c r="QT371" s="144"/>
      <c r="QU371" s="144"/>
      <c r="QV371" s="144"/>
      <c r="QW371" s="144"/>
      <c r="QX371" s="144"/>
      <c r="QY371" s="144"/>
      <c r="QZ371" s="144"/>
      <c r="RA371" s="144"/>
      <c r="RB371" s="144"/>
      <c r="RC371" s="144"/>
      <c r="RD371" s="144"/>
      <c r="RE371" s="144"/>
      <c r="RF371" s="144"/>
      <c r="RG371" s="144"/>
      <c r="RH371" s="144"/>
      <c r="RI371" s="144"/>
      <c r="RJ371" s="144"/>
      <c r="RK371" s="144"/>
      <c r="RL371" s="144"/>
      <c r="RM371" s="144"/>
      <c r="RN371" s="144"/>
      <c r="RO371" s="144"/>
      <c r="RP371" s="144"/>
      <c r="RQ371" s="144"/>
      <c r="RR371" s="144"/>
      <c r="RS371" s="144"/>
      <c r="RT371" s="144"/>
      <c r="RU371" s="144"/>
      <c r="RV371" s="144"/>
      <c r="RW371" s="144"/>
      <c r="RX371" s="144"/>
      <c r="RY371" s="144"/>
      <c r="RZ371" s="144"/>
      <c r="SA371" s="144"/>
      <c r="SB371" s="144"/>
      <c r="SC371" s="144"/>
      <c r="SD371" s="144"/>
      <c r="SE371" s="144"/>
      <c r="SF371" s="144"/>
      <c r="SG371" s="144"/>
      <c r="SH371" s="144"/>
      <c r="SI371" s="144"/>
      <c r="SJ371" s="144"/>
      <c r="SK371" s="144"/>
      <c r="SL371" s="144"/>
      <c r="SM371" s="144"/>
      <c r="SN371" s="144"/>
      <c r="SO371" s="144"/>
      <c r="SP371" s="144"/>
      <c r="SQ371" s="144"/>
      <c r="SR371" s="144"/>
      <c r="SS371" s="144"/>
      <c r="ST371" s="144"/>
      <c r="SU371" s="144"/>
      <c r="SV371" s="144"/>
      <c r="SW371" s="144"/>
      <c r="SX371" s="144"/>
      <c r="SY371" s="144"/>
      <c r="SZ371" s="144"/>
      <c r="TA371" s="144"/>
      <c r="TB371" s="144"/>
      <c r="TC371" s="144"/>
      <c r="TD371" s="144"/>
      <c r="TE371" s="144"/>
      <c r="TF371" s="144"/>
      <c r="TG371" s="144"/>
      <c r="TH371" s="144"/>
      <c r="TI371" s="144"/>
      <c r="TJ371" s="144"/>
      <c r="TK371" s="144"/>
      <c r="TL371" s="144"/>
      <c r="TM371" s="144"/>
      <c r="TN371" s="144"/>
      <c r="TO371" s="144"/>
      <c r="TP371" s="144"/>
      <c r="TQ371" s="144"/>
      <c r="TR371" s="144"/>
      <c r="TS371" s="144"/>
      <c r="TT371" s="144"/>
      <c r="TU371" s="144"/>
      <c r="TV371" s="144"/>
      <c r="TW371" s="144"/>
      <c r="TX371" s="144"/>
      <c r="TY371" s="144"/>
      <c r="TZ371" s="144"/>
      <c r="UA371" s="144"/>
      <c r="UB371" s="144"/>
      <c r="UC371" s="144"/>
      <c r="UD371" s="144"/>
      <c r="UE371" s="144"/>
      <c r="UF371" s="144"/>
      <c r="UG371" s="144"/>
      <c r="UH371" s="144"/>
      <c r="UI371" s="144"/>
      <c r="UJ371" s="144"/>
      <c r="UK371" s="144"/>
      <c r="UL371" s="144"/>
      <c r="UM371" s="144"/>
      <c r="UN371" s="144"/>
      <c r="UO371" s="144"/>
      <c r="UP371" s="144"/>
      <c r="UQ371" s="144"/>
      <c r="UR371" s="144"/>
      <c r="US371" s="144"/>
    </row>
    <row r="372" spans="253:565" ht="48" customHeight="1">
      <c r="QP372" s="144"/>
      <c r="QQ372" s="144"/>
      <c r="QR372" s="144"/>
      <c r="QS372" s="144"/>
      <c r="QT372" s="144"/>
      <c r="QU372" s="144"/>
      <c r="QV372" s="144"/>
      <c r="QW372" s="144"/>
      <c r="QX372" s="144"/>
      <c r="QY372" s="144"/>
      <c r="QZ372" s="144"/>
      <c r="RA372" s="144"/>
      <c r="RB372" s="144"/>
      <c r="RC372" s="144"/>
      <c r="RD372" s="144"/>
      <c r="RE372" s="144"/>
      <c r="RF372" s="144"/>
      <c r="RG372" s="144"/>
      <c r="RH372" s="144"/>
      <c r="RI372" s="144"/>
      <c r="RJ372" s="144"/>
      <c r="RK372" s="144"/>
      <c r="RL372" s="144"/>
      <c r="RM372" s="144"/>
      <c r="RN372" s="144"/>
      <c r="RO372" s="144"/>
      <c r="RP372" s="144"/>
      <c r="RQ372" s="144"/>
      <c r="RR372" s="144"/>
      <c r="RS372" s="144"/>
      <c r="RT372" s="144"/>
      <c r="RU372" s="144"/>
      <c r="RV372" s="144"/>
      <c r="RW372" s="144"/>
      <c r="RX372" s="144"/>
      <c r="RY372" s="144"/>
      <c r="RZ372" s="144"/>
      <c r="SA372" s="144"/>
      <c r="SB372" s="144"/>
      <c r="SC372" s="144"/>
      <c r="SD372" s="144"/>
      <c r="SE372" s="144"/>
      <c r="SF372" s="144"/>
      <c r="SG372" s="144"/>
      <c r="SH372" s="144"/>
      <c r="SI372" s="144"/>
      <c r="SJ372" s="144"/>
      <c r="SK372" s="144"/>
      <c r="SL372" s="144"/>
      <c r="SM372" s="144"/>
      <c r="SN372" s="144"/>
      <c r="SO372" s="144"/>
      <c r="SP372" s="144"/>
      <c r="SQ372" s="144"/>
      <c r="SR372" s="144"/>
      <c r="SS372" s="144"/>
      <c r="ST372" s="144"/>
      <c r="SU372" s="144"/>
      <c r="SV372" s="144"/>
      <c r="SW372" s="144"/>
      <c r="SX372" s="144"/>
      <c r="SY372" s="144"/>
      <c r="SZ372" s="144"/>
      <c r="TA372" s="144"/>
      <c r="TB372" s="144"/>
      <c r="TC372" s="144"/>
      <c r="TD372" s="144"/>
      <c r="TE372" s="144"/>
      <c r="TF372" s="144"/>
      <c r="TG372" s="144"/>
      <c r="TH372" s="144"/>
      <c r="TI372" s="144"/>
      <c r="TJ372" s="144"/>
      <c r="TK372" s="144"/>
      <c r="TL372" s="144"/>
      <c r="TM372" s="144"/>
      <c r="TN372" s="144"/>
      <c r="TO372" s="144"/>
      <c r="TP372" s="144"/>
      <c r="TQ372" s="144"/>
      <c r="TR372" s="144"/>
      <c r="TS372" s="144"/>
      <c r="TT372" s="144"/>
      <c r="TU372" s="144"/>
      <c r="TV372" s="144"/>
      <c r="TW372" s="144"/>
      <c r="TX372" s="144"/>
      <c r="TY372" s="144"/>
      <c r="TZ372" s="144"/>
      <c r="UA372" s="144"/>
      <c r="UB372" s="144"/>
      <c r="UC372" s="144"/>
      <c r="UD372" s="144"/>
      <c r="UE372" s="144"/>
      <c r="UF372" s="144"/>
      <c r="UG372" s="144"/>
      <c r="UH372" s="144"/>
      <c r="UI372" s="144"/>
      <c r="UJ372" s="144"/>
      <c r="UK372" s="144"/>
      <c r="UL372" s="144"/>
      <c r="UM372" s="144"/>
      <c r="UN372" s="144"/>
      <c r="UO372" s="144"/>
      <c r="UP372" s="144"/>
      <c r="UQ372" s="144"/>
      <c r="UR372" s="144"/>
      <c r="US372" s="144"/>
    </row>
    <row r="373" spans="253:565" ht="48" customHeight="1">
      <c r="QP373" s="144"/>
      <c r="QQ373" s="144"/>
      <c r="QR373" s="144"/>
      <c r="QS373" s="144"/>
      <c r="QT373" s="144"/>
      <c r="QU373" s="144"/>
      <c r="QV373" s="144"/>
      <c r="QW373" s="144"/>
      <c r="QX373" s="144"/>
      <c r="QY373" s="144"/>
      <c r="QZ373" s="144"/>
      <c r="RA373" s="144"/>
      <c r="RB373" s="144"/>
      <c r="RC373" s="144"/>
      <c r="RD373" s="144"/>
      <c r="RE373" s="144"/>
      <c r="RF373" s="144"/>
      <c r="RG373" s="144"/>
      <c r="RH373" s="144"/>
      <c r="RI373" s="144"/>
      <c r="RJ373" s="144"/>
      <c r="RK373" s="144"/>
      <c r="RL373" s="144"/>
      <c r="RM373" s="144"/>
      <c r="RN373" s="144"/>
      <c r="RO373" s="144"/>
      <c r="RP373" s="144"/>
      <c r="RQ373" s="144"/>
      <c r="RR373" s="144"/>
      <c r="RS373" s="144"/>
      <c r="RT373" s="144"/>
      <c r="RU373" s="144"/>
      <c r="RV373" s="144"/>
      <c r="RW373" s="144"/>
      <c r="RX373" s="144"/>
      <c r="RY373" s="144"/>
      <c r="RZ373" s="144"/>
      <c r="SA373" s="144"/>
      <c r="SB373" s="144"/>
      <c r="SC373" s="144"/>
      <c r="SD373" s="144"/>
      <c r="SE373" s="144"/>
      <c r="SF373" s="144"/>
      <c r="SG373" s="144"/>
      <c r="SH373" s="144"/>
      <c r="SI373" s="144"/>
      <c r="SJ373" s="144"/>
      <c r="SK373" s="144"/>
      <c r="SL373" s="144"/>
      <c r="SM373" s="144"/>
      <c r="SN373" s="144"/>
      <c r="SO373" s="144"/>
      <c r="SP373" s="144"/>
      <c r="SQ373" s="144"/>
      <c r="SR373" s="144"/>
      <c r="SS373" s="144"/>
      <c r="ST373" s="144"/>
      <c r="SU373" s="144"/>
      <c r="SV373" s="144"/>
      <c r="SW373" s="144"/>
      <c r="SX373" s="144"/>
      <c r="SY373" s="144"/>
      <c r="SZ373" s="144"/>
      <c r="TA373" s="144"/>
      <c r="TB373" s="144"/>
      <c r="TC373" s="144"/>
      <c r="TD373" s="144"/>
      <c r="TE373" s="144"/>
      <c r="TF373" s="144"/>
      <c r="TG373" s="144"/>
      <c r="TH373" s="144"/>
      <c r="TI373" s="144"/>
      <c r="TJ373" s="144"/>
      <c r="TK373" s="144"/>
      <c r="TL373" s="144"/>
      <c r="TM373" s="144"/>
      <c r="TN373" s="144"/>
      <c r="TO373" s="144"/>
      <c r="TP373" s="144"/>
      <c r="TQ373" s="144"/>
      <c r="TR373" s="144"/>
      <c r="TS373" s="144"/>
      <c r="TT373" s="144"/>
      <c r="TU373" s="144"/>
      <c r="TV373" s="144"/>
      <c r="TW373" s="144"/>
      <c r="TX373" s="144"/>
      <c r="TY373" s="144"/>
      <c r="TZ373" s="144"/>
      <c r="UA373" s="144"/>
      <c r="UB373" s="144"/>
      <c r="UC373" s="144"/>
      <c r="UD373" s="144"/>
      <c r="UE373" s="144"/>
      <c r="UF373" s="144"/>
      <c r="UG373" s="144"/>
      <c r="UH373" s="144"/>
      <c r="UI373" s="144"/>
      <c r="UJ373" s="144"/>
      <c r="UK373" s="144"/>
      <c r="UL373" s="144"/>
      <c r="UM373" s="144"/>
      <c r="UN373" s="144"/>
      <c r="UO373" s="144"/>
      <c r="UP373" s="144"/>
      <c r="UQ373" s="144"/>
      <c r="UR373" s="144"/>
      <c r="US373" s="144"/>
    </row>
    <row r="374" spans="253:565" ht="48" customHeight="1">
      <c r="IS374" s="229"/>
      <c r="IT374" s="229"/>
      <c r="IU374" s="229"/>
      <c r="IV374" s="229"/>
      <c r="IW374" s="229"/>
      <c r="IX374" s="229"/>
      <c r="IY374" s="229"/>
      <c r="IZ374" s="229"/>
      <c r="JA374" s="229"/>
      <c r="JB374" s="229"/>
      <c r="JC374" s="229"/>
      <c r="JD374" s="229"/>
      <c r="JE374" s="229"/>
      <c r="JF374" s="229"/>
      <c r="JG374" s="229"/>
      <c r="JH374" s="229"/>
      <c r="JI374" s="229"/>
      <c r="QP374" s="144"/>
      <c r="QQ374" s="144"/>
      <c r="QR374" s="144"/>
      <c r="QS374" s="144"/>
      <c r="QT374" s="144"/>
      <c r="QU374" s="144"/>
      <c r="QV374" s="144"/>
      <c r="QW374" s="144"/>
      <c r="QX374" s="144"/>
      <c r="QY374" s="144"/>
      <c r="QZ374" s="144"/>
      <c r="RA374" s="144"/>
      <c r="RB374" s="144"/>
      <c r="RC374" s="144"/>
      <c r="RD374" s="144"/>
      <c r="RE374" s="144"/>
      <c r="RF374" s="144"/>
      <c r="RG374" s="144"/>
      <c r="RH374" s="144"/>
      <c r="RI374" s="144"/>
      <c r="RJ374" s="144"/>
      <c r="RK374" s="144"/>
      <c r="RL374" s="144"/>
      <c r="RM374" s="144"/>
      <c r="RN374" s="144"/>
      <c r="RO374" s="144"/>
      <c r="RP374" s="144"/>
      <c r="RQ374" s="144"/>
      <c r="RR374" s="144"/>
      <c r="RS374" s="144"/>
      <c r="RT374" s="144"/>
      <c r="RU374" s="144"/>
      <c r="RV374" s="144"/>
      <c r="RW374" s="144"/>
      <c r="RX374" s="144"/>
      <c r="RY374" s="144"/>
      <c r="RZ374" s="144"/>
      <c r="SA374" s="144"/>
      <c r="SB374" s="144"/>
      <c r="SC374" s="144"/>
      <c r="SD374" s="144"/>
      <c r="SE374" s="144"/>
      <c r="SF374" s="144"/>
      <c r="SG374" s="144"/>
      <c r="SH374" s="144"/>
      <c r="SI374" s="144"/>
      <c r="SJ374" s="144"/>
      <c r="SK374" s="144"/>
      <c r="SL374" s="144"/>
      <c r="SM374" s="144"/>
      <c r="SN374" s="144"/>
      <c r="SO374" s="144"/>
      <c r="SP374" s="144"/>
      <c r="SQ374" s="144"/>
      <c r="SR374" s="144"/>
      <c r="SS374" s="144"/>
      <c r="ST374" s="144"/>
      <c r="SU374" s="144"/>
      <c r="SV374" s="144"/>
      <c r="SW374" s="144"/>
      <c r="SX374" s="144"/>
      <c r="SY374" s="144"/>
      <c r="SZ374" s="144"/>
      <c r="TA374" s="144"/>
      <c r="TB374" s="144"/>
      <c r="TC374" s="144"/>
      <c r="TD374" s="144"/>
      <c r="TE374" s="144"/>
      <c r="TF374" s="144"/>
      <c r="TG374" s="144"/>
      <c r="TH374" s="144"/>
      <c r="TI374" s="144"/>
      <c r="TJ374" s="144"/>
      <c r="TK374" s="144"/>
      <c r="TL374" s="144"/>
      <c r="TM374" s="144"/>
      <c r="TN374" s="144"/>
      <c r="TO374" s="144"/>
      <c r="TP374" s="144"/>
      <c r="TQ374" s="144"/>
      <c r="TR374" s="144"/>
      <c r="TS374" s="144"/>
      <c r="TT374" s="144"/>
      <c r="TU374" s="144"/>
      <c r="TV374" s="144"/>
      <c r="TW374" s="144"/>
      <c r="TX374" s="144"/>
      <c r="TY374" s="144"/>
      <c r="TZ374" s="144"/>
      <c r="UA374" s="144"/>
      <c r="UB374" s="144"/>
      <c r="UC374" s="144"/>
      <c r="UD374" s="144"/>
      <c r="UE374" s="144"/>
      <c r="UF374" s="144"/>
      <c r="UG374" s="144"/>
      <c r="UH374" s="144"/>
      <c r="UI374" s="144"/>
      <c r="UJ374" s="144"/>
      <c r="UK374" s="144"/>
      <c r="UL374" s="144"/>
      <c r="UM374" s="144"/>
      <c r="UN374" s="144"/>
      <c r="UO374" s="144"/>
      <c r="UP374" s="144"/>
      <c r="UQ374" s="144"/>
      <c r="UR374" s="144"/>
      <c r="US374" s="144"/>
    </row>
    <row r="375" spans="253:565" ht="48" customHeight="1">
      <c r="QP375" s="144"/>
      <c r="QQ375" s="144"/>
      <c r="QR375" s="144"/>
      <c r="QS375" s="144"/>
      <c r="QT375" s="144"/>
      <c r="QU375" s="144"/>
      <c r="QV375" s="144"/>
      <c r="QW375" s="144"/>
      <c r="QX375" s="144"/>
      <c r="QY375" s="144"/>
      <c r="QZ375" s="144"/>
      <c r="RA375" s="144"/>
      <c r="RB375" s="144"/>
      <c r="RC375" s="144"/>
      <c r="RD375" s="144"/>
      <c r="RE375" s="144"/>
      <c r="RF375" s="144"/>
      <c r="RG375" s="144"/>
      <c r="RH375" s="144"/>
      <c r="RI375" s="144"/>
      <c r="RJ375" s="144"/>
      <c r="RK375" s="144"/>
      <c r="RL375" s="144"/>
      <c r="RM375" s="144"/>
      <c r="RN375" s="144"/>
      <c r="RO375" s="144"/>
      <c r="RP375" s="144"/>
      <c r="RQ375" s="144"/>
      <c r="RR375" s="144"/>
      <c r="RS375" s="144"/>
      <c r="RT375" s="144"/>
      <c r="RU375" s="144"/>
      <c r="RV375" s="144"/>
      <c r="RW375" s="144"/>
      <c r="RX375" s="144"/>
      <c r="RY375" s="144"/>
      <c r="RZ375" s="144"/>
      <c r="SA375" s="144"/>
      <c r="SB375" s="144"/>
      <c r="SC375" s="144"/>
      <c r="SD375" s="144"/>
      <c r="SE375" s="144"/>
      <c r="SF375" s="144"/>
      <c r="SG375" s="144"/>
      <c r="SH375" s="144"/>
      <c r="SI375" s="144"/>
      <c r="SJ375" s="144"/>
      <c r="SK375" s="144"/>
      <c r="SL375" s="144"/>
      <c r="SM375" s="144"/>
      <c r="SN375" s="144"/>
      <c r="SO375" s="144"/>
      <c r="SP375" s="144"/>
      <c r="SQ375" s="144"/>
      <c r="SR375" s="144"/>
      <c r="SS375" s="144"/>
      <c r="ST375" s="144"/>
      <c r="SU375" s="144"/>
      <c r="SV375" s="144"/>
      <c r="SW375" s="144"/>
      <c r="SX375" s="144"/>
      <c r="SY375" s="144"/>
      <c r="SZ375" s="144"/>
      <c r="TA375" s="144"/>
      <c r="TB375" s="144"/>
      <c r="TC375" s="144"/>
      <c r="TD375" s="144"/>
      <c r="TE375" s="144"/>
      <c r="TF375" s="144"/>
      <c r="TG375" s="144"/>
      <c r="TH375" s="144"/>
      <c r="TI375" s="144"/>
      <c r="TJ375" s="144"/>
      <c r="TK375" s="144"/>
      <c r="TL375" s="144"/>
      <c r="TM375" s="144"/>
      <c r="TN375" s="144"/>
      <c r="TO375" s="144"/>
      <c r="TP375" s="144"/>
      <c r="TQ375" s="144"/>
      <c r="TR375" s="144"/>
      <c r="TS375" s="144"/>
      <c r="TT375" s="144"/>
      <c r="TU375" s="144"/>
      <c r="TV375" s="144"/>
      <c r="TW375" s="144"/>
      <c r="TX375" s="144"/>
      <c r="TY375" s="144"/>
      <c r="TZ375" s="144"/>
      <c r="UA375" s="144"/>
      <c r="UB375" s="144"/>
      <c r="UC375" s="144"/>
      <c r="UD375" s="144"/>
      <c r="UE375" s="144"/>
      <c r="UF375" s="144"/>
      <c r="UG375" s="144"/>
      <c r="UH375" s="144"/>
      <c r="UI375" s="144"/>
      <c r="UJ375" s="144"/>
      <c r="UK375" s="144"/>
      <c r="UL375" s="144"/>
      <c r="UM375" s="144"/>
      <c r="UN375" s="144"/>
      <c r="UO375" s="144"/>
      <c r="UP375" s="144"/>
      <c r="UQ375" s="144"/>
      <c r="UR375" s="144"/>
      <c r="US375" s="144"/>
    </row>
    <row r="376" spans="253:565" ht="48" customHeight="1">
      <c r="QP376" s="144"/>
      <c r="QQ376" s="144"/>
      <c r="QR376" s="144"/>
      <c r="QS376" s="144"/>
      <c r="QT376" s="144"/>
      <c r="QU376" s="144"/>
      <c r="QV376" s="144"/>
      <c r="QW376" s="144"/>
      <c r="QX376" s="144"/>
      <c r="QY376" s="144"/>
      <c r="QZ376" s="144"/>
      <c r="RA376" s="144"/>
      <c r="RB376" s="144"/>
      <c r="RC376" s="144"/>
      <c r="RD376" s="144"/>
      <c r="RE376" s="144"/>
      <c r="RF376" s="144"/>
      <c r="RG376" s="144"/>
      <c r="RH376" s="144"/>
      <c r="RI376" s="144"/>
      <c r="RJ376" s="144"/>
      <c r="RK376" s="144"/>
      <c r="RL376" s="144"/>
      <c r="RM376" s="144"/>
      <c r="RN376" s="144"/>
      <c r="RO376" s="144"/>
      <c r="RP376" s="144"/>
      <c r="RQ376" s="144"/>
      <c r="RR376" s="144"/>
      <c r="RS376" s="144"/>
      <c r="RT376" s="144"/>
      <c r="RU376" s="144"/>
      <c r="RV376" s="144"/>
      <c r="RW376" s="144"/>
      <c r="RX376" s="144"/>
      <c r="RY376" s="144"/>
      <c r="RZ376" s="144"/>
      <c r="SA376" s="144"/>
      <c r="SB376" s="144"/>
      <c r="SC376" s="144"/>
      <c r="SD376" s="144"/>
      <c r="SE376" s="144"/>
      <c r="SF376" s="144"/>
      <c r="SG376" s="144"/>
      <c r="SH376" s="144"/>
      <c r="SI376" s="144"/>
      <c r="SJ376" s="144"/>
      <c r="SK376" s="144"/>
      <c r="SL376" s="144"/>
      <c r="SM376" s="144"/>
      <c r="SN376" s="144"/>
      <c r="SO376" s="144"/>
      <c r="SP376" s="144"/>
      <c r="SQ376" s="144"/>
      <c r="SR376" s="144"/>
      <c r="SS376" s="144"/>
      <c r="ST376" s="144"/>
      <c r="SU376" s="144"/>
      <c r="SV376" s="144"/>
      <c r="SW376" s="144"/>
      <c r="SX376" s="144"/>
      <c r="SY376" s="144"/>
      <c r="SZ376" s="144"/>
      <c r="TA376" s="144"/>
      <c r="TB376" s="144"/>
      <c r="TC376" s="144"/>
      <c r="TD376" s="144"/>
      <c r="TE376" s="144"/>
      <c r="TF376" s="144"/>
      <c r="TG376" s="144"/>
      <c r="TH376" s="144"/>
      <c r="TI376" s="144"/>
      <c r="TJ376" s="144"/>
      <c r="TK376" s="144"/>
      <c r="TL376" s="144"/>
      <c r="TM376" s="144"/>
      <c r="TN376" s="144"/>
      <c r="TO376" s="144"/>
      <c r="TP376" s="144"/>
      <c r="TQ376" s="144"/>
      <c r="TR376" s="144"/>
      <c r="TS376" s="144"/>
      <c r="TT376" s="144"/>
      <c r="TU376" s="144"/>
      <c r="TV376" s="144"/>
      <c r="TW376" s="144"/>
      <c r="TX376" s="144"/>
      <c r="TY376" s="144"/>
      <c r="TZ376" s="144"/>
      <c r="UA376" s="144"/>
      <c r="UB376" s="144"/>
      <c r="UC376" s="144"/>
      <c r="UD376" s="144"/>
      <c r="UE376" s="144"/>
      <c r="UF376" s="144"/>
      <c r="UG376" s="144"/>
      <c r="UH376" s="144"/>
      <c r="UI376" s="144"/>
      <c r="UJ376" s="144"/>
      <c r="UK376" s="144"/>
      <c r="UL376" s="144"/>
      <c r="UM376" s="144"/>
      <c r="UN376" s="144"/>
      <c r="UO376" s="144"/>
      <c r="UP376" s="144"/>
      <c r="UQ376" s="144"/>
      <c r="UR376" s="144"/>
      <c r="US376" s="144"/>
    </row>
    <row r="377" spans="253:565" ht="48" customHeight="1">
      <c r="QP377" s="144"/>
      <c r="QQ377" s="144"/>
      <c r="QR377" s="144"/>
      <c r="QS377" s="144"/>
      <c r="QT377" s="144"/>
      <c r="QU377" s="144"/>
      <c r="QV377" s="144"/>
      <c r="QW377" s="144"/>
      <c r="QX377" s="144"/>
      <c r="QY377" s="144"/>
      <c r="QZ377" s="144"/>
      <c r="RA377" s="144"/>
      <c r="RB377" s="144"/>
      <c r="RC377" s="144"/>
      <c r="RD377" s="144"/>
      <c r="RE377" s="144"/>
      <c r="RF377" s="144"/>
      <c r="RG377" s="144"/>
      <c r="RH377" s="144"/>
      <c r="RI377" s="144"/>
      <c r="RJ377" s="144"/>
      <c r="RK377" s="144"/>
      <c r="RL377" s="144"/>
      <c r="RM377" s="144"/>
      <c r="RN377" s="144"/>
      <c r="RO377" s="144"/>
      <c r="RP377" s="144"/>
      <c r="RQ377" s="144"/>
      <c r="RR377" s="144"/>
      <c r="RS377" s="144"/>
      <c r="RT377" s="144"/>
      <c r="RU377" s="144"/>
      <c r="RV377" s="144"/>
      <c r="RW377" s="144"/>
      <c r="RX377" s="144"/>
      <c r="RY377" s="144"/>
      <c r="RZ377" s="144"/>
      <c r="SA377" s="144"/>
      <c r="SB377" s="144"/>
      <c r="SC377" s="144"/>
      <c r="SD377" s="144"/>
      <c r="SE377" s="144"/>
      <c r="SF377" s="144"/>
      <c r="SG377" s="144"/>
      <c r="SH377" s="144"/>
      <c r="SI377" s="144"/>
      <c r="SJ377" s="144"/>
      <c r="SK377" s="144"/>
      <c r="SL377" s="144"/>
      <c r="SM377" s="144"/>
      <c r="SN377" s="144"/>
      <c r="SO377" s="144"/>
      <c r="SP377" s="144"/>
      <c r="SQ377" s="144"/>
      <c r="SR377" s="144"/>
      <c r="SS377" s="144"/>
      <c r="ST377" s="144"/>
      <c r="SU377" s="144"/>
      <c r="SV377" s="144"/>
      <c r="SW377" s="144"/>
      <c r="SX377" s="144"/>
      <c r="SY377" s="144"/>
      <c r="SZ377" s="144"/>
      <c r="TA377" s="144"/>
      <c r="TB377" s="144"/>
      <c r="TC377" s="144"/>
      <c r="TD377" s="144"/>
      <c r="TE377" s="144"/>
      <c r="TF377" s="144"/>
      <c r="TG377" s="144"/>
      <c r="TH377" s="144"/>
      <c r="TI377" s="144"/>
      <c r="TJ377" s="144"/>
      <c r="TK377" s="144"/>
      <c r="TL377" s="144"/>
      <c r="TM377" s="144"/>
      <c r="TN377" s="144"/>
      <c r="TO377" s="144"/>
      <c r="TP377" s="144"/>
      <c r="TQ377" s="144"/>
      <c r="TR377" s="144"/>
      <c r="TS377" s="144"/>
      <c r="TT377" s="144"/>
      <c r="TU377" s="144"/>
      <c r="TV377" s="144"/>
      <c r="TW377" s="144"/>
      <c r="TX377" s="144"/>
      <c r="TY377" s="144"/>
      <c r="TZ377" s="144"/>
      <c r="UA377" s="144"/>
      <c r="UB377" s="144"/>
      <c r="UC377" s="144"/>
      <c r="UD377" s="144"/>
      <c r="UE377" s="144"/>
      <c r="UF377" s="144"/>
      <c r="UG377" s="144"/>
      <c r="UH377" s="144"/>
      <c r="UI377" s="144"/>
      <c r="UJ377" s="144"/>
      <c r="UK377" s="144"/>
      <c r="UL377" s="144"/>
      <c r="UM377" s="144"/>
      <c r="UN377" s="144"/>
      <c r="UO377" s="144"/>
      <c r="UP377" s="144"/>
      <c r="UQ377" s="144"/>
      <c r="UR377" s="144"/>
      <c r="US377" s="144"/>
    </row>
    <row r="378" spans="253:565" ht="48" customHeight="1">
      <c r="QP378" s="144"/>
      <c r="QQ378" s="144"/>
      <c r="QR378" s="144"/>
      <c r="QS378" s="144"/>
      <c r="QT378" s="144"/>
      <c r="QU378" s="144"/>
      <c r="QV378" s="144"/>
      <c r="QW378" s="144"/>
      <c r="QX378" s="144"/>
      <c r="QY378" s="144"/>
      <c r="QZ378" s="144"/>
      <c r="RA378" s="144"/>
      <c r="RB378" s="144"/>
      <c r="RC378" s="144"/>
      <c r="RD378" s="144"/>
      <c r="RE378" s="144"/>
      <c r="RF378" s="144"/>
      <c r="RG378" s="144"/>
      <c r="RH378" s="144"/>
      <c r="RI378" s="144"/>
      <c r="RJ378" s="144"/>
      <c r="RK378" s="144"/>
      <c r="RL378" s="144"/>
      <c r="RM378" s="144"/>
      <c r="RN378" s="144"/>
      <c r="RO378" s="144"/>
      <c r="RP378" s="144"/>
      <c r="RQ378" s="144"/>
      <c r="RR378" s="144"/>
      <c r="RS378" s="144"/>
      <c r="RT378" s="144"/>
      <c r="RU378" s="144"/>
      <c r="RV378" s="144"/>
      <c r="RW378" s="144"/>
      <c r="RX378" s="144"/>
      <c r="RY378" s="144"/>
      <c r="RZ378" s="144"/>
      <c r="SA378" s="144"/>
      <c r="SB378" s="144"/>
      <c r="SC378" s="144"/>
      <c r="SD378" s="144"/>
      <c r="SE378" s="144"/>
      <c r="SF378" s="144"/>
      <c r="SG378" s="144"/>
      <c r="SH378" s="144"/>
      <c r="SI378" s="144"/>
      <c r="SJ378" s="144"/>
      <c r="SK378" s="144"/>
      <c r="SL378" s="144"/>
      <c r="SM378" s="144"/>
      <c r="SN378" s="144"/>
      <c r="SO378" s="144"/>
      <c r="SP378" s="144"/>
      <c r="SQ378" s="144"/>
      <c r="SR378" s="144"/>
      <c r="SS378" s="144"/>
      <c r="ST378" s="144"/>
      <c r="SU378" s="144"/>
      <c r="SV378" s="144"/>
      <c r="SW378" s="144"/>
      <c r="SX378" s="144"/>
      <c r="SY378" s="144"/>
      <c r="SZ378" s="144"/>
      <c r="TA378" s="144"/>
      <c r="TB378" s="144"/>
      <c r="TC378" s="144"/>
      <c r="TD378" s="144"/>
      <c r="TE378" s="144"/>
      <c r="TF378" s="144"/>
      <c r="TG378" s="144"/>
      <c r="TH378" s="144"/>
      <c r="TI378" s="144"/>
      <c r="TJ378" s="144"/>
      <c r="TK378" s="144"/>
      <c r="TL378" s="144"/>
      <c r="TM378" s="144"/>
      <c r="TN378" s="144"/>
      <c r="TO378" s="144"/>
      <c r="TP378" s="144"/>
      <c r="TQ378" s="144"/>
      <c r="TR378" s="144"/>
      <c r="TS378" s="144"/>
      <c r="TT378" s="144"/>
      <c r="TU378" s="144"/>
      <c r="TV378" s="144"/>
      <c r="TW378" s="144"/>
      <c r="TX378" s="144"/>
      <c r="TY378" s="144"/>
      <c r="TZ378" s="144"/>
      <c r="UA378" s="144"/>
      <c r="UB378" s="144"/>
      <c r="UC378" s="144"/>
      <c r="UD378" s="144"/>
      <c r="UE378" s="144"/>
      <c r="UF378" s="144"/>
      <c r="UG378" s="144"/>
      <c r="UH378" s="144"/>
      <c r="UI378" s="144"/>
      <c r="UJ378" s="144"/>
      <c r="UK378" s="144"/>
      <c r="UL378" s="144"/>
      <c r="UM378" s="144"/>
      <c r="UN378" s="144"/>
      <c r="UO378" s="144"/>
      <c r="UP378" s="144"/>
      <c r="UQ378" s="144"/>
      <c r="UR378" s="144"/>
      <c r="US378" s="144"/>
    </row>
    <row r="379" spans="253:565" ht="48" customHeight="1">
      <c r="QP379" s="144"/>
      <c r="QQ379" s="144"/>
      <c r="QR379" s="144"/>
      <c r="QS379" s="144"/>
      <c r="QT379" s="144"/>
      <c r="QU379" s="144"/>
      <c r="QV379" s="144"/>
      <c r="QW379" s="144"/>
      <c r="QX379" s="144"/>
      <c r="QY379" s="144"/>
      <c r="QZ379" s="144"/>
      <c r="RA379" s="144"/>
      <c r="RB379" s="144"/>
      <c r="RC379" s="144"/>
      <c r="RD379" s="144"/>
      <c r="RE379" s="144"/>
      <c r="RF379" s="144"/>
      <c r="RG379" s="144"/>
      <c r="RH379" s="144"/>
      <c r="RI379" s="144"/>
      <c r="RJ379" s="144"/>
      <c r="RK379" s="144"/>
      <c r="RL379" s="144"/>
      <c r="RM379" s="144"/>
      <c r="RN379" s="144"/>
      <c r="RO379" s="144"/>
      <c r="RP379" s="144"/>
      <c r="RQ379" s="144"/>
      <c r="RR379" s="144"/>
      <c r="RS379" s="144"/>
      <c r="RT379" s="144"/>
      <c r="RU379" s="144"/>
      <c r="RV379" s="144"/>
      <c r="RW379" s="144"/>
      <c r="RX379" s="144"/>
      <c r="RY379" s="144"/>
      <c r="RZ379" s="144"/>
      <c r="SA379" s="144"/>
      <c r="SB379" s="144"/>
      <c r="SC379" s="144"/>
      <c r="SD379" s="144"/>
      <c r="SE379" s="144"/>
      <c r="SF379" s="144"/>
      <c r="SG379" s="144"/>
      <c r="SH379" s="144"/>
      <c r="SI379" s="144"/>
      <c r="SJ379" s="144"/>
      <c r="SK379" s="144"/>
      <c r="SL379" s="144"/>
      <c r="SM379" s="144"/>
      <c r="SN379" s="144"/>
      <c r="SO379" s="144"/>
      <c r="SP379" s="144"/>
      <c r="SQ379" s="144"/>
      <c r="SR379" s="144"/>
      <c r="SS379" s="144"/>
      <c r="ST379" s="144"/>
      <c r="SU379" s="144"/>
      <c r="SV379" s="144"/>
      <c r="SW379" s="144"/>
      <c r="SX379" s="144"/>
      <c r="SY379" s="144"/>
      <c r="SZ379" s="144"/>
      <c r="TA379" s="144"/>
      <c r="TB379" s="144"/>
      <c r="TC379" s="144"/>
      <c r="TD379" s="144"/>
      <c r="TE379" s="144"/>
      <c r="TF379" s="144"/>
      <c r="TG379" s="144"/>
      <c r="TH379" s="144"/>
      <c r="TI379" s="144"/>
      <c r="TJ379" s="144"/>
      <c r="TK379" s="144"/>
      <c r="TL379" s="144"/>
      <c r="TM379" s="144"/>
      <c r="TN379" s="144"/>
      <c r="TO379" s="144"/>
      <c r="TP379" s="144"/>
      <c r="TQ379" s="144"/>
      <c r="TR379" s="144"/>
      <c r="TS379" s="144"/>
      <c r="TT379" s="144"/>
      <c r="TU379" s="144"/>
      <c r="TV379" s="144"/>
      <c r="TW379" s="144"/>
      <c r="TX379" s="144"/>
      <c r="TY379" s="144"/>
      <c r="TZ379" s="144"/>
      <c r="UA379" s="144"/>
      <c r="UB379" s="144"/>
      <c r="UC379" s="144"/>
      <c r="UD379" s="144"/>
      <c r="UE379" s="144"/>
      <c r="UF379" s="144"/>
      <c r="UG379" s="144"/>
      <c r="UH379" s="144"/>
      <c r="UI379" s="144"/>
      <c r="UJ379" s="144"/>
      <c r="UK379" s="144"/>
      <c r="UL379" s="144"/>
      <c r="UM379" s="144"/>
      <c r="UN379" s="144"/>
      <c r="UO379" s="144"/>
      <c r="UP379" s="144"/>
      <c r="UQ379" s="144"/>
      <c r="UR379" s="144"/>
      <c r="US379" s="144"/>
    </row>
    <row r="380" spans="253:565" ht="48" customHeight="1">
      <c r="QP380" s="144"/>
      <c r="QQ380" s="144"/>
      <c r="QR380" s="144"/>
      <c r="QS380" s="144"/>
      <c r="QT380" s="144"/>
      <c r="QU380" s="144"/>
      <c r="QV380" s="144"/>
      <c r="QW380" s="144"/>
      <c r="QX380" s="144"/>
      <c r="QY380" s="144"/>
      <c r="QZ380" s="144"/>
      <c r="RA380" s="144"/>
      <c r="RB380" s="144"/>
      <c r="RC380" s="144"/>
      <c r="RD380" s="144"/>
      <c r="RE380" s="144"/>
      <c r="RF380" s="144"/>
      <c r="RG380" s="144"/>
      <c r="RH380" s="144"/>
      <c r="RI380" s="144"/>
      <c r="RJ380" s="144"/>
      <c r="RK380" s="144"/>
      <c r="RL380" s="144"/>
      <c r="RM380" s="144"/>
      <c r="RN380" s="144"/>
      <c r="RO380" s="144"/>
      <c r="RP380" s="144"/>
      <c r="RQ380" s="144"/>
      <c r="RR380" s="144"/>
      <c r="RS380" s="144"/>
      <c r="RT380" s="144"/>
      <c r="RU380" s="144"/>
      <c r="RV380" s="144"/>
      <c r="RW380" s="144"/>
      <c r="RX380" s="144"/>
      <c r="RY380" s="144"/>
      <c r="RZ380" s="144"/>
      <c r="SA380" s="144"/>
      <c r="SB380" s="144"/>
      <c r="SC380" s="144"/>
      <c r="SD380" s="144"/>
      <c r="SE380" s="144"/>
      <c r="SF380" s="144"/>
      <c r="SG380" s="144"/>
      <c r="SH380" s="144"/>
      <c r="SI380" s="144"/>
      <c r="SJ380" s="144"/>
      <c r="SK380" s="144"/>
      <c r="SL380" s="144"/>
      <c r="SM380" s="144"/>
      <c r="SN380" s="144"/>
      <c r="SO380" s="144"/>
      <c r="SP380" s="144"/>
      <c r="SQ380" s="144"/>
      <c r="SR380" s="144"/>
      <c r="SS380" s="144"/>
      <c r="ST380" s="144"/>
      <c r="SU380" s="144"/>
      <c r="SV380" s="144"/>
      <c r="SW380" s="144"/>
      <c r="SX380" s="144"/>
      <c r="SY380" s="144"/>
      <c r="SZ380" s="144"/>
      <c r="TA380" s="144"/>
      <c r="TB380" s="144"/>
      <c r="TC380" s="144"/>
      <c r="TD380" s="144"/>
      <c r="TE380" s="144"/>
      <c r="TF380" s="144"/>
      <c r="TG380" s="144"/>
      <c r="TH380" s="144"/>
      <c r="TI380" s="144"/>
      <c r="TJ380" s="144"/>
      <c r="TK380" s="144"/>
      <c r="TL380" s="144"/>
      <c r="TM380" s="144"/>
      <c r="TN380" s="144"/>
      <c r="TO380" s="144"/>
      <c r="TP380" s="144"/>
      <c r="TQ380" s="144"/>
      <c r="TR380" s="144"/>
      <c r="TS380" s="144"/>
      <c r="TT380" s="144"/>
      <c r="TU380" s="144"/>
      <c r="TV380" s="144"/>
      <c r="TW380" s="144"/>
      <c r="TX380" s="144"/>
      <c r="TY380" s="144"/>
      <c r="TZ380" s="144"/>
      <c r="UA380" s="144"/>
      <c r="UB380" s="144"/>
      <c r="UC380" s="144"/>
      <c r="UD380" s="144"/>
      <c r="UE380" s="144"/>
      <c r="UF380" s="144"/>
      <c r="UG380" s="144"/>
      <c r="UH380" s="144"/>
      <c r="UI380" s="144"/>
      <c r="UJ380" s="144"/>
      <c r="UK380" s="144"/>
      <c r="UL380" s="144"/>
      <c r="UM380" s="144"/>
      <c r="UN380" s="144"/>
      <c r="UO380" s="144"/>
      <c r="UP380" s="144"/>
      <c r="UQ380" s="144"/>
      <c r="UR380" s="144"/>
      <c r="US380" s="144"/>
    </row>
    <row r="381" spans="253:565" ht="48" customHeight="1">
      <c r="QP381" s="144"/>
      <c r="QQ381" s="144"/>
      <c r="QR381" s="144"/>
      <c r="QS381" s="144"/>
      <c r="QT381" s="144"/>
      <c r="QU381" s="144"/>
      <c r="QV381" s="144"/>
      <c r="QW381" s="144"/>
      <c r="QX381" s="144"/>
      <c r="QY381" s="144"/>
      <c r="QZ381" s="144"/>
      <c r="RA381" s="144"/>
      <c r="RB381" s="144"/>
      <c r="RC381" s="144"/>
      <c r="RD381" s="144"/>
      <c r="RE381" s="144"/>
      <c r="RF381" s="144"/>
      <c r="RG381" s="144"/>
      <c r="RH381" s="144"/>
      <c r="RI381" s="144"/>
      <c r="RJ381" s="144"/>
      <c r="RK381" s="144"/>
      <c r="RL381" s="144"/>
      <c r="RM381" s="144"/>
      <c r="RN381" s="144"/>
      <c r="RO381" s="144"/>
      <c r="RP381" s="144"/>
      <c r="RQ381" s="144"/>
      <c r="RR381" s="144"/>
      <c r="RS381" s="144"/>
      <c r="RT381" s="144"/>
      <c r="RU381" s="144"/>
      <c r="RV381" s="144"/>
      <c r="RW381" s="144"/>
      <c r="RX381" s="144"/>
      <c r="RY381" s="144"/>
      <c r="RZ381" s="144"/>
      <c r="SA381" s="144"/>
      <c r="SB381" s="144"/>
      <c r="SC381" s="144"/>
      <c r="SD381" s="144"/>
      <c r="SE381" s="144"/>
      <c r="SF381" s="144"/>
      <c r="SG381" s="144"/>
      <c r="SH381" s="144"/>
      <c r="SI381" s="144"/>
      <c r="SJ381" s="144"/>
      <c r="SK381" s="144"/>
      <c r="SL381" s="144"/>
      <c r="SM381" s="144"/>
      <c r="SN381" s="144"/>
      <c r="SO381" s="144"/>
      <c r="SP381" s="144"/>
      <c r="SQ381" s="144"/>
      <c r="SR381" s="144"/>
      <c r="SS381" s="144"/>
      <c r="ST381" s="144"/>
      <c r="SU381" s="144"/>
      <c r="SV381" s="144"/>
      <c r="SW381" s="144"/>
      <c r="SX381" s="144"/>
      <c r="SY381" s="144"/>
      <c r="SZ381" s="144"/>
      <c r="TA381" s="144"/>
      <c r="TB381" s="144"/>
      <c r="TC381" s="144"/>
      <c r="TD381" s="144"/>
      <c r="TE381" s="144"/>
      <c r="TF381" s="144"/>
      <c r="TG381" s="144"/>
      <c r="TH381" s="144"/>
      <c r="TI381" s="144"/>
      <c r="TJ381" s="144"/>
      <c r="TK381" s="144"/>
      <c r="TL381" s="144"/>
      <c r="TM381" s="144"/>
      <c r="TN381" s="144"/>
      <c r="TO381" s="144"/>
      <c r="TP381" s="144"/>
      <c r="TQ381" s="144"/>
      <c r="TR381" s="144"/>
      <c r="TS381" s="144"/>
      <c r="TT381" s="144"/>
      <c r="TU381" s="144"/>
      <c r="TV381" s="144"/>
      <c r="TW381" s="144"/>
      <c r="TX381" s="144"/>
      <c r="TY381" s="144"/>
      <c r="TZ381" s="144"/>
      <c r="UA381" s="144"/>
      <c r="UB381" s="144"/>
      <c r="UC381" s="144"/>
      <c r="UD381" s="144"/>
      <c r="UE381" s="144"/>
      <c r="UF381" s="144"/>
      <c r="UG381" s="144"/>
      <c r="UH381" s="144"/>
      <c r="UI381" s="144"/>
      <c r="UJ381" s="144"/>
      <c r="UK381" s="144"/>
      <c r="UL381" s="144"/>
      <c r="UM381" s="144"/>
      <c r="UN381" s="144"/>
      <c r="UO381" s="144"/>
      <c r="UP381" s="144"/>
      <c r="UQ381" s="144"/>
      <c r="UR381" s="144"/>
      <c r="US381" s="144"/>
    </row>
    <row r="382" spans="253:565" ht="48" customHeight="1">
      <c r="QP382" s="144"/>
      <c r="QQ382" s="144"/>
      <c r="QR382" s="144"/>
      <c r="QS382" s="144"/>
      <c r="QT382" s="144"/>
      <c r="QU382" s="144"/>
      <c r="QV382" s="144"/>
      <c r="QW382" s="144"/>
      <c r="QX382" s="144"/>
      <c r="QY382" s="144"/>
      <c r="QZ382" s="144"/>
      <c r="RA382" s="144"/>
      <c r="RB382" s="144"/>
      <c r="RC382" s="144"/>
      <c r="RD382" s="144"/>
      <c r="RE382" s="144"/>
      <c r="RF382" s="144"/>
      <c r="RG382" s="144"/>
      <c r="RH382" s="144"/>
      <c r="RI382" s="144"/>
      <c r="RJ382" s="144"/>
      <c r="RK382" s="144"/>
      <c r="RL382" s="144"/>
      <c r="RM382" s="144"/>
      <c r="RN382" s="144"/>
      <c r="RO382" s="144"/>
      <c r="RP382" s="144"/>
      <c r="RQ382" s="144"/>
      <c r="RR382" s="144"/>
      <c r="RS382" s="144"/>
      <c r="RT382" s="144"/>
      <c r="RU382" s="144"/>
      <c r="RV382" s="144"/>
      <c r="RW382" s="144"/>
      <c r="RX382" s="144"/>
      <c r="RY382" s="144"/>
      <c r="RZ382" s="144"/>
      <c r="SA382" s="144"/>
      <c r="SB382" s="144"/>
      <c r="SC382" s="144"/>
      <c r="SD382" s="144"/>
      <c r="SE382" s="144"/>
      <c r="SF382" s="144"/>
      <c r="SG382" s="144"/>
      <c r="SH382" s="144"/>
      <c r="SI382" s="144"/>
      <c r="SJ382" s="144"/>
      <c r="SK382" s="144"/>
      <c r="SL382" s="144"/>
      <c r="SM382" s="144"/>
      <c r="SN382" s="144"/>
      <c r="SO382" s="144"/>
      <c r="SP382" s="144"/>
      <c r="SQ382" s="144"/>
      <c r="SR382" s="144"/>
      <c r="SS382" s="144"/>
      <c r="ST382" s="144"/>
      <c r="SU382" s="144"/>
      <c r="SV382" s="144"/>
      <c r="SW382" s="144"/>
      <c r="SX382" s="144"/>
      <c r="SY382" s="144"/>
      <c r="SZ382" s="144"/>
      <c r="TA382" s="144"/>
      <c r="TB382" s="144"/>
      <c r="TC382" s="144"/>
      <c r="TD382" s="144"/>
      <c r="TE382" s="144"/>
      <c r="TF382" s="144"/>
      <c r="TG382" s="144"/>
      <c r="TH382" s="144"/>
      <c r="TI382" s="144"/>
      <c r="TJ382" s="144"/>
      <c r="TK382" s="144"/>
      <c r="TL382" s="144"/>
      <c r="TM382" s="144"/>
      <c r="TN382" s="144"/>
      <c r="TO382" s="144"/>
      <c r="TP382" s="144"/>
      <c r="TQ382" s="144"/>
      <c r="TR382" s="144"/>
      <c r="TS382" s="144"/>
      <c r="TT382" s="144"/>
      <c r="TU382" s="144"/>
      <c r="TV382" s="144"/>
      <c r="TW382" s="144"/>
      <c r="TX382" s="144"/>
      <c r="TY382" s="144"/>
      <c r="TZ382" s="144"/>
      <c r="UA382" s="144"/>
      <c r="UB382" s="144"/>
      <c r="UC382" s="144"/>
      <c r="UD382" s="144"/>
      <c r="UE382" s="144"/>
      <c r="UF382" s="144"/>
      <c r="UG382" s="144"/>
      <c r="UH382" s="144"/>
      <c r="UI382" s="144"/>
      <c r="UJ382" s="144"/>
      <c r="UK382" s="144"/>
      <c r="UL382" s="144"/>
      <c r="UM382" s="144"/>
      <c r="UN382" s="144"/>
      <c r="UO382" s="144"/>
      <c r="UP382" s="144"/>
      <c r="UQ382" s="144"/>
      <c r="UR382" s="144"/>
      <c r="US382" s="144"/>
    </row>
    <row r="383" spans="253:565" ht="48" customHeight="1">
      <c r="QP383" s="144"/>
      <c r="QQ383" s="144"/>
      <c r="QR383" s="144"/>
      <c r="QS383" s="144"/>
      <c r="QT383" s="144"/>
      <c r="QU383" s="144"/>
      <c r="QV383" s="144"/>
      <c r="QW383" s="144"/>
      <c r="QX383" s="144"/>
      <c r="QY383" s="144"/>
      <c r="QZ383" s="144"/>
      <c r="RA383" s="144"/>
      <c r="RB383" s="144"/>
      <c r="RC383" s="144"/>
      <c r="RD383" s="144"/>
      <c r="RE383" s="144"/>
      <c r="RF383" s="144"/>
      <c r="RG383" s="144"/>
      <c r="RH383" s="144"/>
      <c r="RI383" s="144"/>
      <c r="RJ383" s="144"/>
      <c r="RK383" s="144"/>
      <c r="RL383" s="144"/>
      <c r="RM383" s="144"/>
      <c r="RN383" s="144"/>
      <c r="RO383" s="144"/>
      <c r="RP383" s="144"/>
      <c r="RQ383" s="144"/>
      <c r="RR383" s="144"/>
      <c r="RS383" s="144"/>
      <c r="RT383" s="144"/>
      <c r="RU383" s="144"/>
      <c r="RV383" s="144"/>
      <c r="RW383" s="144"/>
      <c r="RX383" s="144"/>
      <c r="RY383" s="144"/>
      <c r="RZ383" s="144"/>
      <c r="SA383" s="144"/>
      <c r="SB383" s="144"/>
      <c r="SC383" s="144"/>
      <c r="SD383" s="144"/>
      <c r="SE383" s="144"/>
      <c r="SF383" s="144"/>
      <c r="SG383" s="144"/>
      <c r="SH383" s="144"/>
      <c r="SI383" s="144"/>
      <c r="SJ383" s="144"/>
      <c r="SK383" s="144"/>
      <c r="SL383" s="144"/>
      <c r="SM383" s="144"/>
      <c r="SN383" s="144"/>
      <c r="SO383" s="144"/>
      <c r="SP383" s="144"/>
      <c r="SQ383" s="144"/>
      <c r="SR383" s="144"/>
      <c r="SS383" s="144"/>
      <c r="ST383" s="144"/>
      <c r="SU383" s="144"/>
      <c r="SV383" s="144"/>
      <c r="SW383" s="144"/>
      <c r="SX383" s="144"/>
      <c r="SY383" s="144"/>
      <c r="SZ383" s="144"/>
      <c r="TA383" s="144"/>
      <c r="TB383" s="144"/>
      <c r="TC383" s="144"/>
      <c r="TD383" s="144"/>
      <c r="TE383" s="144"/>
      <c r="TF383" s="144"/>
      <c r="TG383" s="144"/>
      <c r="TH383" s="144"/>
      <c r="TI383" s="144"/>
      <c r="TJ383" s="144"/>
      <c r="TK383" s="144"/>
      <c r="TL383" s="144"/>
      <c r="TM383" s="144"/>
      <c r="TN383" s="144"/>
      <c r="TO383" s="144"/>
      <c r="TP383" s="144"/>
      <c r="TQ383" s="144"/>
      <c r="TR383" s="144"/>
      <c r="TS383" s="144"/>
      <c r="TT383" s="144"/>
      <c r="TU383" s="144"/>
      <c r="TV383" s="144"/>
      <c r="TW383" s="144"/>
      <c r="TX383" s="144"/>
      <c r="TY383" s="144"/>
      <c r="TZ383" s="144"/>
      <c r="UA383" s="144"/>
      <c r="UB383" s="144"/>
      <c r="UC383" s="144"/>
      <c r="UD383" s="144"/>
      <c r="UE383" s="144"/>
      <c r="UF383" s="144"/>
      <c r="UG383" s="144"/>
      <c r="UH383" s="144"/>
      <c r="UI383" s="144"/>
      <c r="UJ383" s="144"/>
      <c r="UK383" s="144"/>
      <c r="UL383" s="144"/>
      <c r="UM383" s="144"/>
      <c r="UN383" s="144"/>
      <c r="UO383" s="144"/>
      <c r="UP383" s="144"/>
      <c r="UQ383" s="144"/>
      <c r="UR383" s="144"/>
      <c r="US383" s="144"/>
    </row>
    <row r="384" spans="253:565" ht="48" customHeight="1">
      <c r="QP384" s="144"/>
      <c r="QQ384" s="144"/>
      <c r="QR384" s="144"/>
      <c r="QS384" s="144"/>
      <c r="QT384" s="144"/>
      <c r="QU384" s="144"/>
      <c r="QV384" s="144"/>
      <c r="QW384" s="144"/>
      <c r="QX384" s="144"/>
      <c r="QY384" s="144"/>
      <c r="QZ384" s="144"/>
      <c r="RA384" s="144"/>
      <c r="RB384" s="144"/>
      <c r="RC384" s="144"/>
      <c r="RD384" s="144"/>
      <c r="RE384" s="144"/>
      <c r="RF384" s="144"/>
      <c r="RG384" s="144"/>
      <c r="RH384" s="144"/>
      <c r="RI384" s="144"/>
      <c r="RJ384" s="144"/>
      <c r="RK384" s="144"/>
      <c r="RL384" s="144"/>
      <c r="RM384" s="144"/>
      <c r="RN384" s="144"/>
      <c r="RO384" s="144"/>
      <c r="RP384" s="144"/>
      <c r="RQ384" s="144"/>
      <c r="RR384" s="144"/>
      <c r="RS384" s="144"/>
      <c r="RT384" s="144"/>
      <c r="RU384" s="144"/>
      <c r="RV384" s="144"/>
      <c r="RW384" s="144"/>
      <c r="RX384" s="144"/>
      <c r="RY384" s="144"/>
      <c r="RZ384" s="144"/>
      <c r="SA384" s="144"/>
      <c r="SB384" s="144"/>
      <c r="SC384" s="144"/>
      <c r="SD384" s="144"/>
      <c r="SE384" s="144"/>
      <c r="SF384" s="144"/>
      <c r="SG384" s="144"/>
      <c r="SH384" s="144"/>
      <c r="SI384" s="144"/>
      <c r="SJ384" s="144"/>
      <c r="SK384" s="144"/>
      <c r="SL384" s="144"/>
      <c r="SM384" s="144"/>
      <c r="SN384" s="144"/>
      <c r="SO384" s="144"/>
      <c r="SP384" s="144"/>
      <c r="SQ384" s="144"/>
      <c r="SR384" s="144"/>
      <c r="SS384" s="144"/>
      <c r="ST384" s="144"/>
      <c r="SU384" s="144"/>
      <c r="SV384" s="144"/>
      <c r="SW384" s="144"/>
      <c r="SX384" s="144"/>
      <c r="SY384" s="144"/>
      <c r="SZ384" s="144"/>
      <c r="TA384" s="144"/>
      <c r="TB384" s="144"/>
      <c r="TC384" s="144"/>
      <c r="TD384" s="144"/>
      <c r="TE384" s="144"/>
      <c r="TF384" s="144"/>
      <c r="TG384" s="144"/>
      <c r="TH384" s="144"/>
      <c r="TI384" s="144"/>
      <c r="TJ384" s="144"/>
      <c r="TK384" s="144"/>
      <c r="TL384" s="144"/>
      <c r="TM384" s="144"/>
      <c r="TN384" s="144"/>
      <c r="TO384" s="144"/>
      <c r="TP384" s="144"/>
      <c r="TQ384" s="144"/>
      <c r="TR384" s="144"/>
      <c r="TS384" s="144"/>
      <c r="TT384" s="144"/>
      <c r="TU384" s="144"/>
      <c r="TV384" s="144"/>
      <c r="TW384" s="144"/>
      <c r="TX384" s="144"/>
      <c r="TY384" s="144"/>
      <c r="TZ384" s="144"/>
      <c r="UA384" s="144"/>
      <c r="UB384" s="144"/>
      <c r="UC384" s="144"/>
      <c r="UD384" s="144"/>
      <c r="UE384" s="144"/>
      <c r="UF384" s="144"/>
      <c r="UG384" s="144"/>
      <c r="UH384" s="144"/>
      <c r="UI384" s="144"/>
      <c r="UJ384" s="144"/>
      <c r="UK384" s="144"/>
      <c r="UL384" s="144"/>
      <c r="UM384" s="144"/>
      <c r="UN384" s="144"/>
      <c r="UO384" s="144"/>
      <c r="UP384" s="144"/>
      <c r="UQ384" s="144"/>
      <c r="UR384" s="144"/>
      <c r="US384" s="144"/>
    </row>
    <row r="385" spans="458:565" ht="48" customHeight="1">
      <c r="QP385" s="144"/>
      <c r="QQ385" s="144"/>
      <c r="QR385" s="144"/>
      <c r="QS385" s="144"/>
      <c r="QT385" s="144"/>
      <c r="QU385" s="144"/>
      <c r="QV385" s="144"/>
      <c r="QW385" s="144"/>
      <c r="QX385" s="144"/>
      <c r="QY385" s="144"/>
      <c r="QZ385" s="144"/>
      <c r="RA385" s="144"/>
      <c r="RB385" s="144"/>
      <c r="RC385" s="144"/>
      <c r="RD385" s="144"/>
      <c r="RE385" s="144"/>
      <c r="RF385" s="144"/>
      <c r="RG385" s="144"/>
      <c r="RH385" s="144"/>
      <c r="RI385" s="144"/>
      <c r="RJ385" s="144"/>
      <c r="RK385" s="144"/>
      <c r="RL385" s="144"/>
      <c r="RM385" s="144"/>
      <c r="RN385" s="144"/>
      <c r="RO385" s="144"/>
      <c r="RP385" s="144"/>
      <c r="RQ385" s="144"/>
      <c r="RR385" s="144"/>
      <c r="RS385" s="144"/>
      <c r="RT385" s="144"/>
      <c r="RU385" s="144"/>
      <c r="RV385" s="144"/>
      <c r="RW385" s="144"/>
      <c r="RX385" s="144"/>
      <c r="RY385" s="144"/>
      <c r="RZ385" s="144"/>
      <c r="SA385" s="144"/>
      <c r="SB385" s="144"/>
      <c r="SC385" s="144"/>
      <c r="SD385" s="144"/>
      <c r="SE385" s="144"/>
      <c r="SF385" s="144"/>
      <c r="SG385" s="144"/>
      <c r="SH385" s="144"/>
      <c r="SI385" s="144"/>
      <c r="SJ385" s="144"/>
      <c r="SK385" s="144"/>
      <c r="SL385" s="144"/>
      <c r="SM385" s="144"/>
      <c r="SN385" s="144"/>
      <c r="SO385" s="144"/>
      <c r="SP385" s="144"/>
      <c r="SQ385" s="144"/>
      <c r="SR385" s="144"/>
      <c r="SS385" s="144"/>
      <c r="ST385" s="144"/>
      <c r="SU385" s="144"/>
      <c r="SV385" s="144"/>
      <c r="SW385" s="144"/>
      <c r="SX385" s="144"/>
      <c r="SY385" s="144"/>
      <c r="SZ385" s="144"/>
      <c r="TA385" s="144"/>
      <c r="TB385" s="144"/>
      <c r="TC385" s="144"/>
      <c r="TD385" s="144"/>
      <c r="TE385" s="144"/>
      <c r="TF385" s="144"/>
      <c r="TG385" s="144"/>
      <c r="TH385" s="144"/>
      <c r="TI385" s="144"/>
      <c r="TJ385" s="144"/>
      <c r="TK385" s="144"/>
      <c r="TL385" s="144"/>
      <c r="TM385" s="144"/>
      <c r="TN385" s="144"/>
      <c r="TO385" s="144"/>
      <c r="TP385" s="144"/>
      <c r="TQ385" s="144"/>
      <c r="TR385" s="144"/>
      <c r="TS385" s="144"/>
      <c r="TT385" s="144"/>
      <c r="TU385" s="144"/>
      <c r="TV385" s="144"/>
      <c r="TW385" s="144"/>
      <c r="TX385" s="144"/>
      <c r="TY385" s="144"/>
      <c r="TZ385" s="144"/>
      <c r="UA385" s="144"/>
      <c r="UB385" s="144"/>
      <c r="UC385" s="144"/>
      <c r="UD385" s="144"/>
      <c r="UE385" s="144"/>
      <c r="UF385" s="144"/>
      <c r="UG385" s="144"/>
      <c r="UH385" s="144"/>
      <c r="UI385" s="144"/>
      <c r="UJ385" s="144"/>
      <c r="UK385" s="144"/>
      <c r="UL385" s="144"/>
      <c r="UM385" s="144"/>
      <c r="UN385" s="144"/>
      <c r="UO385" s="144"/>
      <c r="UP385" s="144"/>
      <c r="UQ385" s="144"/>
      <c r="UR385" s="144"/>
      <c r="US385" s="144"/>
    </row>
    <row r="386" spans="458:565" ht="48" customHeight="1">
      <c r="QP386" s="144"/>
      <c r="QQ386" s="144"/>
      <c r="QR386" s="144"/>
      <c r="QS386" s="144"/>
      <c r="QT386" s="144"/>
      <c r="QU386" s="144"/>
      <c r="QV386" s="144"/>
      <c r="QW386" s="144"/>
      <c r="QX386" s="144"/>
      <c r="QY386" s="144"/>
      <c r="QZ386" s="144"/>
      <c r="RA386" s="144"/>
      <c r="RB386" s="144"/>
      <c r="RC386" s="144"/>
      <c r="RD386" s="144"/>
      <c r="RE386" s="144"/>
      <c r="RF386" s="144"/>
      <c r="RG386" s="144"/>
      <c r="RH386" s="144"/>
      <c r="RI386" s="144"/>
      <c r="RJ386" s="144"/>
      <c r="RK386" s="144"/>
      <c r="RL386" s="144"/>
      <c r="RM386" s="144"/>
      <c r="RN386" s="144"/>
      <c r="RO386" s="144"/>
      <c r="RP386" s="144"/>
      <c r="RQ386" s="144"/>
      <c r="RR386" s="144"/>
      <c r="RS386" s="144"/>
      <c r="RT386" s="144"/>
      <c r="RU386" s="144"/>
      <c r="RV386" s="144"/>
      <c r="RW386" s="144"/>
      <c r="RX386" s="144"/>
      <c r="RY386" s="144"/>
      <c r="RZ386" s="144"/>
      <c r="SA386" s="144"/>
      <c r="SB386" s="144"/>
      <c r="SC386" s="144"/>
      <c r="SD386" s="144"/>
      <c r="SE386" s="144"/>
      <c r="SF386" s="144"/>
      <c r="SG386" s="144"/>
      <c r="SH386" s="144"/>
      <c r="SI386" s="144"/>
      <c r="SJ386" s="144"/>
      <c r="SK386" s="144"/>
      <c r="SL386" s="144"/>
      <c r="SM386" s="144"/>
      <c r="SN386" s="144"/>
      <c r="SO386" s="144"/>
      <c r="SP386" s="144"/>
      <c r="SQ386" s="144"/>
      <c r="SR386" s="144"/>
      <c r="SS386" s="144"/>
      <c r="ST386" s="144"/>
      <c r="SU386" s="144"/>
      <c r="SV386" s="144"/>
      <c r="SW386" s="144"/>
      <c r="SX386" s="144"/>
      <c r="SY386" s="144"/>
      <c r="SZ386" s="144"/>
      <c r="TA386" s="144"/>
      <c r="TB386" s="144"/>
      <c r="TC386" s="144"/>
      <c r="TD386" s="144"/>
      <c r="TE386" s="144"/>
      <c r="TF386" s="144"/>
      <c r="TG386" s="144"/>
      <c r="TH386" s="144"/>
      <c r="TI386" s="144"/>
      <c r="TJ386" s="144"/>
      <c r="TK386" s="144"/>
      <c r="TL386" s="144"/>
      <c r="TM386" s="144"/>
      <c r="TN386" s="144"/>
      <c r="TO386" s="144"/>
      <c r="TP386" s="144"/>
      <c r="TQ386" s="144"/>
      <c r="TR386" s="144"/>
      <c r="TS386" s="144"/>
      <c r="TT386" s="144"/>
      <c r="TU386" s="144"/>
      <c r="TV386" s="144"/>
      <c r="TW386" s="144"/>
      <c r="TX386" s="144"/>
      <c r="TY386" s="144"/>
      <c r="TZ386" s="144"/>
      <c r="UA386" s="144"/>
      <c r="UB386" s="144"/>
      <c r="UC386" s="144"/>
      <c r="UD386" s="144"/>
      <c r="UE386" s="144"/>
      <c r="UF386" s="144"/>
      <c r="UG386" s="144"/>
      <c r="UH386" s="144"/>
      <c r="UI386" s="144"/>
      <c r="UJ386" s="144"/>
      <c r="UK386" s="144"/>
      <c r="UL386" s="144"/>
      <c r="UM386" s="144"/>
      <c r="UN386" s="144"/>
      <c r="UO386" s="144"/>
      <c r="UP386" s="144"/>
      <c r="UQ386" s="144"/>
      <c r="UR386" s="144"/>
      <c r="US386" s="144"/>
    </row>
    <row r="387" spans="458:565" ht="48" customHeight="1">
      <c r="QP387" s="144"/>
      <c r="QQ387" s="144"/>
      <c r="QR387" s="144"/>
      <c r="QS387" s="144"/>
      <c r="QT387" s="144"/>
      <c r="QU387" s="144"/>
      <c r="QV387" s="144"/>
      <c r="QW387" s="144"/>
      <c r="QX387" s="144"/>
      <c r="QY387" s="144"/>
      <c r="QZ387" s="144"/>
      <c r="RA387" s="144"/>
      <c r="RB387" s="144"/>
      <c r="RC387" s="144"/>
      <c r="RD387" s="144"/>
      <c r="RE387" s="144"/>
      <c r="RF387" s="144"/>
      <c r="RG387" s="144"/>
      <c r="RH387" s="144"/>
      <c r="RI387" s="144"/>
      <c r="RJ387" s="144"/>
      <c r="RK387" s="144"/>
      <c r="RL387" s="144"/>
      <c r="RM387" s="144"/>
      <c r="RN387" s="144"/>
      <c r="RO387" s="144"/>
      <c r="RP387" s="144"/>
      <c r="RQ387" s="144"/>
      <c r="RR387" s="144"/>
      <c r="RS387" s="144"/>
      <c r="RT387" s="144"/>
      <c r="RU387" s="144"/>
      <c r="RV387" s="144"/>
      <c r="RW387" s="144"/>
      <c r="RX387" s="144"/>
      <c r="RY387" s="144"/>
      <c r="RZ387" s="144"/>
      <c r="SA387" s="144"/>
      <c r="SB387" s="144"/>
      <c r="SC387" s="144"/>
      <c r="SD387" s="144"/>
      <c r="SE387" s="144"/>
      <c r="SF387" s="144"/>
      <c r="SG387" s="144"/>
      <c r="SH387" s="144"/>
      <c r="SI387" s="144"/>
      <c r="SJ387" s="144"/>
      <c r="SK387" s="144"/>
      <c r="SL387" s="144"/>
      <c r="SM387" s="144"/>
      <c r="SN387" s="144"/>
      <c r="SO387" s="144"/>
      <c r="SP387" s="144"/>
      <c r="SQ387" s="144"/>
      <c r="SR387" s="144"/>
      <c r="SS387" s="144"/>
      <c r="ST387" s="144"/>
      <c r="SU387" s="144"/>
      <c r="SV387" s="144"/>
      <c r="SW387" s="144"/>
      <c r="SX387" s="144"/>
      <c r="SY387" s="144"/>
      <c r="SZ387" s="144"/>
      <c r="TA387" s="144"/>
      <c r="TB387" s="144"/>
      <c r="TC387" s="144"/>
      <c r="TD387" s="144"/>
      <c r="TE387" s="144"/>
      <c r="TF387" s="144"/>
      <c r="TG387" s="144"/>
      <c r="TH387" s="144"/>
      <c r="TI387" s="144"/>
      <c r="TJ387" s="144"/>
      <c r="TK387" s="144"/>
      <c r="TL387" s="144"/>
      <c r="TM387" s="144"/>
      <c r="TN387" s="144"/>
      <c r="TO387" s="144"/>
      <c r="TP387" s="144"/>
      <c r="TQ387" s="144"/>
      <c r="TR387" s="144"/>
      <c r="TS387" s="144"/>
      <c r="TT387" s="144"/>
      <c r="TU387" s="144"/>
      <c r="TV387" s="144"/>
      <c r="TW387" s="144"/>
      <c r="TX387" s="144"/>
      <c r="TY387" s="144"/>
      <c r="TZ387" s="144"/>
      <c r="UA387" s="144"/>
      <c r="UB387" s="144"/>
      <c r="UC387" s="144"/>
      <c r="UD387" s="144"/>
      <c r="UE387" s="144"/>
      <c r="UF387" s="144"/>
      <c r="UG387" s="144"/>
      <c r="UH387" s="144"/>
      <c r="UI387" s="144"/>
      <c r="UJ387" s="144"/>
      <c r="UK387" s="144"/>
      <c r="UL387" s="144"/>
      <c r="UM387" s="144"/>
      <c r="UN387" s="144"/>
      <c r="UO387" s="144"/>
      <c r="UP387" s="144"/>
      <c r="UQ387" s="144"/>
      <c r="UR387" s="144"/>
      <c r="US387" s="144"/>
    </row>
    <row r="388" spans="458:565" ht="48" customHeight="1">
      <c r="QP388" s="144"/>
      <c r="QQ388" s="144"/>
      <c r="QR388" s="144"/>
      <c r="QS388" s="144"/>
      <c r="QT388" s="144"/>
      <c r="QU388" s="144"/>
      <c r="QV388" s="144"/>
      <c r="QW388" s="144"/>
      <c r="QX388" s="144"/>
      <c r="QY388" s="144"/>
      <c r="QZ388" s="144"/>
      <c r="RA388" s="144"/>
      <c r="RB388" s="144"/>
      <c r="RC388" s="144"/>
      <c r="RD388" s="144"/>
      <c r="RE388" s="144"/>
      <c r="RF388" s="144"/>
      <c r="RG388" s="144"/>
      <c r="RH388" s="144"/>
      <c r="RI388" s="144"/>
      <c r="RJ388" s="144"/>
      <c r="RK388" s="144"/>
      <c r="RL388" s="144"/>
      <c r="RM388" s="144"/>
      <c r="RN388" s="144"/>
      <c r="RO388" s="144"/>
      <c r="RP388" s="144"/>
      <c r="RQ388" s="144"/>
      <c r="RR388" s="144"/>
      <c r="RS388" s="144"/>
      <c r="RT388" s="144"/>
      <c r="RU388" s="144"/>
      <c r="RV388" s="144"/>
      <c r="RW388" s="144"/>
      <c r="RX388" s="144"/>
      <c r="RY388" s="144"/>
      <c r="RZ388" s="144"/>
      <c r="SA388" s="144"/>
      <c r="SB388" s="144"/>
      <c r="SC388" s="144"/>
      <c r="SD388" s="144"/>
      <c r="SE388" s="144"/>
      <c r="SF388" s="144"/>
      <c r="SG388" s="144"/>
      <c r="SH388" s="144"/>
      <c r="SI388" s="144"/>
      <c r="SJ388" s="144"/>
      <c r="SK388" s="144"/>
      <c r="SL388" s="144"/>
      <c r="SM388" s="144"/>
      <c r="SN388" s="144"/>
      <c r="SO388" s="144"/>
      <c r="SP388" s="144"/>
      <c r="SQ388" s="144"/>
      <c r="SR388" s="144"/>
      <c r="SS388" s="144"/>
      <c r="ST388" s="144"/>
      <c r="SU388" s="144"/>
      <c r="SV388" s="144"/>
      <c r="SW388" s="144"/>
      <c r="SX388" s="144"/>
      <c r="SY388" s="144"/>
      <c r="SZ388" s="144"/>
      <c r="TA388" s="144"/>
      <c r="TB388" s="144"/>
      <c r="TC388" s="144"/>
      <c r="TD388" s="144"/>
      <c r="TE388" s="144"/>
      <c r="TF388" s="144"/>
      <c r="TG388" s="144"/>
      <c r="TH388" s="144"/>
      <c r="TI388" s="144"/>
      <c r="TJ388" s="144"/>
      <c r="TK388" s="144"/>
      <c r="TL388" s="144"/>
      <c r="TM388" s="144"/>
      <c r="TN388" s="144"/>
      <c r="TO388" s="144"/>
      <c r="TP388" s="144"/>
      <c r="TQ388" s="144"/>
      <c r="TR388" s="144"/>
      <c r="TS388" s="144"/>
      <c r="TT388" s="144"/>
      <c r="TU388" s="144"/>
      <c r="TV388" s="144"/>
      <c r="TW388" s="144"/>
      <c r="TX388" s="144"/>
      <c r="TY388" s="144"/>
      <c r="TZ388" s="144"/>
      <c r="UA388" s="144"/>
      <c r="UB388" s="144"/>
      <c r="UC388" s="144"/>
      <c r="UD388" s="144"/>
      <c r="UE388" s="144"/>
      <c r="UF388" s="144"/>
      <c r="UG388" s="144"/>
      <c r="UH388" s="144"/>
      <c r="UI388" s="144"/>
      <c r="UJ388" s="144"/>
      <c r="UK388" s="144"/>
      <c r="UL388" s="144"/>
      <c r="UM388" s="144"/>
      <c r="UN388" s="144"/>
      <c r="UO388" s="144"/>
      <c r="UP388" s="144"/>
      <c r="UQ388" s="144"/>
      <c r="UR388" s="144"/>
      <c r="US388" s="144"/>
    </row>
    <row r="389" spans="458:565" ht="48" customHeight="1">
      <c r="QP389" s="144"/>
      <c r="QQ389" s="144"/>
      <c r="QR389" s="144"/>
      <c r="QS389" s="144"/>
      <c r="QT389" s="144"/>
      <c r="QU389" s="144"/>
      <c r="QV389" s="144"/>
      <c r="QW389" s="144"/>
      <c r="QX389" s="144"/>
      <c r="QY389" s="144"/>
      <c r="QZ389" s="144"/>
      <c r="RA389" s="144"/>
      <c r="RB389" s="144"/>
      <c r="RC389" s="144"/>
      <c r="RD389" s="144"/>
      <c r="RE389" s="144"/>
      <c r="RF389" s="144"/>
      <c r="RG389" s="144"/>
      <c r="RH389" s="144"/>
      <c r="RI389" s="144"/>
      <c r="RJ389" s="144"/>
      <c r="RK389" s="144"/>
      <c r="RL389" s="144"/>
      <c r="RM389" s="144"/>
      <c r="RN389" s="144"/>
      <c r="RO389" s="144"/>
      <c r="RP389" s="144"/>
      <c r="RQ389" s="144"/>
      <c r="RR389" s="144"/>
      <c r="RS389" s="144"/>
      <c r="RT389" s="144"/>
      <c r="RU389" s="144"/>
      <c r="RV389" s="144"/>
      <c r="RW389" s="144"/>
      <c r="RX389" s="144"/>
      <c r="RY389" s="144"/>
      <c r="RZ389" s="144"/>
      <c r="SA389" s="144"/>
      <c r="SB389" s="144"/>
      <c r="SC389" s="144"/>
      <c r="SD389" s="144"/>
      <c r="SE389" s="144"/>
      <c r="SF389" s="144"/>
      <c r="SG389" s="144"/>
      <c r="SH389" s="144"/>
      <c r="SI389" s="144"/>
      <c r="SJ389" s="144"/>
      <c r="SK389" s="144"/>
      <c r="SL389" s="144"/>
      <c r="SM389" s="144"/>
      <c r="SN389" s="144"/>
      <c r="SO389" s="144"/>
      <c r="SP389" s="144"/>
      <c r="SQ389" s="144"/>
      <c r="SR389" s="144"/>
      <c r="SS389" s="144"/>
      <c r="ST389" s="144"/>
      <c r="SU389" s="144"/>
      <c r="SV389" s="144"/>
      <c r="SW389" s="144"/>
      <c r="SX389" s="144"/>
      <c r="SY389" s="144"/>
      <c r="SZ389" s="144"/>
      <c r="TA389" s="144"/>
      <c r="TB389" s="144"/>
      <c r="TC389" s="144"/>
      <c r="TD389" s="144"/>
      <c r="TE389" s="144"/>
      <c r="TF389" s="144"/>
      <c r="TG389" s="144"/>
      <c r="TH389" s="144"/>
      <c r="TI389" s="144"/>
      <c r="TJ389" s="144"/>
      <c r="TK389" s="144"/>
      <c r="TL389" s="144"/>
      <c r="TM389" s="144"/>
      <c r="TN389" s="144"/>
      <c r="TO389" s="144"/>
      <c r="TP389" s="144"/>
      <c r="TQ389" s="144"/>
      <c r="TR389" s="144"/>
      <c r="TS389" s="144"/>
      <c r="TT389" s="144"/>
      <c r="TU389" s="144"/>
      <c r="TV389" s="144"/>
      <c r="TW389" s="144"/>
      <c r="TX389" s="144"/>
      <c r="TY389" s="144"/>
      <c r="TZ389" s="144"/>
      <c r="UA389" s="144"/>
      <c r="UB389" s="144"/>
      <c r="UC389" s="144"/>
      <c r="UD389" s="144"/>
      <c r="UE389" s="144"/>
      <c r="UF389" s="144"/>
      <c r="UG389" s="144"/>
      <c r="UH389" s="144"/>
      <c r="UI389" s="144"/>
      <c r="UJ389" s="144"/>
      <c r="UK389" s="144"/>
      <c r="UL389" s="144"/>
      <c r="UM389" s="144"/>
      <c r="UN389" s="144"/>
      <c r="UO389" s="144"/>
      <c r="UP389" s="144"/>
      <c r="UQ389" s="144"/>
      <c r="UR389" s="144"/>
      <c r="US389" s="144"/>
    </row>
    <row r="390" spans="458:565" ht="48" customHeight="1">
      <c r="QP390" s="144"/>
      <c r="QQ390" s="144"/>
      <c r="QR390" s="144"/>
      <c r="QS390" s="144"/>
      <c r="QT390" s="144"/>
      <c r="QU390" s="144"/>
      <c r="QV390" s="144"/>
      <c r="QW390" s="144"/>
      <c r="QX390" s="144"/>
      <c r="QY390" s="144"/>
      <c r="QZ390" s="144"/>
      <c r="RA390" s="144"/>
      <c r="RB390" s="144"/>
      <c r="RC390" s="144"/>
      <c r="RD390" s="144"/>
      <c r="RE390" s="144"/>
      <c r="RF390" s="144"/>
      <c r="RG390" s="144"/>
      <c r="RH390" s="144"/>
      <c r="RI390" s="144"/>
      <c r="RJ390" s="144"/>
      <c r="RK390" s="144"/>
      <c r="RL390" s="144"/>
      <c r="RM390" s="144"/>
      <c r="RN390" s="144"/>
      <c r="RO390" s="144"/>
      <c r="RP390" s="144"/>
      <c r="RQ390" s="144"/>
      <c r="RR390" s="144"/>
      <c r="RS390" s="144"/>
      <c r="RT390" s="144"/>
      <c r="RU390" s="144"/>
      <c r="RV390" s="144"/>
      <c r="RW390" s="144"/>
      <c r="RX390" s="144"/>
      <c r="RY390" s="144"/>
      <c r="RZ390" s="144"/>
      <c r="SA390" s="144"/>
      <c r="SB390" s="144"/>
      <c r="SC390" s="144"/>
      <c r="SD390" s="144"/>
      <c r="SE390" s="144"/>
      <c r="SF390" s="144"/>
      <c r="SG390" s="144"/>
      <c r="SH390" s="144"/>
      <c r="SI390" s="144"/>
      <c r="SJ390" s="144"/>
      <c r="SK390" s="144"/>
      <c r="SL390" s="144"/>
      <c r="SM390" s="144"/>
      <c r="SN390" s="144"/>
      <c r="SO390" s="144"/>
      <c r="SP390" s="144"/>
      <c r="SQ390" s="144"/>
      <c r="SR390" s="144"/>
      <c r="SS390" s="144"/>
      <c r="ST390" s="144"/>
      <c r="SU390" s="144"/>
      <c r="SV390" s="144"/>
      <c r="SW390" s="144"/>
      <c r="SX390" s="144"/>
      <c r="SY390" s="144"/>
      <c r="SZ390" s="144"/>
      <c r="TA390" s="144"/>
      <c r="TB390" s="144"/>
      <c r="TC390" s="144"/>
      <c r="TD390" s="144"/>
      <c r="TE390" s="144"/>
      <c r="TF390" s="144"/>
      <c r="TG390" s="144"/>
      <c r="TH390" s="144"/>
      <c r="TI390" s="144"/>
      <c r="TJ390" s="144"/>
      <c r="TK390" s="144"/>
      <c r="TL390" s="144"/>
      <c r="TM390" s="144"/>
      <c r="TN390" s="144"/>
      <c r="TO390" s="144"/>
      <c r="TP390" s="144"/>
      <c r="TQ390" s="144"/>
      <c r="TR390" s="144"/>
      <c r="TS390" s="144"/>
      <c r="TT390" s="144"/>
      <c r="TU390" s="144"/>
      <c r="TV390" s="144"/>
      <c r="TW390" s="144"/>
      <c r="TX390" s="144"/>
      <c r="TY390" s="144"/>
      <c r="TZ390" s="144"/>
      <c r="UA390" s="144"/>
      <c r="UB390" s="144"/>
      <c r="UC390" s="144"/>
      <c r="UD390" s="144"/>
      <c r="UE390" s="144"/>
      <c r="UF390" s="144"/>
      <c r="UG390" s="144"/>
      <c r="UH390" s="144"/>
      <c r="UI390" s="144"/>
      <c r="UJ390" s="144"/>
      <c r="UK390" s="144"/>
      <c r="UL390" s="144"/>
      <c r="UM390" s="144"/>
      <c r="UN390" s="144"/>
      <c r="UO390" s="144"/>
      <c r="UP390" s="144"/>
      <c r="UQ390" s="144"/>
      <c r="UR390" s="144"/>
      <c r="US390" s="144"/>
    </row>
    <row r="391" spans="458:565" ht="48" customHeight="1">
      <c r="QP391" s="144"/>
      <c r="QQ391" s="144"/>
      <c r="QR391" s="144"/>
      <c r="QS391" s="144"/>
      <c r="QT391" s="144"/>
      <c r="QU391" s="144"/>
      <c r="QV391" s="144"/>
      <c r="QW391" s="144"/>
      <c r="QX391" s="144"/>
      <c r="QY391" s="144"/>
      <c r="QZ391" s="144"/>
      <c r="RA391" s="144"/>
      <c r="RB391" s="144"/>
      <c r="RC391" s="144"/>
      <c r="RD391" s="144"/>
      <c r="RE391" s="144"/>
      <c r="RF391" s="144"/>
      <c r="RG391" s="144"/>
      <c r="RH391" s="144"/>
      <c r="RI391" s="144"/>
      <c r="RJ391" s="144"/>
      <c r="RK391" s="144"/>
      <c r="RL391" s="144"/>
      <c r="RM391" s="144"/>
      <c r="RN391" s="144"/>
      <c r="RO391" s="144"/>
      <c r="RP391" s="144"/>
      <c r="RQ391" s="144"/>
      <c r="RR391" s="144"/>
      <c r="RS391" s="144"/>
      <c r="RT391" s="144"/>
      <c r="RU391" s="144"/>
      <c r="RV391" s="144"/>
      <c r="RW391" s="144"/>
      <c r="RX391" s="144"/>
      <c r="RY391" s="144"/>
      <c r="RZ391" s="144"/>
      <c r="SA391" s="144"/>
      <c r="SB391" s="144"/>
      <c r="SC391" s="144"/>
      <c r="SD391" s="144"/>
      <c r="SE391" s="144"/>
      <c r="SF391" s="144"/>
      <c r="SG391" s="144"/>
      <c r="SH391" s="144"/>
      <c r="SI391" s="144"/>
      <c r="SJ391" s="144"/>
      <c r="SK391" s="144"/>
      <c r="SL391" s="144"/>
      <c r="SM391" s="144"/>
      <c r="SN391" s="144"/>
      <c r="SO391" s="144"/>
      <c r="SP391" s="144"/>
      <c r="SQ391" s="144"/>
      <c r="SR391" s="144"/>
      <c r="SS391" s="144"/>
      <c r="ST391" s="144"/>
      <c r="SU391" s="144"/>
      <c r="SV391" s="144"/>
      <c r="SW391" s="144"/>
      <c r="SX391" s="144"/>
      <c r="SY391" s="144"/>
      <c r="SZ391" s="144"/>
      <c r="TA391" s="144"/>
      <c r="TB391" s="144"/>
      <c r="TC391" s="144"/>
      <c r="TD391" s="144"/>
      <c r="TE391" s="144"/>
      <c r="TF391" s="144"/>
      <c r="TG391" s="144"/>
      <c r="TH391" s="144"/>
      <c r="TI391" s="144"/>
      <c r="TJ391" s="144"/>
      <c r="TK391" s="144"/>
      <c r="TL391" s="144"/>
      <c r="TM391" s="144"/>
      <c r="TN391" s="144"/>
      <c r="TO391" s="144"/>
      <c r="TP391" s="144"/>
      <c r="TQ391" s="144"/>
      <c r="TR391" s="144"/>
      <c r="TS391" s="144"/>
      <c r="TT391" s="144"/>
      <c r="TU391" s="144"/>
      <c r="TV391" s="144"/>
      <c r="TW391" s="144"/>
      <c r="TX391" s="144"/>
      <c r="TY391" s="144"/>
      <c r="TZ391" s="144"/>
      <c r="UA391" s="144"/>
      <c r="UB391" s="144"/>
      <c r="UC391" s="144"/>
      <c r="UD391" s="144"/>
      <c r="UE391" s="144"/>
      <c r="UF391" s="144"/>
      <c r="UG391" s="144"/>
      <c r="UH391" s="144"/>
      <c r="UI391" s="144"/>
      <c r="UJ391" s="144"/>
      <c r="UK391" s="144"/>
      <c r="UL391" s="144"/>
      <c r="UM391" s="144"/>
      <c r="UN391" s="144"/>
      <c r="UO391" s="144"/>
      <c r="UP391" s="144"/>
      <c r="UQ391" s="144"/>
      <c r="UR391" s="144"/>
      <c r="US391" s="144"/>
    </row>
    <row r="392" spans="458:565" ht="48" customHeight="1">
      <c r="QP392" s="144"/>
      <c r="QQ392" s="144"/>
      <c r="QR392" s="144"/>
      <c r="QS392" s="144"/>
      <c r="QT392" s="144"/>
      <c r="QU392" s="144"/>
      <c r="QV392" s="144"/>
      <c r="QW392" s="144"/>
      <c r="QX392" s="144"/>
      <c r="QY392" s="144"/>
      <c r="QZ392" s="144"/>
      <c r="RA392" s="144"/>
      <c r="RB392" s="144"/>
      <c r="RC392" s="144"/>
      <c r="RD392" s="144"/>
      <c r="RE392" s="144"/>
      <c r="RF392" s="144"/>
      <c r="RG392" s="144"/>
      <c r="RH392" s="144"/>
      <c r="RI392" s="144"/>
      <c r="RJ392" s="144"/>
      <c r="RK392" s="144"/>
      <c r="RL392" s="144"/>
      <c r="RM392" s="144"/>
      <c r="RN392" s="144"/>
      <c r="RO392" s="144"/>
      <c r="RP392" s="144"/>
      <c r="RQ392" s="144"/>
      <c r="RR392" s="144"/>
      <c r="RS392" s="144"/>
      <c r="RT392" s="144"/>
      <c r="RU392" s="144"/>
      <c r="RV392" s="144"/>
      <c r="RW392" s="144"/>
      <c r="RX392" s="144"/>
      <c r="RY392" s="144"/>
      <c r="RZ392" s="144"/>
      <c r="SA392" s="144"/>
      <c r="SB392" s="144"/>
      <c r="SC392" s="144"/>
      <c r="SD392" s="144"/>
      <c r="SE392" s="144"/>
      <c r="SF392" s="144"/>
      <c r="SG392" s="144"/>
      <c r="SH392" s="144"/>
      <c r="SI392" s="144"/>
      <c r="SJ392" s="144"/>
      <c r="SK392" s="144"/>
      <c r="SL392" s="144"/>
      <c r="SM392" s="144"/>
      <c r="SN392" s="144"/>
      <c r="SO392" s="144"/>
      <c r="SP392" s="144"/>
      <c r="SQ392" s="144"/>
      <c r="SR392" s="144"/>
      <c r="SS392" s="144"/>
      <c r="ST392" s="144"/>
      <c r="SU392" s="144"/>
      <c r="SV392" s="144"/>
      <c r="SW392" s="144"/>
      <c r="SX392" s="144"/>
      <c r="SY392" s="144"/>
      <c r="SZ392" s="144"/>
      <c r="TA392" s="144"/>
      <c r="TB392" s="144"/>
      <c r="TC392" s="144"/>
      <c r="TD392" s="144"/>
      <c r="TE392" s="144"/>
      <c r="TF392" s="144"/>
      <c r="TG392" s="144"/>
      <c r="TH392" s="144"/>
      <c r="TI392" s="144"/>
      <c r="TJ392" s="144"/>
      <c r="TK392" s="144"/>
      <c r="TL392" s="144"/>
      <c r="TM392" s="144"/>
      <c r="TN392" s="144"/>
      <c r="TO392" s="144"/>
      <c r="TP392" s="144"/>
      <c r="TQ392" s="144"/>
      <c r="TR392" s="144"/>
      <c r="TS392" s="144"/>
      <c r="TT392" s="144"/>
      <c r="TU392" s="144"/>
      <c r="TV392" s="144"/>
      <c r="TW392" s="144"/>
      <c r="TX392" s="144"/>
      <c r="TY392" s="144"/>
      <c r="TZ392" s="144"/>
      <c r="UA392" s="144"/>
      <c r="UB392" s="144"/>
      <c r="UC392" s="144"/>
      <c r="UD392" s="144"/>
      <c r="UE392" s="144"/>
      <c r="UF392" s="144"/>
      <c r="UG392" s="144"/>
      <c r="UH392" s="144"/>
      <c r="UI392" s="144"/>
      <c r="UJ392" s="144"/>
      <c r="UK392" s="144"/>
      <c r="UL392" s="144"/>
      <c r="UM392" s="144"/>
      <c r="UN392" s="144"/>
      <c r="UO392" s="144"/>
      <c r="UP392" s="144"/>
      <c r="UQ392" s="144"/>
      <c r="UR392" s="144"/>
      <c r="US392" s="144"/>
    </row>
    <row r="393" spans="458:565" ht="48" customHeight="1">
      <c r="QP393" s="144"/>
      <c r="QQ393" s="144"/>
      <c r="QR393" s="144"/>
      <c r="QS393" s="144"/>
      <c r="QT393" s="144"/>
      <c r="QU393" s="144"/>
      <c r="QV393" s="144"/>
      <c r="QW393" s="144"/>
      <c r="QX393" s="144"/>
      <c r="QY393" s="144"/>
      <c r="QZ393" s="144"/>
      <c r="RA393" s="144"/>
      <c r="RB393" s="144"/>
      <c r="RC393" s="144"/>
      <c r="RD393" s="144"/>
      <c r="RE393" s="144"/>
      <c r="RF393" s="144"/>
      <c r="RG393" s="144"/>
      <c r="RH393" s="144"/>
      <c r="RI393" s="144"/>
      <c r="RJ393" s="144"/>
      <c r="RK393" s="144"/>
      <c r="RL393" s="144"/>
      <c r="RM393" s="144"/>
      <c r="RN393" s="144"/>
      <c r="RO393" s="144"/>
      <c r="RP393" s="144"/>
      <c r="RQ393" s="144"/>
      <c r="RR393" s="144"/>
      <c r="RS393" s="144"/>
      <c r="RT393" s="144"/>
      <c r="RU393" s="144"/>
      <c r="RV393" s="144"/>
      <c r="RW393" s="144"/>
      <c r="RX393" s="144"/>
      <c r="RY393" s="144"/>
      <c r="RZ393" s="144"/>
      <c r="SA393" s="144"/>
      <c r="SB393" s="144"/>
      <c r="SC393" s="144"/>
      <c r="SD393" s="144"/>
      <c r="SE393" s="144"/>
      <c r="SF393" s="144"/>
      <c r="SG393" s="144"/>
      <c r="SH393" s="144"/>
      <c r="SI393" s="144"/>
      <c r="SJ393" s="144"/>
      <c r="SK393" s="144"/>
      <c r="SL393" s="144"/>
      <c r="SM393" s="144"/>
      <c r="SN393" s="144"/>
      <c r="SO393" s="144"/>
      <c r="SP393" s="144"/>
      <c r="SQ393" s="144"/>
      <c r="SR393" s="144"/>
      <c r="SS393" s="144"/>
      <c r="ST393" s="144"/>
      <c r="SU393" s="144"/>
      <c r="SV393" s="144"/>
      <c r="SW393" s="144"/>
      <c r="SX393" s="144"/>
      <c r="SY393" s="144"/>
      <c r="SZ393" s="144"/>
      <c r="TA393" s="144"/>
      <c r="TB393" s="144"/>
      <c r="TC393" s="144"/>
      <c r="TD393" s="144"/>
      <c r="TE393" s="144"/>
      <c r="TF393" s="144"/>
      <c r="TG393" s="144"/>
      <c r="TH393" s="144"/>
      <c r="TI393" s="144"/>
      <c r="TJ393" s="144"/>
      <c r="TK393" s="144"/>
      <c r="TL393" s="144"/>
      <c r="TM393" s="144"/>
      <c r="TN393" s="144"/>
      <c r="TO393" s="144"/>
      <c r="TP393" s="144"/>
      <c r="TQ393" s="144"/>
      <c r="TR393" s="144"/>
      <c r="TS393" s="144"/>
      <c r="TT393" s="144"/>
      <c r="TU393" s="144"/>
      <c r="TV393" s="144"/>
      <c r="TW393" s="144"/>
      <c r="TX393" s="144"/>
      <c r="TY393" s="144"/>
      <c r="TZ393" s="144"/>
      <c r="UA393" s="144"/>
      <c r="UB393" s="144"/>
      <c r="UC393" s="144"/>
      <c r="UD393" s="144"/>
      <c r="UE393" s="144"/>
      <c r="UF393" s="144"/>
      <c r="UG393" s="144"/>
      <c r="UH393" s="144"/>
      <c r="UI393" s="144"/>
      <c r="UJ393" s="144"/>
      <c r="UK393" s="144"/>
      <c r="UL393" s="144"/>
      <c r="UM393" s="144"/>
      <c r="UN393" s="144"/>
      <c r="UO393" s="144"/>
      <c r="UP393" s="144"/>
      <c r="UQ393" s="144"/>
      <c r="UR393" s="144"/>
      <c r="US393" s="144"/>
    </row>
    <row r="394" spans="458:565" ht="48" customHeight="1">
      <c r="QP394" s="144"/>
      <c r="QQ394" s="144"/>
      <c r="QR394" s="144"/>
      <c r="QS394" s="144"/>
      <c r="QT394" s="144"/>
      <c r="QU394" s="144"/>
      <c r="QV394" s="144"/>
      <c r="QW394" s="144"/>
      <c r="QX394" s="144"/>
      <c r="QY394" s="144"/>
      <c r="QZ394" s="144"/>
      <c r="RA394" s="144"/>
      <c r="RB394" s="144"/>
      <c r="RC394" s="144"/>
      <c r="RD394" s="144"/>
      <c r="RE394" s="144"/>
      <c r="RF394" s="144"/>
      <c r="RG394" s="144"/>
      <c r="RH394" s="144"/>
      <c r="RI394" s="144"/>
      <c r="RJ394" s="144"/>
      <c r="RK394" s="144"/>
      <c r="RL394" s="144"/>
      <c r="RM394" s="144"/>
      <c r="RN394" s="144"/>
      <c r="RO394" s="144"/>
      <c r="RP394" s="144"/>
      <c r="RQ394" s="144"/>
      <c r="RR394" s="144"/>
      <c r="RS394" s="144"/>
      <c r="RT394" s="144"/>
      <c r="RU394" s="144"/>
      <c r="RV394" s="144"/>
      <c r="RW394" s="144"/>
      <c r="RX394" s="144"/>
      <c r="RY394" s="144"/>
      <c r="RZ394" s="144"/>
      <c r="SA394" s="144"/>
      <c r="SB394" s="144"/>
      <c r="SC394" s="144"/>
      <c r="SD394" s="144"/>
      <c r="SE394" s="144"/>
      <c r="SF394" s="144"/>
      <c r="SG394" s="144"/>
      <c r="SH394" s="144"/>
      <c r="SI394" s="144"/>
      <c r="SJ394" s="144"/>
      <c r="SK394" s="144"/>
      <c r="SL394" s="144"/>
      <c r="SM394" s="144"/>
      <c r="SN394" s="144"/>
      <c r="SO394" s="144"/>
      <c r="SP394" s="144"/>
      <c r="SQ394" s="144"/>
      <c r="SR394" s="144"/>
      <c r="SS394" s="144"/>
      <c r="ST394" s="144"/>
      <c r="SU394" s="144"/>
      <c r="SV394" s="144"/>
      <c r="SW394" s="144"/>
      <c r="SX394" s="144"/>
      <c r="SY394" s="144"/>
      <c r="SZ394" s="144"/>
      <c r="TA394" s="144"/>
      <c r="TB394" s="144"/>
      <c r="TC394" s="144"/>
      <c r="TD394" s="144"/>
      <c r="TE394" s="144"/>
      <c r="TF394" s="144"/>
      <c r="TG394" s="144"/>
      <c r="TH394" s="144"/>
      <c r="TI394" s="144"/>
      <c r="TJ394" s="144"/>
      <c r="TK394" s="144"/>
      <c r="TL394" s="144"/>
      <c r="TM394" s="144"/>
      <c r="TN394" s="144"/>
      <c r="TO394" s="144"/>
      <c r="TP394" s="144"/>
      <c r="TQ394" s="144"/>
      <c r="TR394" s="144"/>
      <c r="TS394" s="144"/>
      <c r="TT394" s="144"/>
      <c r="TU394" s="144"/>
      <c r="TV394" s="144"/>
      <c r="TW394" s="144"/>
      <c r="TX394" s="144"/>
      <c r="TY394" s="144"/>
      <c r="TZ394" s="144"/>
      <c r="UA394" s="144"/>
      <c r="UB394" s="144"/>
      <c r="UC394" s="144"/>
      <c r="UD394" s="144"/>
      <c r="UE394" s="144"/>
      <c r="UF394" s="144"/>
      <c r="UG394" s="144"/>
      <c r="UH394" s="144"/>
      <c r="UI394" s="144"/>
      <c r="UJ394" s="144"/>
      <c r="UK394" s="144"/>
      <c r="UL394" s="144"/>
      <c r="UM394" s="144"/>
      <c r="UN394" s="144"/>
      <c r="UO394" s="144"/>
      <c r="UP394" s="144"/>
      <c r="UQ394" s="144"/>
      <c r="UR394" s="144"/>
      <c r="US394" s="144"/>
    </row>
    <row r="395" spans="458:565" ht="48" customHeight="1">
      <c r="QP395" s="144"/>
      <c r="QQ395" s="144"/>
      <c r="QR395" s="144"/>
      <c r="QS395" s="144"/>
      <c r="QT395" s="144"/>
      <c r="QU395" s="144"/>
      <c r="QV395" s="144"/>
      <c r="QW395" s="144"/>
      <c r="QX395" s="144"/>
      <c r="QY395" s="144"/>
      <c r="QZ395" s="144"/>
      <c r="RA395" s="144"/>
      <c r="RB395" s="144"/>
      <c r="RC395" s="144"/>
      <c r="RD395" s="144"/>
      <c r="RE395" s="144"/>
      <c r="RF395" s="144"/>
      <c r="RG395" s="144"/>
      <c r="RH395" s="144"/>
      <c r="RI395" s="144"/>
      <c r="RJ395" s="144"/>
      <c r="RK395" s="144"/>
      <c r="RL395" s="144"/>
      <c r="RM395" s="144"/>
      <c r="RN395" s="144"/>
      <c r="RO395" s="144"/>
      <c r="RP395" s="144"/>
      <c r="RQ395" s="144"/>
      <c r="RR395" s="144"/>
      <c r="RS395" s="144"/>
      <c r="RT395" s="144"/>
      <c r="RU395" s="144"/>
      <c r="RV395" s="144"/>
      <c r="RW395" s="144"/>
      <c r="RX395" s="144"/>
      <c r="RY395" s="144"/>
      <c r="RZ395" s="144"/>
      <c r="SA395" s="144"/>
      <c r="SB395" s="144"/>
      <c r="SC395" s="144"/>
      <c r="SD395" s="144"/>
      <c r="SE395" s="144"/>
      <c r="SF395" s="144"/>
      <c r="SG395" s="144"/>
      <c r="SH395" s="144"/>
      <c r="SI395" s="144"/>
      <c r="SJ395" s="144"/>
      <c r="SK395" s="144"/>
      <c r="SL395" s="144"/>
      <c r="SM395" s="144"/>
      <c r="SN395" s="144"/>
      <c r="SO395" s="144"/>
      <c r="SP395" s="144"/>
      <c r="SQ395" s="144"/>
      <c r="SR395" s="144"/>
      <c r="SS395" s="144"/>
      <c r="ST395" s="144"/>
      <c r="SU395" s="144"/>
      <c r="SV395" s="144"/>
      <c r="SW395" s="144"/>
      <c r="SX395" s="144"/>
      <c r="SY395" s="144"/>
      <c r="SZ395" s="144"/>
      <c r="TA395" s="144"/>
      <c r="TB395" s="144"/>
      <c r="TC395" s="144"/>
      <c r="TD395" s="144"/>
      <c r="TE395" s="144"/>
      <c r="TF395" s="144"/>
      <c r="TG395" s="144"/>
      <c r="TH395" s="144"/>
      <c r="TI395" s="144"/>
      <c r="TJ395" s="144"/>
      <c r="TK395" s="144"/>
      <c r="TL395" s="144"/>
      <c r="TM395" s="144"/>
      <c r="TN395" s="144"/>
      <c r="TO395" s="144"/>
      <c r="TP395" s="144"/>
      <c r="TQ395" s="144"/>
      <c r="TR395" s="144"/>
      <c r="TS395" s="144"/>
      <c r="TT395" s="144"/>
      <c r="TU395" s="144"/>
      <c r="TV395" s="144"/>
      <c r="TW395" s="144"/>
      <c r="TX395" s="144"/>
      <c r="TY395" s="144"/>
      <c r="TZ395" s="144"/>
      <c r="UA395" s="144"/>
      <c r="UB395" s="144"/>
      <c r="UC395" s="144"/>
      <c r="UD395" s="144"/>
      <c r="UE395" s="144"/>
      <c r="UF395" s="144"/>
      <c r="UG395" s="144"/>
      <c r="UH395" s="144"/>
      <c r="UI395" s="144"/>
      <c r="UJ395" s="144"/>
      <c r="UK395" s="144"/>
      <c r="UL395" s="144"/>
      <c r="UM395" s="144"/>
      <c r="UN395" s="144"/>
      <c r="UO395" s="144"/>
      <c r="UP395" s="144"/>
      <c r="UQ395" s="144"/>
      <c r="UR395" s="144"/>
      <c r="US395" s="144"/>
    </row>
    <row r="396" spans="458:565" ht="48" customHeight="1">
      <c r="QP396" s="144"/>
      <c r="QQ396" s="144"/>
      <c r="QR396" s="144"/>
      <c r="QS396" s="144"/>
      <c r="QT396" s="144"/>
      <c r="QU396" s="144"/>
      <c r="QV396" s="144"/>
      <c r="QW396" s="144"/>
      <c r="QX396" s="144"/>
      <c r="QY396" s="144"/>
      <c r="QZ396" s="144"/>
      <c r="RA396" s="144"/>
      <c r="RB396" s="144"/>
      <c r="RC396" s="144"/>
      <c r="RD396" s="144"/>
      <c r="RE396" s="144"/>
      <c r="RF396" s="144"/>
      <c r="RG396" s="144"/>
      <c r="RH396" s="144"/>
      <c r="RI396" s="144"/>
      <c r="RJ396" s="144"/>
      <c r="RK396" s="144"/>
      <c r="RL396" s="144"/>
      <c r="RM396" s="144"/>
      <c r="RN396" s="144"/>
      <c r="RO396" s="144"/>
      <c r="RP396" s="144"/>
      <c r="RQ396" s="144"/>
      <c r="RR396" s="144"/>
      <c r="RS396" s="144"/>
      <c r="RT396" s="144"/>
      <c r="RU396" s="144"/>
      <c r="RV396" s="144"/>
      <c r="RW396" s="144"/>
      <c r="RX396" s="144"/>
      <c r="RY396" s="144"/>
      <c r="RZ396" s="144"/>
      <c r="SA396" s="144"/>
      <c r="SB396" s="144"/>
      <c r="SC396" s="144"/>
      <c r="SD396" s="144"/>
      <c r="SE396" s="144"/>
      <c r="SF396" s="144"/>
      <c r="SG396" s="144"/>
      <c r="SH396" s="144"/>
      <c r="SI396" s="144"/>
      <c r="SJ396" s="144"/>
      <c r="SK396" s="144"/>
      <c r="SL396" s="144"/>
      <c r="SM396" s="144"/>
      <c r="SN396" s="144"/>
      <c r="SO396" s="144"/>
      <c r="SP396" s="144"/>
      <c r="SQ396" s="144"/>
      <c r="SR396" s="144"/>
      <c r="SS396" s="144"/>
      <c r="ST396" s="144"/>
      <c r="SU396" s="144"/>
      <c r="SV396" s="144"/>
      <c r="SW396" s="144"/>
      <c r="SX396" s="144"/>
      <c r="SY396" s="144"/>
      <c r="SZ396" s="144"/>
      <c r="TA396" s="144"/>
      <c r="TB396" s="144"/>
      <c r="TC396" s="144"/>
      <c r="TD396" s="144"/>
      <c r="TE396" s="144"/>
      <c r="TF396" s="144"/>
      <c r="TG396" s="144"/>
      <c r="TH396" s="144"/>
      <c r="TI396" s="144"/>
      <c r="TJ396" s="144"/>
      <c r="TK396" s="144"/>
      <c r="TL396" s="144"/>
      <c r="TM396" s="144"/>
      <c r="TN396" s="144"/>
      <c r="TO396" s="144"/>
      <c r="TP396" s="144"/>
      <c r="TQ396" s="144"/>
      <c r="TR396" s="144"/>
      <c r="TS396" s="144"/>
      <c r="TT396" s="144"/>
      <c r="TU396" s="144"/>
      <c r="TV396" s="144"/>
      <c r="TW396" s="144"/>
      <c r="TX396" s="144"/>
      <c r="TY396" s="144"/>
      <c r="TZ396" s="144"/>
      <c r="UA396" s="144"/>
      <c r="UB396" s="144"/>
      <c r="UC396" s="144"/>
      <c r="UD396" s="144"/>
      <c r="UE396" s="144"/>
      <c r="UF396" s="144"/>
      <c r="UG396" s="144"/>
      <c r="UH396" s="144"/>
      <c r="UI396" s="144"/>
      <c r="UJ396" s="144"/>
      <c r="UK396" s="144"/>
      <c r="UL396" s="144"/>
      <c r="UM396" s="144"/>
      <c r="UN396" s="144"/>
      <c r="UO396" s="144"/>
      <c r="UP396" s="144"/>
      <c r="UQ396" s="144"/>
      <c r="UR396" s="144"/>
      <c r="US396" s="144"/>
    </row>
  </sheetData>
  <mergeCells count="13482">
    <mergeCell ref="MD169:ME169"/>
    <mergeCell ref="MD173:ME173"/>
    <mergeCell ref="MD177:ME177"/>
    <mergeCell ref="MD181:ME181"/>
    <mergeCell ref="MA187:MB187"/>
    <mergeCell ref="MA193:MB193"/>
    <mergeCell ref="MD199:ME199"/>
    <mergeCell ref="MA203:MB203"/>
    <mergeCell ref="MA208:MB208"/>
    <mergeCell ref="MA216:MB216"/>
    <mergeCell ref="MA212:MB212"/>
    <mergeCell ref="MA221:MB221"/>
    <mergeCell ref="MA228:MB228"/>
    <mergeCell ref="MA235:MB235"/>
    <mergeCell ref="WI51:WJ51"/>
    <mergeCell ref="WK51:WL51"/>
    <mergeCell ref="WI52:WJ52"/>
    <mergeCell ref="WK52:WL52"/>
    <mergeCell ref="CB43:CC43"/>
    <mergeCell ref="BY51:BZ51"/>
    <mergeCell ref="BY59:BZ59"/>
    <mergeCell ref="BY67:BZ67"/>
    <mergeCell ref="BY71:BZ71"/>
    <mergeCell ref="BY75:BZ75"/>
    <mergeCell ref="CC23:CD23"/>
    <mergeCell ref="RJ118:RL118"/>
    <mergeCell ref="RJ11:RL11"/>
    <mergeCell ref="RJ12:RL13"/>
    <mergeCell ref="RJ17:RL17"/>
    <mergeCell ref="DZ40:DZ42"/>
    <mergeCell ref="DZ44:DZ46"/>
    <mergeCell ref="GJ76:GK76"/>
    <mergeCell ref="GJ72:GK72"/>
    <mergeCell ref="GJ68:GK68"/>
    <mergeCell ref="GG19:GH19"/>
    <mergeCell ref="GG15:GH15"/>
    <mergeCell ref="GJ11:GK11"/>
    <mergeCell ref="HN25:HO25"/>
    <mergeCell ref="IS50:IT50"/>
    <mergeCell ref="IS46:IT46"/>
    <mergeCell ref="IS99:IT99"/>
    <mergeCell ref="IS95:IT95"/>
    <mergeCell ref="IT109:IU109"/>
    <mergeCell ref="IS124:IT124"/>
    <mergeCell ref="IV130:IW130"/>
    <mergeCell ref="IV135:IW135"/>
    <mergeCell ref="IS146:IT146"/>
    <mergeCell ref="IS15:IU15"/>
    <mergeCell ref="GF11:GH13"/>
    <mergeCell ref="GT31:GU31"/>
    <mergeCell ref="GV31:GW31"/>
    <mergeCell ref="QB17:QB18"/>
    <mergeCell ref="QF17:QF18"/>
    <mergeCell ref="PL22:PP22"/>
    <mergeCell ref="MU23:MU24"/>
    <mergeCell ref="JI18:JJ19"/>
    <mergeCell ref="JH21:JI21"/>
    <mergeCell ref="MO16:MQ16"/>
    <mergeCell ref="MO17:MQ17"/>
    <mergeCell ref="MR16:MU16"/>
    <mergeCell ref="PL45:PX46"/>
    <mergeCell ref="PK69:PL69"/>
    <mergeCell ref="PO69:PW71"/>
    <mergeCell ref="PM69:PN69"/>
    <mergeCell ref="PK70:PL70"/>
    <mergeCell ref="ED15:EE15"/>
    <mergeCell ref="ED19:EE19"/>
    <mergeCell ref="PK71:PN71"/>
    <mergeCell ref="FQ76:FR76"/>
    <mergeCell ref="FS76:FT76"/>
    <mergeCell ref="QC37:QD38"/>
    <mergeCell ref="PO79:PP79"/>
    <mergeCell ref="PO52:PP52"/>
    <mergeCell ref="PR52:PS52"/>
    <mergeCell ref="PM60:PM62"/>
    <mergeCell ref="PM56:PM58"/>
    <mergeCell ref="PJ56:PL58"/>
    <mergeCell ref="PV23:PW23"/>
    <mergeCell ref="QB48:QF48"/>
    <mergeCell ref="QC49:QE50"/>
    <mergeCell ref="QB52:QF52"/>
    <mergeCell ref="QC53:QE54"/>
    <mergeCell ref="QF53:QF54"/>
    <mergeCell ref="QB30:QF30"/>
    <mergeCell ref="US14:UW16"/>
    <mergeCell ref="UC12:UC13"/>
    <mergeCell ref="IS158:IT158"/>
    <mergeCell ref="IS164:IT164"/>
    <mergeCell ref="IT16:IU16"/>
    <mergeCell ref="IV16:IW16"/>
    <mergeCell ref="GF64:GH66"/>
    <mergeCell ref="VB13:VF13"/>
    <mergeCell ref="VG13:VH13"/>
    <mergeCell ref="UI16:UJ16"/>
    <mergeCell ref="UD16:UH16"/>
    <mergeCell ref="HL64:HL66"/>
    <mergeCell ref="HL55:HL57"/>
    <mergeCell ref="HM55:HR57"/>
    <mergeCell ref="HE64:HE66"/>
    <mergeCell ref="HF64:HJ66"/>
    <mergeCell ref="DR118:DR120"/>
    <mergeCell ref="DS118:DX120"/>
    <mergeCell ref="HM64:HS66"/>
    <mergeCell ref="SZ29:TE29"/>
    <mergeCell ref="SZ30:TE30"/>
    <mergeCell ref="SZ117:TE117"/>
    <mergeCell ref="RD12:RE13"/>
    <mergeCell ref="RC12:RC13"/>
    <mergeCell ref="PQ17:PR17"/>
    <mergeCell ref="PN23:PO23"/>
    <mergeCell ref="PP23:PQ23"/>
    <mergeCell ref="PK17:PL17"/>
    <mergeCell ref="PK18:PL18"/>
    <mergeCell ref="PO19:PP19"/>
    <mergeCell ref="PO16:PP16"/>
    <mergeCell ref="PM19:PN19"/>
    <mergeCell ref="PK19:PL19"/>
    <mergeCell ref="PL32:PM32"/>
    <mergeCell ref="PM17:PN17"/>
    <mergeCell ref="PM18:PN18"/>
    <mergeCell ref="SZ118:TE118"/>
    <mergeCell ref="BX27:BZ29"/>
    <mergeCell ref="SZ31:TE31"/>
    <mergeCell ref="SZ32:TE32"/>
    <mergeCell ref="SZ33:TE33"/>
    <mergeCell ref="SZ34:TE34"/>
    <mergeCell ref="SZ35:TE35"/>
    <mergeCell ref="SZ36:TE36"/>
    <mergeCell ref="SZ37:TE37"/>
    <mergeCell ref="SZ38:TE38"/>
    <mergeCell ref="RJ85:RL85"/>
    <mergeCell ref="RJ86:RL86"/>
    <mergeCell ref="SZ22:TE22"/>
    <mergeCell ref="SZ23:TE23"/>
    <mergeCell ref="SZ24:TE24"/>
    <mergeCell ref="SZ25:TE25"/>
    <mergeCell ref="SZ26:TE26"/>
    <mergeCell ref="SZ27:TE27"/>
    <mergeCell ref="SZ28:TE28"/>
    <mergeCell ref="RJ87:RL87"/>
    <mergeCell ref="ST83:SY83"/>
    <mergeCell ref="ST84:SY84"/>
    <mergeCell ref="RY23:SB23"/>
    <mergeCell ref="RJ36:RL36"/>
    <mergeCell ref="RJ37:RL37"/>
    <mergeCell ref="RJ38:RL38"/>
    <mergeCell ref="RJ39:RL39"/>
    <mergeCell ref="RJ40:RL40"/>
    <mergeCell ref="RJ41:RL41"/>
    <mergeCell ref="RJ42:RL42"/>
    <mergeCell ref="RJ43:RL43"/>
    <mergeCell ref="RJ44:RL44"/>
    <mergeCell ref="RJ45:RL45"/>
    <mergeCell ref="RJ46:RL46"/>
    <mergeCell ref="RJ47:RL47"/>
    <mergeCell ref="RJ48:RL48"/>
    <mergeCell ref="ST50:SY50"/>
    <mergeCell ref="ST49:SY49"/>
    <mergeCell ref="SG38:SJ38"/>
    <mergeCell ref="RJ30:RL30"/>
    <mergeCell ref="RJ49:RL49"/>
    <mergeCell ref="RJ50:RL50"/>
    <mergeCell ref="SC30:SF30"/>
    <mergeCell ref="RY30:SB30"/>
    <mergeCell ref="QH79:QU79"/>
    <mergeCell ref="QH80:QU82"/>
    <mergeCell ref="QC80:QF81"/>
    <mergeCell ref="QB79:QG79"/>
    <mergeCell ref="QC89:QD90"/>
    <mergeCell ref="QA37:QB38"/>
    <mergeCell ref="PK34:PL34"/>
    <mergeCell ref="PM34:PN34"/>
    <mergeCell ref="PO34:PP34"/>
    <mergeCell ref="PQ34:PR34"/>
    <mergeCell ref="PS34:PT34"/>
    <mergeCell ref="PU34:PV34"/>
    <mergeCell ref="PW34:PX34"/>
    <mergeCell ref="PY34:PZ34"/>
    <mergeCell ref="QA34:QB34"/>
    <mergeCell ref="QC34:QD34"/>
    <mergeCell ref="QE34:QF34"/>
    <mergeCell ref="QG34:QH34"/>
    <mergeCell ref="QI34:QJ34"/>
    <mergeCell ref="QK34:QL34"/>
    <mergeCell ref="QM34:QN34"/>
    <mergeCell ref="QO34:QP34"/>
    <mergeCell ref="QQ34:QR34"/>
    <mergeCell ref="QS34:QT34"/>
    <mergeCell ref="QU34:QV34"/>
    <mergeCell ref="QW34:QX34"/>
    <mergeCell ref="QY34:QZ34"/>
    <mergeCell ref="PG13:PH13"/>
    <mergeCell ref="PI13:PJ13"/>
    <mergeCell ref="PK13:PL13"/>
    <mergeCell ref="PM13:PN13"/>
    <mergeCell ref="PO13:PP13"/>
    <mergeCell ref="PQ13:PR13"/>
    <mergeCell ref="PS13:PT13"/>
    <mergeCell ref="PU13:PV13"/>
    <mergeCell ref="PW13:PX13"/>
    <mergeCell ref="PY13:PZ13"/>
    <mergeCell ref="QA13:QB13"/>
    <mergeCell ref="QC13:QD13"/>
    <mergeCell ref="QE13:QF13"/>
    <mergeCell ref="QG13:QH13"/>
    <mergeCell ref="QI13:QJ13"/>
    <mergeCell ref="QK13:QL13"/>
    <mergeCell ref="QM13:QN13"/>
    <mergeCell ref="QO13:QP13"/>
    <mergeCell ref="QQ13:QR13"/>
    <mergeCell ref="QS13:QT13"/>
    <mergeCell ref="QU13:QV13"/>
    <mergeCell ref="QW13:QX13"/>
    <mergeCell ref="QY13:QZ13"/>
    <mergeCell ref="PL15:PP15"/>
    <mergeCell ref="PR15:PT15"/>
    <mergeCell ref="PY15:QG15"/>
    <mergeCell ref="ST82:SY82"/>
    <mergeCell ref="UD51:UJ51"/>
    <mergeCell ref="UD52:UJ52"/>
    <mergeCell ref="ST85:SY85"/>
    <mergeCell ref="ST86:SY86"/>
    <mergeCell ref="ST87:SY87"/>
    <mergeCell ref="ST88:SY88"/>
    <mergeCell ref="SZ68:TE68"/>
    <mergeCell ref="SZ69:TE69"/>
    <mergeCell ref="SZ70:TE70"/>
    <mergeCell ref="UD53:UJ53"/>
    <mergeCell ref="UD54:UJ54"/>
    <mergeCell ref="UD55:UJ55"/>
    <mergeCell ref="UD56:UJ56"/>
    <mergeCell ref="UD68:UJ68"/>
    <mergeCell ref="UD69:UJ69"/>
    <mergeCell ref="UD70:UJ70"/>
    <mergeCell ref="UD71:UJ71"/>
    <mergeCell ref="ST32:SY32"/>
    <mergeCell ref="ST33:SY33"/>
    <mergeCell ref="ST34:SY34"/>
    <mergeCell ref="ST35:SY35"/>
    <mergeCell ref="ST36:SY36"/>
    <mergeCell ref="ST37:SY37"/>
    <mergeCell ref="ST38:SY38"/>
    <mergeCell ref="ST39:SY39"/>
    <mergeCell ref="ST40:SY40"/>
    <mergeCell ref="ST41:SY41"/>
    <mergeCell ref="ST42:SY42"/>
    <mergeCell ref="ST43:SY43"/>
    <mergeCell ref="ST44:SY44"/>
    <mergeCell ref="ST45:SY45"/>
    <mergeCell ref="ST46:SY46"/>
    <mergeCell ref="ST47:SY47"/>
    <mergeCell ref="ST48:SY48"/>
    <mergeCell ref="ST61:SY61"/>
    <mergeCell ref="ST62:SY62"/>
    <mergeCell ref="ST58:SY58"/>
    <mergeCell ref="ST59:SY59"/>
    <mergeCell ref="ST60:SY60"/>
    <mergeCell ref="TQ53:TT53"/>
    <mergeCell ref="TI72:TL72"/>
    <mergeCell ref="TM72:TP72"/>
    <mergeCell ref="TQ72:TT72"/>
    <mergeCell ref="TI73:TL73"/>
    <mergeCell ref="XP243:XQ243"/>
    <mergeCell ref="XP249:XQ249"/>
    <mergeCell ref="XP256:XQ256"/>
    <mergeCell ref="XP261:XQ261"/>
    <mergeCell ref="WR75:WS75"/>
    <mergeCell ref="WT75:WU75"/>
    <mergeCell ref="WR80:WS81"/>
    <mergeCell ref="WT80:WU81"/>
    <mergeCell ref="WV84:WV85"/>
    <mergeCell ref="WY92:WY93"/>
    <mergeCell ref="WS37:WT38"/>
    <mergeCell ref="WR72:WS73"/>
    <mergeCell ref="WT92:WU93"/>
    <mergeCell ref="WO161:WO163"/>
    <mergeCell ref="WQ43:WR44"/>
    <mergeCell ref="WO47:WP48"/>
    <mergeCell ref="XJ158:XJ159"/>
    <mergeCell ref="XG157:XJ157"/>
    <mergeCell ref="XJ174:XJ175"/>
    <mergeCell ref="XC169:XD169"/>
    <mergeCell ref="XC177:XD177"/>
    <mergeCell ref="XE177:XF177"/>
    <mergeCell ref="XC173:XD173"/>
    <mergeCell ref="XA153:XB153"/>
    <mergeCell ref="XJ178:XJ179"/>
    <mergeCell ref="WO169:WO171"/>
    <mergeCell ref="XH178:XI179"/>
    <mergeCell ref="XE189:XF189"/>
    <mergeCell ref="XE174:XF175"/>
    <mergeCell ref="XO191:XO193"/>
    <mergeCell ref="WP190:XB191"/>
    <mergeCell ref="XH190:XI191"/>
    <mergeCell ref="XG193:XJ193"/>
    <mergeCell ref="XE194:XF195"/>
    <mergeCell ref="XG194:XG195"/>
    <mergeCell ref="XA47:XB48"/>
    <mergeCell ref="WU49:WV50"/>
    <mergeCell ref="WP198:XB199"/>
    <mergeCell ref="XC198:XD199"/>
    <mergeCell ref="XE198:XF199"/>
    <mergeCell ref="XA173:XB173"/>
    <mergeCell ref="WW41:WX42"/>
    <mergeCell ref="WT87:WU87"/>
    <mergeCell ref="WT91:WU91"/>
    <mergeCell ref="WV91:WY91"/>
    <mergeCell ref="XP141:XQ141"/>
    <mergeCell ref="XA193:XB193"/>
    <mergeCell ref="XE193:XF193"/>
    <mergeCell ref="WP83:WQ83"/>
    <mergeCell ref="XO232:XO234"/>
    <mergeCell ref="XO211:XO213"/>
    <mergeCell ref="WH80:WQ81"/>
    <mergeCell ref="WT68:WU69"/>
    <mergeCell ref="WV68:WV69"/>
    <mergeCell ref="WT67:WU67"/>
    <mergeCell ref="XG169:XJ169"/>
    <mergeCell ref="WP170:XB171"/>
    <mergeCell ref="XP268:XQ268"/>
    <mergeCell ref="XP273:XQ273"/>
    <mergeCell ref="XP277:XQ277"/>
    <mergeCell ref="XP289:XQ289"/>
    <mergeCell ref="XP293:XQ293"/>
    <mergeCell ref="XP299:XQ299"/>
    <mergeCell ref="XP304:XQ304"/>
    <mergeCell ref="XP309:XQ309"/>
    <mergeCell ref="XP313:XQ313"/>
    <mergeCell ref="XP320:XQ320"/>
    <mergeCell ref="US19:UW19"/>
    <mergeCell ref="US20:UW20"/>
    <mergeCell ref="US21:UW21"/>
    <mergeCell ref="US22:UW22"/>
    <mergeCell ref="US23:UW23"/>
    <mergeCell ref="US24:UW24"/>
    <mergeCell ref="US25:UW25"/>
    <mergeCell ref="US26:UW26"/>
    <mergeCell ref="US27:UW27"/>
    <mergeCell ref="US28:UW28"/>
    <mergeCell ref="US29:UW29"/>
    <mergeCell ref="US30:UW30"/>
    <mergeCell ref="US31:UW31"/>
    <mergeCell ref="US32:UW32"/>
    <mergeCell ref="US33:UW33"/>
    <mergeCell ref="US34:UW34"/>
    <mergeCell ref="US35:UW35"/>
    <mergeCell ref="US36:UW36"/>
    <mergeCell ref="US37:UW37"/>
    <mergeCell ref="US38:UW38"/>
    <mergeCell ref="US39:UW39"/>
    <mergeCell ref="US40:UW40"/>
    <mergeCell ref="US41:UW41"/>
    <mergeCell ref="US42:UW42"/>
    <mergeCell ref="US43:UW43"/>
    <mergeCell ref="US44:UW44"/>
    <mergeCell ref="US45:UW45"/>
    <mergeCell ref="US46:UW46"/>
    <mergeCell ref="US47:UW47"/>
    <mergeCell ref="US48:UW48"/>
    <mergeCell ref="US49:UW49"/>
    <mergeCell ref="US50:UW50"/>
    <mergeCell ref="US51:UW51"/>
    <mergeCell ref="US52:UW52"/>
    <mergeCell ref="US53:UW53"/>
    <mergeCell ref="US54:UW54"/>
    <mergeCell ref="US55:UW55"/>
    <mergeCell ref="US56:UW56"/>
    <mergeCell ref="US57:UW57"/>
    <mergeCell ref="US58:UW58"/>
    <mergeCell ref="WO157:WO159"/>
    <mergeCell ref="XG178:XG179"/>
    <mergeCell ref="XC178:XD179"/>
    <mergeCell ref="WP79:WQ79"/>
    <mergeCell ref="WV92:WV93"/>
    <mergeCell ref="WW92:WX93"/>
    <mergeCell ref="WQ49:WR50"/>
    <mergeCell ref="XQ146:XR146"/>
    <mergeCell ref="XQ147:XR147"/>
    <mergeCell ref="WD71:WD73"/>
    <mergeCell ref="WP71:WQ71"/>
    <mergeCell ref="WO33:WP34"/>
    <mergeCell ref="WP75:WQ75"/>
    <mergeCell ref="WZ87:XA87"/>
    <mergeCell ref="XP202:XQ202"/>
    <mergeCell ref="XP211:XQ211"/>
    <mergeCell ref="XP217:XQ217"/>
    <mergeCell ref="XP222:XQ222"/>
    <mergeCell ref="XP226:XQ226"/>
    <mergeCell ref="XP232:XQ232"/>
    <mergeCell ref="XP236:XQ236"/>
    <mergeCell ref="ST116:SY116"/>
    <mergeCell ref="ST117:SY117"/>
    <mergeCell ref="ST118:SY118"/>
    <mergeCell ref="UD12:UJ13"/>
    <mergeCell ref="UD11:UJ11"/>
    <mergeCell ref="UD17:UJ18"/>
    <mergeCell ref="UI15:UJ15"/>
    <mergeCell ref="SO15:SQ15"/>
    <mergeCell ref="SR15:SS15"/>
    <mergeCell ref="US12:UW13"/>
    <mergeCell ref="US11:UW11"/>
    <mergeCell ref="US17:UW18"/>
    <mergeCell ref="WE63:WF63"/>
    <mergeCell ref="WE67:WF67"/>
    <mergeCell ref="WE71:WF71"/>
    <mergeCell ref="WE79:WF79"/>
    <mergeCell ref="WE83:WF83"/>
    <mergeCell ref="WE91:WF91"/>
    <mergeCell ref="WE87:WF87"/>
    <mergeCell ref="XS40:XT40"/>
    <mergeCell ref="XS44:XT44"/>
    <mergeCell ref="XP33:XQ33"/>
    <mergeCell ref="XP29:XQ29"/>
    <mergeCell ref="XP21:XQ21"/>
    <mergeCell ref="XP25:XQ25"/>
    <mergeCell ref="XP14:XQ14"/>
    <mergeCell ref="XP56:XQ56"/>
    <mergeCell ref="XP50:XQ50"/>
    <mergeCell ref="XP61:XQ61"/>
    <mergeCell ref="XP66:XQ66"/>
    <mergeCell ref="XP71:XQ71"/>
    <mergeCell ref="XP77:XQ77"/>
    <mergeCell ref="XP83:XQ83"/>
    <mergeCell ref="XP92:XQ92"/>
    <mergeCell ref="XP99:XQ99"/>
    <mergeCell ref="XP107:XQ107"/>
    <mergeCell ref="XP113:XQ113"/>
    <mergeCell ref="US69:UW69"/>
    <mergeCell ref="US70:UW70"/>
    <mergeCell ref="US71:UW71"/>
    <mergeCell ref="WZ88:XA89"/>
    <mergeCell ref="WZ83:XB83"/>
    <mergeCell ref="WZ84:XB85"/>
    <mergeCell ref="WZ76:XD77"/>
    <mergeCell ref="UD97:UJ97"/>
    <mergeCell ref="UD98:UJ98"/>
    <mergeCell ref="UD99:UJ99"/>
    <mergeCell ref="UD100:UJ100"/>
    <mergeCell ref="UD24:UJ24"/>
    <mergeCell ref="UD25:UJ25"/>
    <mergeCell ref="US98:UW98"/>
    <mergeCell ref="US99:UW99"/>
    <mergeCell ref="UO24:UR24"/>
    <mergeCell ref="UD109:UJ109"/>
    <mergeCell ref="UD110:UJ110"/>
    <mergeCell ref="UD111:UJ111"/>
    <mergeCell ref="UD112:UJ112"/>
    <mergeCell ref="UK85:UN85"/>
    <mergeCell ref="UO85:UR85"/>
    <mergeCell ref="UA85:UB85"/>
    <mergeCell ref="UA86:UB86"/>
    <mergeCell ref="UA87:UB87"/>
    <mergeCell ref="UA88:UB88"/>
    <mergeCell ref="UA90:UB90"/>
    <mergeCell ref="TI86:TL86"/>
    <mergeCell ref="TI85:TL85"/>
    <mergeCell ref="TM85:TP85"/>
    <mergeCell ref="TQ85:TT85"/>
    <mergeCell ref="TU85:TZ85"/>
    <mergeCell ref="AAF99:AAG99"/>
    <mergeCell ref="AAF86:AAG86"/>
    <mergeCell ref="AAF87:AAG87"/>
    <mergeCell ref="AAF88:AAG88"/>
    <mergeCell ref="AAF89:AAG89"/>
    <mergeCell ref="AAS89:AAT89"/>
    <mergeCell ref="AAU89:AAV89"/>
    <mergeCell ref="AAN90:AAO90"/>
    <mergeCell ref="AAP90:AAQ90"/>
    <mergeCell ref="AAS90:AAT90"/>
    <mergeCell ref="AAU90:AAV90"/>
    <mergeCell ref="UO99:UR99"/>
    <mergeCell ref="AAN99:AAO99"/>
    <mergeCell ref="AAP99:AAQ99"/>
    <mergeCell ref="AAS99:AAT99"/>
    <mergeCell ref="AAU99:AAV99"/>
    <mergeCell ref="XP197:XQ197"/>
    <mergeCell ref="XP191:XQ191"/>
    <mergeCell ref="WO19:WP20"/>
    <mergeCell ref="WZ91:XE91"/>
    <mergeCell ref="XS187:XT187"/>
    <mergeCell ref="UD113:UJ113"/>
    <mergeCell ref="UD114:UJ114"/>
    <mergeCell ref="UD32:UJ32"/>
    <mergeCell ref="UD33:UJ33"/>
    <mergeCell ref="UD34:UJ34"/>
    <mergeCell ref="UD35:UJ35"/>
    <mergeCell ref="UD36:UJ36"/>
    <mergeCell ref="UD37:UJ37"/>
    <mergeCell ref="UD38:UJ38"/>
    <mergeCell ref="UD39:UJ39"/>
    <mergeCell ref="UD40:UJ40"/>
    <mergeCell ref="UD41:UJ41"/>
    <mergeCell ref="UD42:UJ42"/>
    <mergeCell ref="UD43:UJ43"/>
    <mergeCell ref="UD44:UJ44"/>
    <mergeCell ref="UD45:UJ45"/>
    <mergeCell ref="UD46:UJ46"/>
    <mergeCell ref="UD47:UJ47"/>
    <mergeCell ref="UD48:UJ48"/>
    <mergeCell ref="UD49:UJ49"/>
    <mergeCell ref="UD50:UJ50"/>
    <mergeCell ref="AAX101:AAY101"/>
    <mergeCell ref="AAZ101:ABA101"/>
    <mergeCell ref="ABC101:ABD101"/>
    <mergeCell ref="AAI132:AAJ132"/>
    <mergeCell ref="AAI133:AAJ133"/>
    <mergeCell ref="QN131:QO131"/>
    <mergeCell ref="XE166:XF167"/>
    <mergeCell ref="AAX110:AAY110"/>
    <mergeCell ref="AAZ110:ABA110"/>
    <mergeCell ref="ABC110:ABD110"/>
    <mergeCell ref="ABE110:ABF110"/>
    <mergeCell ref="TQ84:TT84"/>
    <mergeCell ref="TU84:TZ84"/>
    <mergeCell ref="UK84:UN84"/>
    <mergeCell ref="UO82:UR82"/>
    <mergeCell ref="UO83:UR83"/>
    <mergeCell ref="UA84:UB84"/>
    <mergeCell ref="TQ88:TT88"/>
    <mergeCell ref="TU88:TZ88"/>
    <mergeCell ref="UK88:UN88"/>
    <mergeCell ref="UD118:UJ118"/>
    <mergeCell ref="AAX130:AAY130"/>
    <mergeCell ref="AAZ130:ABA130"/>
    <mergeCell ref="ABC130:ABD130"/>
    <mergeCell ref="ABE130:ABF130"/>
    <mergeCell ref="AAX132:AAY132"/>
    <mergeCell ref="AAZ132:ABA132"/>
    <mergeCell ref="ABC132:ABD132"/>
    <mergeCell ref="ABE132:ABF132"/>
    <mergeCell ref="AAX133:AAY133"/>
    <mergeCell ref="AAZ133:ABA133"/>
    <mergeCell ref="ABC133:ABD133"/>
    <mergeCell ref="ABE133:ABF133"/>
    <mergeCell ref="AAX125:AAY125"/>
    <mergeCell ref="AAZ125:ABA125"/>
    <mergeCell ref="ABC125:ABD125"/>
    <mergeCell ref="ABE125:ABF125"/>
    <mergeCell ref="AAX126:AAY126"/>
    <mergeCell ref="AAZ126:ABA126"/>
    <mergeCell ref="ABC126:ABD126"/>
    <mergeCell ref="ABE126:ABF126"/>
    <mergeCell ref="AAX127:AAY127"/>
    <mergeCell ref="AAZ127:ABA127"/>
    <mergeCell ref="US100:UW100"/>
    <mergeCell ref="US101:UW101"/>
    <mergeCell ref="US102:UW102"/>
    <mergeCell ref="US103:UW103"/>
    <mergeCell ref="US104:UW104"/>
    <mergeCell ref="TI84:TL84"/>
    <mergeCell ref="TM84:TP84"/>
    <mergeCell ref="AAX100:AAY100"/>
    <mergeCell ref="AAN85:AAO85"/>
    <mergeCell ref="AAP85:AAQ85"/>
    <mergeCell ref="AAS85:AAT85"/>
    <mergeCell ref="AAU85:AAV85"/>
    <mergeCell ref="AAN86:AAO86"/>
    <mergeCell ref="AAP86:AAQ86"/>
    <mergeCell ref="AAS86:AAT86"/>
    <mergeCell ref="AAU86:AAV86"/>
    <mergeCell ref="AAN87:AAO87"/>
    <mergeCell ref="AAP101:AAQ101"/>
    <mergeCell ref="AAS101:AAT101"/>
    <mergeCell ref="AAU101:AAV101"/>
    <mergeCell ref="AAU95:AAV95"/>
    <mergeCell ref="AAX114:AAY114"/>
    <mergeCell ref="AAZ114:ABA114"/>
    <mergeCell ref="ABC114:ABD114"/>
    <mergeCell ref="ABE114:ABF114"/>
    <mergeCell ref="AAX120:AAY120"/>
    <mergeCell ref="AAZ120:ABA120"/>
    <mergeCell ref="ABC120:ABD120"/>
    <mergeCell ref="ABE120:ABF120"/>
    <mergeCell ref="AAX121:AAY121"/>
    <mergeCell ref="AAZ121:ABA121"/>
    <mergeCell ref="ABC121:ABD121"/>
    <mergeCell ref="ABE121:ABF121"/>
    <mergeCell ref="AAX122:AAY122"/>
    <mergeCell ref="AAZ122:ABA122"/>
    <mergeCell ref="ABC122:ABD122"/>
    <mergeCell ref="ABE122:ABF122"/>
    <mergeCell ref="AAX123:AAY123"/>
    <mergeCell ref="AAZ123:ABA123"/>
    <mergeCell ref="ABC123:ABD123"/>
    <mergeCell ref="ABE123:ABF123"/>
    <mergeCell ref="UD79:UJ79"/>
    <mergeCell ref="UD80:UJ80"/>
    <mergeCell ref="UD81:UJ81"/>
    <mergeCell ref="UD82:UJ82"/>
    <mergeCell ref="UD83:UJ83"/>
    <mergeCell ref="UD84:UJ84"/>
    <mergeCell ref="UD85:UJ85"/>
    <mergeCell ref="UD86:UJ86"/>
    <mergeCell ref="UD87:UJ87"/>
    <mergeCell ref="UD88:UJ88"/>
    <mergeCell ref="AAX109:AAY109"/>
    <mergeCell ref="AAZ109:ABA109"/>
    <mergeCell ref="ABC109:ABD109"/>
    <mergeCell ref="ABE109:ABF109"/>
    <mergeCell ref="US80:UW80"/>
    <mergeCell ref="UO80:UR80"/>
    <mergeCell ref="US82:UW82"/>
    <mergeCell ref="AAX105:AAY105"/>
    <mergeCell ref="AAZ105:ABA105"/>
    <mergeCell ref="ABC105:ABD105"/>
    <mergeCell ref="ABE105:ABF105"/>
    <mergeCell ref="AAX106:AAY106"/>
    <mergeCell ref="AAZ106:ABA106"/>
    <mergeCell ref="ABC106:ABD106"/>
    <mergeCell ref="ABE106:ABF106"/>
    <mergeCell ref="AAX107:AAY107"/>
    <mergeCell ref="AAZ107:ABA107"/>
    <mergeCell ref="ABC107:ABD107"/>
    <mergeCell ref="ABE107:ABF107"/>
    <mergeCell ref="AAX108:AAY108"/>
    <mergeCell ref="AAZ108:ABA108"/>
    <mergeCell ref="ABC108:ABD108"/>
    <mergeCell ref="ABE108:ABF108"/>
    <mergeCell ref="AAX80:AAY80"/>
    <mergeCell ref="AAZ80:ABA80"/>
    <mergeCell ref="AAZ96:ABA96"/>
    <mergeCell ref="ABC96:ABD96"/>
    <mergeCell ref="AAX97:AAY97"/>
    <mergeCell ref="AAZ97:ABA97"/>
    <mergeCell ref="ABC97:ABD97"/>
    <mergeCell ref="AAX98:AAY98"/>
    <mergeCell ref="AAZ98:ABA98"/>
    <mergeCell ref="ABC98:ABD98"/>
    <mergeCell ref="AAX87:AAY87"/>
    <mergeCell ref="AAN130:AAO130"/>
    <mergeCell ref="AAP130:AAQ130"/>
    <mergeCell ref="AAS130:AAT130"/>
    <mergeCell ref="AAU130:AAV130"/>
    <mergeCell ref="AAN131:AAO131"/>
    <mergeCell ref="AAP131:AAQ131"/>
    <mergeCell ref="AAS131:AAT131"/>
    <mergeCell ref="AAU131:AAV131"/>
    <mergeCell ref="AAN132:AAO132"/>
    <mergeCell ref="AAP132:AAQ132"/>
    <mergeCell ref="AAS132:AAT132"/>
    <mergeCell ref="AAU132:AAV132"/>
    <mergeCell ref="AAN123:AAO123"/>
    <mergeCell ref="AAP123:AAQ123"/>
    <mergeCell ref="AAN73:AAO73"/>
    <mergeCell ref="AAP73:AAQ73"/>
    <mergeCell ref="AAS73:AAT73"/>
    <mergeCell ref="AAU73:AAV73"/>
    <mergeCell ref="AAN74:AAO74"/>
    <mergeCell ref="AAS74:AAT74"/>
    <mergeCell ref="AAU74:AAV74"/>
    <mergeCell ref="AAN75:AAO75"/>
    <mergeCell ref="AAP75:AAQ75"/>
    <mergeCell ref="AAS75:AAT75"/>
    <mergeCell ref="AAX131:AAY131"/>
    <mergeCell ref="AAZ131:ABA131"/>
    <mergeCell ref="ABC131:ABD131"/>
    <mergeCell ref="ABE131:ABF131"/>
    <mergeCell ref="AAX124:AAY124"/>
    <mergeCell ref="AAZ124:ABA124"/>
    <mergeCell ref="ABC124:ABD124"/>
    <mergeCell ref="ABE124:ABF124"/>
    <mergeCell ref="AAX115:AAY115"/>
    <mergeCell ref="AAZ115:ABA115"/>
    <mergeCell ref="ABC115:ABD115"/>
    <mergeCell ref="ABE115:ABF115"/>
    <mergeCell ref="AAX116:AAY116"/>
    <mergeCell ref="AAZ116:ABA116"/>
    <mergeCell ref="ABC116:ABD116"/>
    <mergeCell ref="ABE116:ABF116"/>
    <mergeCell ref="AAX117:AAY117"/>
    <mergeCell ref="AAZ117:ABA117"/>
    <mergeCell ref="ABC117:ABD117"/>
    <mergeCell ref="ABE117:ABF117"/>
    <mergeCell ref="AAX118:AAY118"/>
    <mergeCell ref="AAZ118:ABA118"/>
    <mergeCell ref="ABC118:ABD118"/>
    <mergeCell ref="ABE118:ABF118"/>
    <mergeCell ref="AAX119:AAY119"/>
    <mergeCell ref="AAZ119:ABA119"/>
    <mergeCell ref="ABC119:ABD119"/>
    <mergeCell ref="ABE119:ABF119"/>
    <mergeCell ref="AAS115:AAT115"/>
    <mergeCell ref="AAU115:AAV115"/>
    <mergeCell ref="AAN116:AAO116"/>
    <mergeCell ref="AAP116:AAQ116"/>
    <mergeCell ref="AAS116:AAT116"/>
    <mergeCell ref="AAU116:AAV116"/>
    <mergeCell ref="AAN117:AAO117"/>
    <mergeCell ref="AAP117:AAQ117"/>
    <mergeCell ref="AAS117:AAT117"/>
    <mergeCell ref="AAU117:AAV117"/>
    <mergeCell ref="AAN125:AAO125"/>
    <mergeCell ref="AAP125:AAQ125"/>
    <mergeCell ref="AAF116:AAG116"/>
    <mergeCell ref="AAF117:AAG117"/>
    <mergeCell ref="AAD112:AAE112"/>
    <mergeCell ref="AAD113:AAE113"/>
    <mergeCell ref="AAD114:AAE114"/>
    <mergeCell ref="AAD115:AAE115"/>
    <mergeCell ref="AAD116:AAE116"/>
    <mergeCell ref="AAD117:AAE117"/>
    <mergeCell ref="AAP113:AAQ113"/>
    <mergeCell ref="AAN114:AAO114"/>
    <mergeCell ref="AAP114:AAQ114"/>
    <mergeCell ref="AAN115:AAO115"/>
    <mergeCell ref="AAP115:AAQ115"/>
    <mergeCell ref="AAN119:AAO119"/>
    <mergeCell ref="AAP119:AAQ119"/>
    <mergeCell ref="AAI113:AAJ113"/>
    <mergeCell ref="AAI114:AAJ114"/>
    <mergeCell ref="AAF84:AAG84"/>
    <mergeCell ref="ABC77:ABD77"/>
    <mergeCell ref="ABE77:ABF77"/>
    <mergeCell ref="AAX78:AAY78"/>
    <mergeCell ref="AAZ78:ABA78"/>
    <mergeCell ref="ABC78:ABD78"/>
    <mergeCell ref="ABE78:ABF78"/>
    <mergeCell ref="AAX79:AAY79"/>
    <mergeCell ref="AAZ79:ABA79"/>
    <mergeCell ref="ABC79:ABD79"/>
    <mergeCell ref="ABE79:ABF79"/>
    <mergeCell ref="AAN128:AAO128"/>
    <mergeCell ref="AAP128:AAQ128"/>
    <mergeCell ref="AAS128:AAT128"/>
    <mergeCell ref="AAU128:AAV128"/>
    <mergeCell ref="AAN129:AAO129"/>
    <mergeCell ref="AAP129:AAQ129"/>
    <mergeCell ref="AAS129:AAT129"/>
    <mergeCell ref="AAU129:AAV129"/>
    <mergeCell ref="AAN126:AAO126"/>
    <mergeCell ref="AAP126:AAQ126"/>
    <mergeCell ref="AAN124:AAO124"/>
    <mergeCell ref="AAP124:AAQ124"/>
    <mergeCell ref="AAS123:AAT123"/>
    <mergeCell ref="AAU123:AAV123"/>
    <mergeCell ref="ABC129:ABD129"/>
    <mergeCell ref="ABE129:ABF129"/>
    <mergeCell ref="ABC127:ABD127"/>
    <mergeCell ref="ABE127:ABF127"/>
    <mergeCell ref="AAX128:AAY128"/>
    <mergeCell ref="AAZ128:ABA128"/>
    <mergeCell ref="ABC128:ABD128"/>
    <mergeCell ref="ABE128:ABF128"/>
    <mergeCell ref="AAX129:AAY129"/>
    <mergeCell ref="AAZ129:ABA129"/>
    <mergeCell ref="AAX111:AAY111"/>
    <mergeCell ref="AAZ111:ABA111"/>
    <mergeCell ref="ABC111:ABD111"/>
    <mergeCell ref="ABE111:ABF111"/>
    <mergeCell ref="AAX112:AAY112"/>
    <mergeCell ref="AAZ112:ABA112"/>
    <mergeCell ref="ABC112:ABD112"/>
    <mergeCell ref="ABE112:ABF112"/>
    <mergeCell ref="AAX113:AAY113"/>
    <mergeCell ref="AAZ113:ABA113"/>
    <mergeCell ref="ABC113:ABD113"/>
    <mergeCell ref="ABE113:ABF113"/>
    <mergeCell ref="AAS113:AAT113"/>
    <mergeCell ref="AAU113:AAV113"/>
    <mergeCell ref="AAS114:AAT114"/>
    <mergeCell ref="AAU114:AAV114"/>
    <mergeCell ref="AAS118:AAT118"/>
    <mergeCell ref="AAU118:AAV118"/>
    <mergeCell ref="AAS119:AAT119"/>
    <mergeCell ref="AAU119:AAV119"/>
    <mergeCell ref="AAS120:AAT120"/>
    <mergeCell ref="AAU120:AAV120"/>
    <mergeCell ref="AAS121:AAT121"/>
    <mergeCell ref="AAU121:AAV121"/>
    <mergeCell ref="AAS122:AAT122"/>
    <mergeCell ref="AAU122:AAV122"/>
    <mergeCell ref="AAN104:AAO104"/>
    <mergeCell ref="AAP104:AAQ104"/>
    <mergeCell ref="AAN105:AAO105"/>
    <mergeCell ref="AAP105:AAQ105"/>
    <mergeCell ref="AAN106:AAO106"/>
    <mergeCell ref="AAP106:AAQ106"/>
    <mergeCell ref="AAN107:AAO107"/>
    <mergeCell ref="AAP107:AAQ107"/>
    <mergeCell ref="AAN100:AAO100"/>
    <mergeCell ref="AAP100:AAQ100"/>
    <mergeCell ref="AAS100:AAT100"/>
    <mergeCell ref="AAU100:AAV100"/>
    <mergeCell ref="AAP87:AAQ87"/>
    <mergeCell ref="AAP110:AAQ110"/>
    <mergeCell ref="AAN111:AAO111"/>
    <mergeCell ref="AAP111:AAQ111"/>
    <mergeCell ref="AAN112:AAO112"/>
    <mergeCell ref="AAP112:AAQ112"/>
    <mergeCell ref="AAN118:AAO118"/>
    <mergeCell ref="AAP118:AAQ118"/>
    <mergeCell ref="AAS87:AAT87"/>
    <mergeCell ref="AAU87:AAV87"/>
    <mergeCell ref="AAN88:AAO88"/>
    <mergeCell ref="AAP88:AAQ88"/>
    <mergeCell ref="AAS88:AAT88"/>
    <mergeCell ref="AAU88:AAV88"/>
    <mergeCell ref="AAN89:AAO89"/>
    <mergeCell ref="AAP89:AAQ89"/>
    <mergeCell ref="AAP122:AAQ122"/>
    <mergeCell ref="AAN113:AAO113"/>
    <mergeCell ref="AAN96:AAO96"/>
    <mergeCell ref="AAP96:AAQ96"/>
    <mergeCell ref="AAS96:AAT96"/>
    <mergeCell ref="AAU96:AAV96"/>
    <mergeCell ref="AAN97:AAO97"/>
    <mergeCell ref="AAP97:AAQ97"/>
    <mergeCell ref="AAS97:AAT97"/>
    <mergeCell ref="AAU97:AAV97"/>
    <mergeCell ref="AAN93:AAO93"/>
    <mergeCell ref="AAP93:AAQ93"/>
    <mergeCell ref="AAS93:AAT93"/>
    <mergeCell ref="AAU93:AAV93"/>
    <mergeCell ref="AAN94:AAO94"/>
    <mergeCell ref="AAP94:AAQ94"/>
    <mergeCell ref="AAS94:AAT94"/>
    <mergeCell ref="AAF127:AAG127"/>
    <mergeCell ref="AAF128:AAG128"/>
    <mergeCell ref="AAF129:AAG129"/>
    <mergeCell ref="AAN101:AAO101"/>
    <mergeCell ref="AAU92:AAV92"/>
    <mergeCell ref="AAD124:AAE124"/>
    <mergeCell ref="AAD125:AAE125"/>
    <mergeCell ref="AAD126:AAE126"/>
    <mergeCell ref="AAD127:AAE127"/>
    <mergeCell ref="AAD128:AAE128"/>
    <mergeCell ref="AAS109:AAT109"/>
    <mergeCell ref="AAU109:AAV109"/>
    <mergeCell ref="AAS110:AAT110"/>
    <mergeCell ref="AAU110:AAV110"/>
    <mergeCell ref="AAS111:AAT111"/>
    <mergeCell ref="AAU111:AAV111"/>
    <mergeCell ref="AAS112:AAT112"/>
    <mergeCell ref="AAU112:AAV112"/>
    <mergeCell ref="AAS103:AAT103"/>
    <mergeCell ref="AAU103:AAV103"/>
    <mergeCell ref="AAS104:AAT104"/>
    <mergeCell ref="AAU104:AAV104"/>
    <mergeCell ref="AAS105:AAT105"/>
    <mergeCell ref="AAU105:AAV105"/>
    <mergeCell ref="AAS106:AAT106"/>
    <mergeCell ref="AAU106:AAV106"/>
    <mergeCell ref="AAS107:AAT107"/>
    <mergeCell ref="AAU107:AAV107"/>
    <mergeCell ref="AAS124:AAT124"/>
    <mergeCell ref="AAU124:AAV124"/>
    <mergeCell ref="AAS125:AAT125"/>
    <mergeCell ref="AAU125:AAV125"/>
    <mergeCell ref="AAS126:AAT126"/>
    <mergeCell ref="AAU126:AAV126"/>
    <mergeCell ref="AAS127:AAT127"/>
    <mergeCell ref="AAU127:AAV127"/>
    <mergeCell ref="AAK109:AAL109"/>
    <mergeCell ref="AAK116:AAL116"/>
    <mergeCell ref="AAK117:AAL117"/>
    <mergeCell ref="AAK118:AAL118"/>
    <mergeCell ref="AAK119:AAL119"/>
    <mergeCell ref="AAF109:AAG109"/>
    <mergeCell ref="AAF110:AAG110"/>
    <mergeCell ref="AAN109:AAO109"/>
    <mergeCell ref="AAP109:AAQ109"/>
    <mergeCell ref="AAF125:AAG125"/>
    <mergeCell ref="AAF126:AAG126"/>
    <mergeCell ref="AAF106:AAG106"/>
    <mergeCell ref="AAF107:AAG107"/>
    <mergeCell ref="AAF108:AAG108"/>
    <mergeCell ref="AAF118:AAG118"/>
    <mergeCell ref="AAF119:AAG119"/>
    <mergeCell ref="AAF120:AAG120"/>
    <mergeCell ref="AAF121:AAG121"/>
    <mergeCell ref="AAF122:AAG122"/>
    <mergeCell ref="AAF123:AAG123"/>
    <mergeCell ref="AAI123:AAJ123"/>
    <mergeCell ref="AAK120:AAL120"/>
    <mergeCell ref="AAK121:AAL121"/>
    <mergeCell ref="AAI118:AAJ118"/>
    <mergeCell ref="AAI115:AAJ115"/>
    <mergeCell ref="AAK103:AAL103"/>
    <mergeCell ref="AAK104:AAL104"/>
    <mergeCell ref="AAK105:AAL105"/>
    <mergeCell ref="TQ115:TT115"/>
    <mergeCell ref="TU115:TZ115"/>
    <mergeCell ref="UA106:UB106"/>
    <mergeCell ref="TI106:TL106"/>
    <mergeCell ref="UK102:UN102"/>
    <mergeCell ref="XU118:YE118"/>
    <mergeCell ref="ST101:SY101"/>
    <mergeCell ref="ST102:SY102"/>
    <mergeCell ref="XR103:XR105"/>
    <mergeCell ref="YA107:YB107"/>
    <mergeCell ref="AAI124:AAJ124"/>
    <mergeCell ref="AAI125:AAJ125"/>
    <mergeCell ref="AAN120:AAO120"/>
    <mergeCell ref="AAP120:AAQ120"/>
    <mergeCell ref="AAN121:AAO121"/>
    <mergeCell ref="AAP121:AAQ121"/>
    <mergeCell ref="AAN122:AAO122"/>
    <mergeCell ref="AFO6:AFP6"/>
    <mergeCell ref="AFO4:AFP4"/>
    <mergeCell ref="AFQ6:AFR6"/>
    <mergeCell ref="AFQ4:AFR4"/>
    <mergeCell ref="AFO5:AFP5"/>
    <mergeCell ref="AFQ5:AFR5"/>
    <mergeCell ref="ABC93:ABD93"/>
    <mergeCell ref="ABE93:ABF93"/>
    <mergeCell ref="AAX94:AAY94"/>
    <mergeCell ref="AAZ94:ABA94"/>
    <mergeCell ref="ABC94:ABD94"/>
    <mergeCell ref="ABE94:ABF94"/>
    <mergeCell ref="ABE101:ABF101"/>
    <mergeCell ref="AAX102:AAY102"/>
    <mergeCell ref="AAZ102:ABA102"/>
    <mergeCell ref="ABC102:ABD102"/>
    <mergeCell ref="ABE102:ABF102"/>
    <mergeCell ref="AAX103:AAY103"/>
    <mergeCell ref="AAZ103:ABA103"/>
    <mergeCell ref="ABC103:ABD103"/>
    <mergeCell ref="ABE103:ABF103"/>
    <mergeCell ref="AAX104:AAY104"/>
    <mergeCell ref="AAZ104:ABA104"/>
    <mergeCell ref="ABC104:ABD104"/>
    <mergeCell ref="ABE104:ABF104"/>
    <mergeCell ref="AAZ82:ABA82"/>
    <mergeCell ref="ABC82:ABD82"/>
    <mergeCell ref="ABE82:ABF82"/>
    <mergeCell ref="AAX83:AAY83"/>
    <mergeCell ref="AAZ83:ABA83"/>
    <mergeCell ref="ABC83:ABD83"/>
    <mergeCell ref="ABE83:ABF83"/>
    <mergeCell ref="AAX84:AAY84"/>
    <mergeCell ref="AAZ84:ABA84"/>
    <mergeCell ref="ADV95:ADW98"/>
    <mergeCell ref="AEB19:AEF20"/>
    <mergeCell ref="ADX14:AEK18"/>
    <mergeCell ref="ADX21:AEK25"/>
    <mergeCell ref="ABC84:ABD84"/>
    <mergeCell ref="ABE84:ABF84"/>
    <mergeCell ref="AAX95:AAY95"/>
    <mergeCell ref="AAZ95:ABA95"/>
    <mergeCell ref="ABC95:ABD95"/>
    <mergeCell ref="ABE95:ABF95"/>
    <mergeCell ref="AAX96:AAY96"/>
    <mergeCell ref="ABE99:ABF99"/>
    <mergeCell ref="AAX90:AAY90"/>
    <mergeCell ref="AAD102:AAE102"/>
    <mergeCell ref="AAD103:AAE103"/>
    <mergeCell ref="AAD104:AAE104"/>
    <mergeCell ref="AAD105:AAE105"/>
    <mergeCell ref="AAD106:AAE106"/>
    <mergeCell ref="AAD107:AAE107"/>
    <mergeCell ref="AAD108:AAE108"/>
    <mergeCell ref="AAD73:AAE73"/>
    <mergeCell ref="AAD74:AAE74"/>
    <mergeCell ref="AAD75:AAE75"/>
    <mergeCell ref="AAD76:AAE76"/>
    <mergeCell ref="AAD77:AAE77"/>
    <mergeCell ref="AAD78:AAE78"/>
    <mergeCell ref="AAD79:AAE79"/>
    <mergeCell ref="AAD80:AAE80"/>
    <mergeCell ref="AAD81:AAE81"/>
    <mergeCell ref="AAD82:AAE82"/>
    <mergeCell ref="US83:UW83"/>
    <mergeCell ref="US84:UW84"/>
    <mergeCell ref="US85:UW85"/>
    <mergeCell ref="US86:UW86"/>
    <mergeCell ref="US87:UW87"/>
    <mergeCell ref="US88:UW88"/>
    <mergeCell ref="AAS80:AAT80"/>
    <mergeCell ref="AAF73:AAG73"/>
    <mergeCell ref="AAK74:AAL74"/>
    <mergeCell ref="AAK75:AAL75"/>
    <mergeCell ref="AAK76:AAL76"/>
    <mergeCell ref="AAK79:AAL79"/>
    <mergeCell ref="AAK80:AAL80"/>
    <mergeCell ref="ABC80:ABD80"/>
    <mergeCell ref="ABE80:ABF80"/>
    <mergeCell ref="AAX81:AAY81"/>
    <mergeCell ref="AAZ90:ABA90"/>
    <mergeCell ref="ABC90:ABD90"/>
    <mergeCell ref="AAX73:AAY73"/>
    <mergeCell ref="AAZ73:ABA73"/>
    <mergeCell ref="ABC73:ABD73"/>
    <mergeCell ref="ABE73:ABF73"/>
    <mergeCell ref="AAX74:AAY74"/>
    <mergeCell ref="AAZ74:ABA74"/>
    <mergeCell ref="ABC74:ABD74"/>
    <mergeCell ref="ABE74:ABF74"/>
    <mergeCell ref="AAX75:AAY75"/>
    <mergeCell ref="AAZ75:ABA75"/>
    <mergeCell ref="ABC75:ABD75"/>
    <mergeCell ref="ABE75:ABF75"/>
    <mergeCell ref="AAX76:AAY76"/>
    <mergeCell ref="AAZ76:ABA76"/>
    <mergeCell ref="ABC76:ABD76"/>
    <mergeCell ref="AAK106:AAL106"/>
    <mergeCell ref="AAN108:AAO108"/>
    <mergeCell ref="AAP108:AAQ108"/>
    <mergeCell ref="AAS108:AAT108"/>
    <mergeCell ref="AAU108:AAV108"/>
    <mergeCell ref="AAS83:AAT83"/>
    <mergeCell ref="AAU83:AAV83"/>
    <mergeCell ref="AAN84:AAO84"/>
    <mergeCell ref="AAP84:AAQ84"/>
    <mergeCell ref="AAS84:AAT84"/>
    <mergeCell ref="AAU84:AAV84"/>
    <mergeCell ref="AAK100:AAL100"/>
    <mergeCell ref="AAU75:AAV75"/>
    <mergeCell ref="AAN76:AAO76"/>
    <mergeCell ref="PJ188:PJ190"/>
    <mergeCell ref="QG159:QI159"/>
    <mergeCell ref="QE184:QE185"/>
    <mergeCell ref="QB180:QB181"/>
    <mergeCell ref="QC180:QD181"/>
    <mergeCell ref="QG109:QQ110"/>
    <mergeCell ref="PX180:PY181"/>
    <mergeCell ref="QF179:QJ179"/>
    <mergeCell ref="QF180:QJ181"/>
    <mergeCell ref="ST68:SY68"/>
    <mergeCell ref="ST69:SY69"/>
    <mergeCell ref="ST70:SY70"/>
    <mergeCell ref="ST71:SY71"/>
    <mergeCell ref="ST72:SY72"/>
    <mergeCell ref="AAD92:AAE92"/>
    <mergeCell ref="AAD93:AAE93"/>
    <mergeCell ref="AAD94:AAE94"/>
    <mergeCell ref="AAD95:AAE95"/>
    <mergeCell ref="AAD96:AAE96"/>
    <mergeCell ref="AAD97:AAE97"/>
    <mergeCell ref="AAD83:AAE83"/>
    <mergeCell ref="US72:UW72"/>
    <mergeCell ref="US73:UW73"/>
    <mergeCell ref="SZ72:TE72"/>
    <mergeCell ref="SZ73:TE73"/>
    <mergeCell ref="SZ74:TE74"/>
    <mergeCell ref="SZ75:TE75"/>
    <mergeCell ref="SZ76:TE76"/>
    <mergeCell ref="SZ77:TE77"/>
    <mergeCell ref="SZ78:TE78"/>
    <mergeCell ref="SZ79:TE79"/>
    <mergeCell ref="SZ80:TE80"/>
    <mergeCell ref="SZ81:TE81"/>
    <mergeCell ref="SZ82:TE82"/>
    <mergeCell ref="SZ83:TE83"/>
    <mergeCell ref="SZ84:TE84"/>
    <mergeCell ref="SZ85:TE85"/>
    <mergeCell ref="SZ86:TE86"/>
    <mergeCell ref="SZ87:TE87"/>
    <mergeCell ref="SZ88:TE88"/>
    <mergeCell ref="SZ94:TE94"/>
    <mergeCell ref="SZ95:TE95"/>
    <mergeCell ref="SZ96:TE96"/>
    <mergeCell ref="SZ97:TE97"/>
    <mergeCell ref="UA82:UB82"/>
    <mergeCell ref="YK78:YM79"/>
    <mergeCell ref="UO97:UR97"/>
    <mergeCell ref="UA70:UB70"/>
    <mergeCell ref="UD72:UJ72"/>
    <mergeCell ref="UA69:UB69"/>
    <mergeCell ref="UO68:UR68"/>
    <mergeCell ref="UK76:UN76"/>
    <mergeCell ref="UK79:UN79"/>
    <mergeCell ref="UO87:UR87"/>
    <mergeCell ref="SZ93:TE93"/>
    <mergeCell ref="TM94:TP94"/>
    <mergeCell ref="UD93:UJ93"/>
    <mergeCell ref="UD94:UJ94"/>
    <mergeCell ref="UO96:UR96"/>
    <mergeCell ref="TU94:TZ94"/>
    <mergeCell ref="PN89:PZ90"/>
    <mergeCell ref="PN84:PO84"/>
    <mergeCell ref="PL85:PM85"/>
    <mergeCell ref="PL86:PM86"/>
    <mergeCell ref="QC31:QE32"/>
    <mergeCell ref="PJ183:PJ186"/>
    <mergeCell ref="PX186:QE186"/>
    <mergeCell ref="PO154:PP154"/>
    <mergeCell ref="PJ103:PJ106"/>
    <mergeCell ref="PJ98:PJ101"/>
    <mergeCell ref="PL147:PM147"/>
    <mergeCell ref="PK141:PW142"/>
    <mergeCell ref="PK160:PW161"/>
    <mergeCell ref="QB154:QF154"/>
    <mergeCell ref="QC155:QE156"/>
    <mergeCell ref="QF155:QF156"/>
    <mergeCell ref="QB159:QF159"/>
    <mergeCell ref="PM170:PN170"/>
    <mergeCell ref="PP170:PZ170"/>
    <mergeCell ref="PM177:PN177"/>
    <mergeCell ref="PP177:PZ177"/>
    <mergeCell ref="PJ140:PJ142"/>
    <mergeCell ref="PJ88:PL90"/>
    <mergeCell ref="QG52:QQ52"/>
    <mergeCell ref="QG53:QQ54"/>
    <mergeCell ref="QH89:QH90"/>
    <mergeCell ref="PZ68:QA68"/>
    <mergeCell ref="QA88:QB88"/>
    <mergeCell ref="ABI45:ABJ45"/>
    <mergeCell ref="ABK45:ABL45"/>
    <mergeCell ref="ABG46:ABH46"/>
    <mergeCell ref="AAF81:AAG81"/>
    <mergeCell ref="ABE87:ABF87"/>
    <mergeCell ref="AAX88:AAY88"/>
    <mergeCell ref="AAZ88:ABA88"/>
    <mergeCell ref="ABC88:ABD88"/>
    <mergeCell ref="ABE88:ABF88"/>
    <mergeCell ref="YA56:YB56"/>
    <mergeCell ref="XT96:XT97"/>
    <mergeCell ref="XR68:XS68"/>
    <mergeCell ref="YA71:YB71"/>
    <mergeCell ref="AAD118:AAE118"/>
    <mergeCell ref="AAD119:AAE119"/>
    <mergeCell ref="QC184:QD185"/>
    <mergeCell ref="XU48:YE48"/>
    <mergeCell ref="YC34:YD35"/>
    <mergeCell ref="YE34:YF35"/>
    <mergeCell ref="AAN80:AAO80"/>
    <mergeCell ref="AAP80:AAQ80"/>
    <mergeCell ref="YJ62:YJ63"/>
    <mergeCell ref="YG62:YG63"/>
    <mergeCell ref="AAX91:AAY91"/>
    <mergeCell ref="AAZ91:ABA91"/>
    <mergeCell ref="AAN91:AAO91"/>
    <mergeCell ref="AAP91:AAQ91"/>
    <mergeCell ref="AAS91:AAT91"/>
    <mergeCell ref="AAU91:AAV91"/>
    <mergeCell ref="AAN92:AAO92"/>
    <mergeCell ref="AAP92:AAQ92"/>
    <mergeCell ref="AAS92:AAT92"/>
    <mergeCell ref="AAN98:AAO98"/>
    <mergeCell ref="AAD98:AAE98"/>
    <mergeCell ref="YK77:YM77"/>
    <mergeCell ref="YG78:YG79"/>
    <mergeCell ref="YH78:YI79"/>
    <mergeCell ref="YJ45:YJ46"/>
    <mergeCell ref="AAF82:AAG82"/>
    <mergeCell ref="AAF83:AAG83"/>
    <mergeCell ref="ADB73:ADC76"/>
    <mergeCell ref="ADH56:ADI56"/>
    <mergeCell ref="ADD56:ADG56"/>
    <mergeCell ref="YK150:YT150"/>
    <mergeCell ref="XC51:XD52"/>
    <mergeCell ref="WQ51:WR52"/>
    <mergeCell ref="WQ53:WR54"/>
    <mergeCell ref="PX112:PY112"/>
    <mergeCell ref="PP84:PQ84"/>
    <mergeCell ref="PN85:PW86"/>
    <mergeCell ref="PO98:PP98"/>
    <mergeCell ref="PN101:PO101"/>
    <mergeCell ref="PN113:PW115"/>
    <mergeCell ref="PM96:PN96"/>
    <mergeCell ref="PP96:PZ96"/>
    <mergeCell ref="PM117:PN117"/>
    <mergeCell ref="PP117:PZ117"/>
    <mergeCell ref="PM129:PN129"/>
    <mergeCell ref="PP129:PZ129"/>
    <mergeCell ref="QF145:QK145"/>
    <mergeCell ref="QF146:QK148"/>
    <mergeCell ref="QE88:QH88"/>
    <mergeCell ref="QB85:QB86"/>
    <mergeCell ref="PX71:QF71"/>
    <mergeCell ref="AAF51:AAG51"/>
    <mergeCell ref="AAK122:AAL122"/>
    <mergeCell ref="AAI119:AAJ119"/>
    <mergeCell ref="AAI120:AAJ120"/>
    <mergeCell ref="AAI121:AAJ121"/>
    <mergeCell ref="AAI122:AAJ122"/>
    <mergeCell ref="AAI73:AAJ73"/>
    <mergeCell ref="AAI74:AAJ74"/>
    <mergeCell ref="AAK68:AAL68"/>
    <mergeCell ref="AAM68:AAN68"/>
    <mergeCell ref="AAI69:AAJ69"/>
    <mergeCell ref="AAK69:AAL69"/>
    <mergeCell ref="AAM69:AAN69"/>
    <mergeCell ref="AAI70:AAJ70"/>
    <mergeCell ref="AAU66:AAV66"/>
    <mergeCell ref="AAW66:AAX66"/>
    <mergeCell ref="AAY66:AAZ66"/>
    <mergeCell ref="AAU67:AAV67"/>
    <mergeCell ref="AAW67:AAX67"/>
    <mergeCell ref="AAY67:AAZ67"/>
    <mergeCell ref="AAU68:AAV68"/>
    <mergeCell ref="AAI90:AAJ90"/>
    <mergeCell ref="AAI91:AAJ91"/>
    <mergeCell ref="AAI92:AAJ92"/>
    <mergeCell ref="AAI75:AAJ75"/>
    <mergeCell ref="AAI76:AAJ76"/>
    <mergeCell ref="AAI77:AAJ77"/>
    <mergeCell ref="AAI78:AAJ78"/>
    <mergeCell ref="AAK81:AAL81"/>
    <mergeCell ref="AAU79:AAV79"/>
    <mergeCell ref="ABE91:ABF91"/>
    <mergeCell ref="AAX92:AAY92"/>
    <mergeCell ref="AAZ92:ABA92"/>
    <mergeCell ref="ABC92:ABD92"/>
    <mergeCell ref="AAZ100:ABA100"/>
    <mergeCell ref="ABC100:ABD100"/>
    <mergeCell ref="ABE100:ABF100"/>
    <mergeCell ref="RF106:RI106"/>
    <mergeCell ref="RY106:SB106"/>
    <mergeCell ref="AAP98:AAQ98"/>
    <mergeCell ref="AAS98:AAT98"/>
    <mergeCell ref="AAU98:AAV98"/>
    <mergeCell ref="AAX77:AAY77"/>
    <mergeCell ref="AAZ77:ABA77"/>
    <mergeCell ref="QC61:QD62"/>
    <mergeCell ref="PL53:PM53"/>
    <mergeCell ref="PL54:PM54"/>
    <mergeCell ref="PM70:PN70"/>
    <mergeCell ref="ON25:OP27"/>
    <mergeCell ref="OR25:OT27"/>
    <mergeCell ref="PX103:PY103"/>
    <mergeCell ref="QA93:QB94"/>
    <mergeCell ref="PP125:PQ125"/>
    <mergeCell ref="PZ168:QA168"/>
    <mergeCell ref="PK179:PL179"/>
    <mergeCell ref="QL131:QM131"/>
    <mergeCell ref="QF131:QG131"/>
    <mergeCell ref="QH131:QI131"/>
    <mergeCell ref="QB134:QE134"/>
    <mergeCell ref="QE135:QE136"/>
    <mergeCell ref="PK164:PL164"/>
    <mergeCell ref="PK150:PL150"/>
    <mergeCell ref="PL174:PM174"/>
    <mergeCell ref="PL133:PO133"/>
    <mergeCell ref="PP133:PQ133"/>
    <mergeCell ref="PT133:QB133"/>
    <mergeCell ref="QG98:QR98"/>
    <mergeCell ref="QG99:QR101"/>
    <mergeCell ref="QG103:QM103"/>
    <mergeCell ref="QG104:QM106"/>
    <mergeCell ref="PM82:PN82"/>
    <mergeCell ref="QG172:QM172"/>
    <mergeCell ref="QG173:QM175"/>
    <mergeCell ref="PV125:PW125"/>
    <mergeCell ref="PX125:PY125"/>
    <mergeCell ref="PX135:PY136"/>
    <mergeCell ref="PX126:PY127"/>
    <mergeCell ref="PZ140:QA140"/>
    <mergeCell ref="PZ159:QA159"/>
    <mergeCell ref="PL114:PM114"/>
    <mergeCell ref="PL120:PM120"/>
    <mergeCell ref="PN120:PW121"/>
    <mergeCell ref="PL121:PM121"/>
    <mergeCell ref="PZ155:QA156"/>
    <mergeCell ref="QF141:QF142"/>
    <mergeCell ref="QB141:QB142"/>
    <mergeCell ref="PZ151:QA152"/>
    <mergeCell ref="QB151:QB152"/>
    <mergeCell ref="QF160:QF161"/>
    <mergeCell ref="QF164:QH164"/>
    <mergeCell ref="QG160:QI161"/>
    <mergeCell ref="QG108:QQ108"/>
    <mergeCell ref="QF134:QN134"/>
    <mergeCell ref="QF135:QN137"/>
    <mergeCell ref="PL137:PM137"/>
    <mergeCell ref="QE89:QE90"/>
    <mergeCell ref="PN173:PW175"/>
    <mergeCell ref="PL175:PM175"/>
    <mergeCell ref="PL146:PM146"/>
    <mergeCell ref="PK154:PL154"/>
    <mergeCell ref="QF173:QF174"/>
    <mergeCell ref="PT144:QB144"/>
    <mergeCell ref="QG29:QH29"/>
    <mergeCell ref="PJ146:PJ148"/>
    <mergeCell ref="QB150:QF150"/>
    <mergeCell ref="PZ131:QA131"/>
    <mergeCell ref="QB131:QC131"/>
    <mergeCell ref="QD131:QE131"/>
    <mergeCell ref="OH123:OH124"/>
    <mergeCell ref="NB128:NC128"/>
    <mergeCell ref="PY92:PZ92"/>
    <mergeCell ref="PJ92:PL94"/>
    <mergeCell ref="XP278:XR278"/>
    <mergeCell ref="YH108:YJ109"/>
    <mergeCell ref="YG107:YK107"/>
    <mergeCell ref="YG121:YG122"/>
    <mergeCell ref="YG93:YG94"/>
    <mergeCell ref="YH84:YI85"/>
    <mergeCell ref="YJ84:YJ85"/>
    <mergeCell ref="XP93:XQ93"/>
    <mergeCell ref="XP115:XQ115"/>
    <mergeCell ref="XR96:XS97"/>
    <mergeCell ref="YE226:YF226"/>
    <mergeCell ref="YA273:YB273"/>
    <mergeCell ref="YC192:YD193"/>
    <mergeCell ref="XP227:YB228"/>
    <mergeCell ref="XU90:YE90"/>
    <mergeCell ref="XR239:XS239"/>
    <mergeCell ref="XU274:YB275"/>
    <mergeCell ref="YK108:YK109"/>
    <mergeCell ref="XV107:XW107"/>
    <mergeCell ref="XU278:YB280"/>
    <mergeCell ref="YA232:YB232"/>
    <mergeCell ref="PL126:PM126"/>
    <mergeCell ref="PN126:PW127"/>
    <mergeCell ref="PL127:PM127"/>
    <mergeCell ref="PN125:PO125"/>
    <mergeCell ref="PZ119:QA119"/>
    <mergeCell ref="QF125:QL125"/>
    <mergeCell ref="QF126:QL127"/>
    <mergeCell ref="PP172:PR172"/>
    <mergeCell ref="PN172:PO172"/>
    <mergeCell ref="PV172:PW172"/>
    <mergeCell ref="PZ145:QA145"/>
    <mergeCell ref="PZ135:QA136"/>
    <mergeCell ref="PV145:PW145"/>
    <mergeCell ref="PZ126:QA127"/>
    <mergeCell ref="QB125:QE125"/>
    <mergeCell ref="QC85:QD86"/>
    <mergeCell ref="PZ154:QA154"/>
    <mergeCell ref="PX155:PY156"/>
    <mergeCell ref="NS132:NT132"/>
    <mergeCell ref="NY122:NZ122"/>
    <mergeCell ref="OA132:OB132"/>
    <mergeCell ref="OC132:OD132"/>
    <mergeCell ref="XE158:XF159"/>
    <mergeCell ref="XE161:XF161"/>
    <mergeCell ref="QB120:QB121"/>
    <mergeCell ref="XJ194:XJ195"/>
    <mergeCell ref="PZ113:QA114"/>
    <mergeCell ref="QC189:QD190"/>
    <mergeCell ref="QE189:QE190"/>
    <mergeCell ref="QF183:QN183"/>
    <mergeCell ref="QF184:QN186"/>
    <mergeCell ref="PP123:PZ123"/>
    <mergeCell ref="QL168:QM168"/>
    <mergeCell ref="QB173:QB174"/>
    <mergeCell ref="PX140:PY140"/>
    <mergeCell ref="PZ180:QA181"/>
    <mergeCell ref="PZ179:QA179"/>
    <mergeCell ref="PK155:PW156"/>
    <mergeCell ref="PK172:PL172"/>
    <mergeCell ref="PK159:PL159"/>
    <mergeCell ref="QF194:QJ194"/>
    <mergeCell ref="QF195:QJ197"/>
    <mergeCell ref="PX113:PY114"/>
    <mergeCell ref="QB112:QF112"/>
    <mergeCell ref="QC113:QE114"/>
    <mergeCell ref="PX120:PY121"/>
    <mergeCell ref="QF113:QF114"/>
    <mergeCell ref="QF120:QF121"/>
    <mergeCell ref="QF84:QK84"/>
    <mergeCell ref="WR84:WS85"/>
    <mergeCell ref="WR91:WS91"/>
    <mergeCell ref="WR87:WS87"/>
    <mergeCell ref="XR93:XS93"/>
    <mergeCell ref="PX194:PY194"/>
    <mergeCell ref="PZ189:QA190"/>
    <mergeCell ref="WP178:XB179"/>
    <mergeCell ref="PV194:PW194"/>
    <mergeCell ref="RD77:RE77"/>
    <mergeCell ref="RD78:RE78"/>
    <mergeCell ref="ST99:SY99"/>
    <mergeCell ref="PX183:PY183"/>
    <mergeCell ref="PZ183:QA183"/>
    <mergeCell ref="QB183:QE183"/>
    <mergeCell ref="QE180:QE181"/>
    <mergeCell ref="PL173:PM173"/>
    <mergeCell ref="PX188:PY188"/>
    <mergeCell ref="QB184:QB185"/>
    <mergeCell ref="QB194:QE194"/>
    <mergeCell ref="PX189:PY190"/>
    <mergeCell ref="PZ194:QA194"/>
    <mergeCell ref="PZ188:QA188"/>
    <mergeCell ref="TQ89:TT89"/>
    <mergeCell ref="UO106:UR106"/>
    <mergeCell ref="SG106:SJ106"/>
    <mergeCell ref="WM147:WN147"/>
    <mergeCell ref="TI117:TL117"/>
    <mergeCell ref="QB108:QF108"/>
    <mergeCell ref="QC109:QE110"/>
    <mergeCell ref="QG140:QI140"/>
    <mergeCell ref="QG141:QI142"/>
    <mergeCell ref="PK194:PL194"/>
    <mergeCell ref="QF189:QK190"/>
    <mergeCell ref="PZ195:QA196"/>
    <mergeCell ref="PM80:PN80"/>
    <mergeCell ref="PP192:PZ192"/>
    <mergeCell ref="QF188:QK188"/>
    <mergeCell ref="PK77:PM77"/>
    <mergeCell ref="PK151:PW152"/>
    <mergeCell ref="QG119:QM119"/>
    <mergeCell ref="QG120:QM121"/>
    <mergeCell ref="PV134:PW134"/>
    <mergeCell ref="QN168:QO168"/>
    <mergeCell ref="SC106:SF106"/>
    <mergeCell ref="UK99:UN99"/>
    <mergeCell ref="WA148:WA150"/>
    <mergeCell ref="TI115:TL115"/>
    <mergeCell ref="TM115:TP115"/>
    <mergeCell ref="US95:UW95"/>
    <mergeCell ref="US96:UW96"/>
    <mergeCell ref="US97:UW97"/>
    <mergeCell ref="ST95:SY95"/>
    <mergeCell ref="ST96:SY96"/>
    <mergeCell ref="TI91:TL91"/>
    <mergeCell ref="TM91:TP91"/>
    <mergeCell ref="TQ91:TT91"/>
    <mergeCell ref="TU91:TZ91"/>
    <mergeCell ref="UK91:UN91"/>
    <mergeCell ref="TF117:TH117"/>
    <mergeCell ref="TU118:TZ118"/>
    <mergeCell ref="TF107:TH107"/>
    <mergeCell ref="UK112:UN112"/>
    <mergeCell ref="PO75:PP75"/>
    <mergeCell ref="PN76:PO76"/>
    <mergeCell ref="QB195:QB196"/>
    <mergeCell ref="QC195:QD196"/>
    <mergeCell ref="PV68:PW68"/>
    <mergeCell ref="PZ75:QA75"/>
    <mergeCell ref="YE72:YF73"/>
    <mergeCell ref="YA61:YB61"/>
    <mergeCell ref="YA77:YB77"/>
    <mergeCell ref="QF165:QH166"/>
    <mergeCell ref="PZ184:QA185"/>
    <mergeCell ref="PV154:PW154"/>
    <mergeCell ref="PM109:PN109"/>
    <mergeCell ref="PL113:PM113"/>
    <mergeCell ref="PZ76:QA77"/>
    <mergeCell ref="QH93:QH94"/>
    <mergeCell ref="PX80:PY81"/>
    <mergeCell ref="PV75:PW75"/>
    <mergeCell ref="PN64:PO64"/>
    <mergeCell ref="PK75:PL75"/>
    <mergeCell ref="PK79:PL79"/>
    <mergeCell ref="PK84:PL84"/>
    <mergeCell ref="WD67:WD69"/>
    <mergeCell ref="WP67:WQ67"/>
    <mergeCell ref="WZ75:XD75"/>
    <mergeCell ref="WT72:WU73"/>
    <mergeCell ref="WZ80:XC81"/>
    <mergeCell ref="WR83:WS83"/>
    <mergeCell ref="YA83:YB83"/>
    <mergeCell ref="XU81:YE81"/>
    <mergeCell ref="WR79:WS79"/>
    <mergeCell ref="WZ63:XC63"/>
    <mergeCell ref="WZ64:XC65"/>
    <mergeCell ref="WZ67:XC67"/>
    <mergeCell ref="WZ68:XC69"/>
    <mergeCell ref="WZ71:XC71"/>
    <mergeCell ref="WT64:WU65"/>
    <mergeCell ref="WW64:WX65"/>
    <mergeCell ref="PJ60:PL62"/>
    <mergeCell ref="RF88:RI88"/>
    <mergeCell ref="RD61:RE61"/>
    <mergeCell ref="RD86:RE86"/>
    <mergeCell ref="RD87:RE87"/>
    <mergeCell ref="RD80:RE80"/>
    <mergeCell ref="RD81:RE81"/>
    <mergeCell ref="PJ108:PJ110"/>
    <mergeCell ref="XR115:XS115"/>
    <mergeCell ref="XP116:XQ116"/>
    <mergeCell ref="XR90:XS90"/>
    <mergeCell ref="PN189:PW190"/>
    <mergeCell ref="PJ194:PJ197"/>
    <mergeCell ref="PM184:PN184"/>
    <mergeCell ref="PX197:QE197"/>
    <mergeCell ref="QC151:QE152"/>
    <mergeCell ref="SC70:SF70"/>
    <mergeCell ref="SG70:SJ70"/>
    <mergeCell ref="RD76:RE76"/>
    <mergeCell ref="PX85:PY86"/>
    <mergeCell ref="PJ168:PK168"/>
    <mergeCell ref="PL168:PM168"/>
    <mergeCell ref="PN168:PO168"/>
    <mergeCell ref="PP168:PQ168"/>
    <mergeCell ref="PX137:QE137"/>
    <mergeCell ref="PN146:PW148"/>
    <mergeCell ref="PL148:PM148"/>
    <mergeCell ref="PX148:QE148"/>
    <mergeCell ref="QB140:QF140"/>
    <mergeCell ref="QC141:QE142"/>
    <mergeCell ref="PJ155:PJ156"/>
    <mergeCell ref="PZ146:QA147"/>
    <mergeCell ref="PZ141:QA142"/>
    <mergeCell ref="QC146:QD147"/>
    <mergeCell ref="QB109:QB110"/>
    <mergeCell ref="PJ159:PJ161"/>
    <mergeCell ref="PV159:PW159"/>
    <mergeCell ref="PK165:PW166"/>
    <mergeCell ref="PX154:PY154"/>
    <mergeCell ref="PN99:PO99"/>
    <mergeCell ref="PK99:PM99"/>
    <mergeCell ref="PK100:PM100"/>
    <mergeCell ref="PN100:PO100"/>
    <mergeCell ref="PK101:PM101"/>
    <mergeCell ref="PP99:PW101"/>
    <mergeCell ref="RY97:SB97"/>
    <mergeCell ref="SC97:SF97"/>
    <mergeCell ref="RD79:RE79"/>
    <mergeCell ref="RD88:RE88"/>
    <mergeCell ref="RD104:RE104"/>
    <mergeCell ref="SG103:SJ103"/>
    <mergeCell ref="RD118:RE118"/>
    <mergeCell ref="PX172:PY172"/>
    <mergeCell ref="PX175:QF175"/>
    <mergeCell ref="QB189:QB190"/>
    <mergeCell ref="PZ173:QA174"/>
    <mergeCell ref="QB179:QE179"/>
    <mergeCell ref="RM116:RR116"/>
    <mergeCell ref="RD117:RE117"/>
    <mergeCell ref="RD74:RE74"/>
    <mergeCell ref="QG154:QM154"/>
    <mergeCell ref="QG155:QM156"/>
    <mergeCell ref="PL180:PM180"/>
    <mergeCell ref="PN180:PW181"/>
    <mergeCell ref="PX179:PY179"/>
    <mergeCell ref="PX173:PY174"/>
    <mergeCell ref="PM195:PN195"/>
    <mergeCell ref="PM196:PN196"/>
    <mergeCell ref="PM192:PN192"/>
    <mergeCell ref="QE195:QE196"/>
    <mergeCell ref="PK183:PL183"/>
    <mergeCell ref="PK188:PL188"/>
    <mergeCell ref="PL139:PQ139"/>
    <mergeCell ref="PS139:PT139"/>
    <mergeCell ref="QC69:QE70"/>
    <mergeCell ref="QB188:QE188"/>
    <mergeCell ref="NP117:NQ117"/>
    <mergeCell ref="QC135:QD136"/>
    <mergeCell ref="QB135:QB136"/>
    <mergeCell ref="QE146:QE147"/>
    <mergeCell ref="QB155:QB156"/>
    <mergeCell ref="QB126:QB127"/>
    <mergeCell ref="QC126:QD127"/>
    <mergeCell ref="QB165:QB166"/>
    <mergeCell ref="QC165:QD166"/>
    <mergeCell ref="QF104:QF105"/>
    <mergeCell ref="PL158:PP158"/>
    <mergeCell ref="PV139:PW139"/>
    <mergeCell ref="PR158:PS158"/>
    <mergeCell ref="PL163:PO163"/>
    <mergeCell ref="PP163:PQ163"/>
    <mergeCell ref="PS163:QE163"/>
    <mergeCell ref="PX159:PY159"/>
    <mergeCell ref="PX160:PY161"/>
    <mergeCell ref="MX147:NH149"/>
    <mergeCell ref="NM106:NN106"/>
    <mergeCell ref="NO106:NP106"/>
    <mergeCell ref="NP108:NQ108"/>
    <mergeCell ref="NP116:NQ116"/>
    <mergeCell ref="NJ109:NQ109"/>
    <mergeCell ref="NF129:NF130"/>
    <mergeCell ref="NK116:NO117"/>
    <mergeCell ref="QF151:QF152"/>
    <mergeCell ref="NK132:NL132"/>
    <mergeCell ref="NM132:NN132"/>
    <mergeCell ref="NO132:NP132"/>
    <mergeCell ref="PX164:PY164"/>
    <mergeCell ref="PZ164:QA164"/>
    <mergeCell ref="QB164:QE164"/>
    <mergeCell ref="PX165:PY166"/>
    <mergeCell ref="PZ165:QA166"/>
    <mergeCell ref="NC158:ND158"/>
    <mergeCell ref="MW132:MX132"/>
    <mergeCell ref="OC122:OG122"/>
    <mergeCell ref="OD123:OF124"/>
    <mergeCell ref="PJ164:PJ166"/>
    <mergeCell ref="PV164:PW164"/>
    <mergeCell ref="QE165:QE166"/>
    <mergeCell ref="PQ144:PR144"/>
    <mergeCell ref="NL123:NL124"/>
    <mergeCell ref="NL118:NM118"/>
    <mergeCell ref="OI123:OJ124"/>
    <mergeCell ref="OK123:OK124"/>
    <mergeCell ref="OM132:ON132"/>
    <mergeCell ref="NC161:ND161"/>
    <mergeCell ref="XT277:XU277"/>
    <mergeCell ref="XU170:XV170"/>
    <mergeCell ref="XW168:YB170"/>
    <mergeCell ref="XR168:XS168"/>
    <mergeCell ref="XP168:XQ168"/>
    <mergeCell ref="OC119:OC120"/>
    <mergeCell ref="NW122:NX122"/>
    <mergeCell ref="OK106:OL106"/>
    <mergeCell ref="NT117:NX117"/>
    <mergeCell ref="PJ179:PJ181"/>
    <mergeCell ref="NG188:NH188"/>
    <mergeCell ref="NG189:NH189"/>
    <mergeCell ref="PK103:PL103"/>
    <mergeCell ref="PK108:PL108"/>
    <mergeCell ref="PK112:PL112"/>
    <mergeCell ref="PK119:PL119"/>
    <mergeCell ref="PK125:PL125"/>
    <mergeCell ref="PK134:PL134"/>
    <mergeCell ref="PK140:PL140"/>
    <mergeCell ref="PK145:PL145"/>
    <mergeCell ref="PL135:PM135"/>
    <mergeCell ref="PL136:PM136"/>
    <mergeCell ref="QB168:QC168"/>
    <mergeCell ref="QD168:QE168"/>
    <mergeCell ref="QF168:QG168"/>
    <mergeCell ref="QH168:QI168"/>
    <mergeCell ref="QJ168:QK168"/>
    <mergeCell ref="PJ172:PJ175"/>
    <mergeCell ref="PJ135:PJ137"/>
    <mergeCell ref="QB172:QF172"/>
    <mergeCell ref="QC173:QE174"/>
    <mergeCell ref="PV150:PW150"/>
    <mergeCell ref="PX150:PY150"/>
    <mergeCell ref="PZ150:QA150"/>
    <mergeCell ref="PX151:PY152"/>
    <mergeCell ref="OC118:OG118"/>
    <mergeCell ref="OD119:OF120"/>
    <mergeCell ref="NR129:NT130"/>
    <mergeCell ref="NK128:NQ128"/>
    <mergeCell ref="NK129:NQ130"/>
    <mergeCell ref="NG129:NI130"/>
    <mergeCell ref="PX145:PY145"/>
    <mergeCell ref="PO108:PP108"/>
    <mergeCell ref="PL104:PM104"/>
    <mergeCell ref="OW105:OX105"/>
    <mergeCell ref="OY105:OZ105"/>
    <mergeCell ref="PK109:PL109"/>
    <mergeCell ref="PR108:PS108"/>
    <mergeCell ref="PJ112:PJ115"/>
    <mergeCell ref="PF131:PG131"/>
    <mergeCell ref="PH131:PI131"/>
    <mergeCell ref="PF168:PG168"/>
    <mergeCell ref="PH168:PI168"/>
    <mergeCell ref="PR168:PS168"/>
    <mergeCell ref="PT168:PU168"/>
    <mergeCell ref="PV168:PW168"/>
    <mergeCell ref="PX168:PY168"/>
    <mergeCell ref="PJ151:PJ152"/>
    <mergeCell ref="OE132:OF132"/>
    <mergeCell ref="SO108:SS108"/>
    <mergeCell ref="UO109:UR109"/>
    <mergeCell ref="NM108:NO108"/>
    <mergeCell ref="OI106:OJ106"/>
    <mergeCell ref="WO177:WO179"/>
    <mergeCell ref="MG147:MH147"/>
    <mergeCell ref="MO147:MP148"/>
    <mergeCell ref="MV123:MV124"/>
    <mergeCell ref="MW122:MZ122"/>
    <mergeCell ref="MI132:MJ132"/>
    <mergeCell ref="MK132:ML132"/>
    <mergeCell ref="JO110:JO111"/>
    <mergeCell ref="MR86:MR87"/>
    <mergeCell ref="ME87:MF87"/>
    <mergeCell ref="MP85:MQ85"/>
    <mergeCell ref="MA98:MB98"/>
    <mergeCell ref="OO132:OP132"/>
    <mergeCell ref="OK132:OL132"/>
    <mergeCell ref="OL122:OQ122"/>
    <mergeCell ref="OL123:OQ124"/>
    <mergeCell ref="MV164:MW165"/>
    <mergeCell ref="MX146:NH146"/>
    <mergeCell ref="MV141:NB141"/>
    <mergeCell ref="OG119:OG120"/>
    <mergeCell ref="PN135:PW137"/>
    <mergeCell ref="PN104:PW106"/>
    <mergeCell ref="PL106:PM106"/>
    <mergeCell ref="PX115:QF115"/>
    <mergeCell ref="QB99:QB100"/>
    <mergeCell ref="NM123:NN124"/>
    <mergeCell ref="NI106:NJ106"/>
    <mergeCell ref="PZ125:QA125"/>
    <mergeCell ref="MS128:MT128"/>
    <mergeCell ref="QA89:QB90"/>
    <mergeCell ref="QE85:QE86"/>
    <mergeCell ref="MS119:MU120"/>
    <mergeCell ref="MV119:MV120"/>
    <mergeCell ref="NQ132:NR132"/>
    <mergeCell ref="ND129:NE130"/>
    <mergeCell ref="MU110:MX110"/>
    <mergeCell ref="MU111:MU112"/>
    <mergeCell ref="MV111:MW112"/>
    <mergeCell ref="MX111:MX112"/>
    <mergeCell ref="NG109:NI109"/>
    <mergeCell ref="NK123:NK124"/>
    <mergeCell ref="NI132:NJ132"/>
    <mergeCell ref="PM123:PN123"/>
    <mergeCell ref="PL115:PM115"/>
    <mergeCell ref="PM92:PM94"/>
    <mergeCell ref="PX131:PY131"/>
    <mergeCell ref="LW132:LX132"/>
    <mergeCell ref="LY132:LZ132"/>
    <mergeCell ref="MA132:MB132"/>
    <mergeCell ref="MV137:MV138"/>
    <mergeCell ref="JN158:JR158"/>
    <mergeCell ref="JN159:JR160"/>
    <mergeCell ref="PN88:PO88"/>
    <mergeCell ref="PN92:PO92"/>
    <mergeCell ref="PN93:PZ94"/>
    <mergeCell ref="NT116:NX116"/>
    <mergeCell ref="PM144:PP144"/>
    <mergeCell ref="NC106:ND106"/>
    <mergeCell ref="QB160:QB161"/>
    <mergeCell ref="PZ160:QA161"/>
    <mergeCell ref="NL119:NX120"/>
    <mergeCell ref="QB145:QE145"/>
    <mergeCell ref="PX119:PY119"/>
    <mergeCell ref="NY123:NZ124"/>
    <mergeCell ref="NO123:NX124"/>
    <mergeCell ref="IS141:IT141"/>
    <mergeCell ref="IS100:JE101"/>
    <mergeCell ref="MG79:MM81"/>
    <mergeCell ref="ME81:MF81"/>
    <mergeCell ref="ME80:MF80"/>
    <mergeCell ref="MQ111:MR112"/>
    <mergeCell ref="MS111:MT112"/>
    <mergeCell ref="MK109:MM109"/>
    <mergeCell ref="MO110:MP110"/>
    <mergeCell ref="MQ110:MR110"/>
    <mergeCell ref="JK91:JL92"/>
    <mergeCell ref="IT84:IU84"/>
    <mergeCell ref="JN91:JR93"/>
    <mergeCell ref="JM96:JM97"/>
    <mergeCell ref="JH105:JI105"/>
    <mergeCell ref="IW105:IX105"/>
    <mergeCell ref="IU150:IV150"/>
    <mergeCell ref="JF158:JG158"/>
    <mergeCell ref="JH158:JI158"/>
    <mergeCell ref="JJ158:JM158"/>
    <mergeCell ref="JJ159:JJ160"/>
    <mergeCell ref="IU162:IV162"/>
    <mergeCell ref="IX162:JH162"/>
    <mergeCell ref="IX144:JH144"/>
    <mergeCell ref="JN76:JQ76"/>
    <mergeCell ref="MV42:NA42"/>
    <mergeCell ref="MV43:NA44"/>
    <mergeCell ref="QB98:QF98"/>
    <mergeCell ref="QC99:QE100"/>
    <mergeCell ref="QF99:QF100"/>
    <mergeCell ref="QB103:QF103"/>
    <mergeCell ref="QC104:QE105"/>
    <mergeCell ref="QE56:QH56"/>
    <mergeCell ref="PN77:PO77"/>
    <mergeCell ref="PR75:PS75"/>
    <mergeCell ref="PQ76:PR76"/>
    <mergeCell ref="NI61:OD81"/>
    <mergeCell ref="NW118:NX118"/>
    <mergeCell ref="NY118:NZ118"/>
    <mergeCell ref="OA118:OB118"/>
    <mergeCell ref="NW132:NX132"/>
    <mergeCell ref="NY132:NZ132"/>
    <mergeCell ref="QC60:QD60"/>
    <mergeCell ref="OF85:OH87"/>
    <mergeCell ref="OQ132:OR132"/>
    <mergeCell ref="OH122:OK122"/>
    <mergeCell ref="MP122:MQ122"/>
    <mergeCell ref="MI100:MU100"/>
    <mergeCell ref="ML122:MM122"/>
    <mergeCell ref="MN122:MO122"/>
    <mergeCell ref="MW106:MX106"/>
    <mergeCell ref="MW123:MW124"/>
    <mergeCell ref="NJ108:NL108"/>
    <mergeCell ref="NG108:NI108"/>
    <mergeCell ref="NU132:NV132"/>
    <mergeCell ref="OA123:OB124"/>
    <mergeCell ref="PJ131:PK131"/>
    <mergeCell ref="PL131:PM131"/>
    <mergeCell ref="PN131:PO131"/>
    <mergeCell ref="PP131:PQ131"/>
    <mergeCell ref="OG132:OH132"/>
    <mergeCell ref="PR131:PS131"/>
    <mergeCell ref="PT131:PU131"/>
    <mergeCell ref="PV131:PW131"/>
    <mergeCell ref="IU61:IU63"/>
    <mergeCell ref="IR57:IR59"/>
    <mergeCell ref="IT71:IU71"/>
    <mergeCell ref="IS87:JE88"/>
    <mergeCell ref="IT91:IU91"/>
    <mergeCell ref="IR66:IR67"/>
    <mergeCell ref="JJ105:JM105"/>
    <mergeCell ref="JD105:JE105"/>
    <mergeCell ref="MP58:MQ58"/>
    <mergeCell ref="MS59:MT60"/>
    <mergeCell ref="JF69:JG69"/>
    <mergeCell ref="IX74:JH74"/>
    <mergeCell ref="JD86:JE86"/>
    <mergeCell ref="IU74:IV74"/>
    <mergeCell ref="MP59:MQ60"/>
    <mergeCell ref="MF83:MP83"/>
    <mergeCell ref="MC83:MD83"/>
    <mergeCell ref="IR86:IR88"/>
    <mergeCell ref="JN66:JT67"/>
    <mergeCell ref="MS53:MT54"/>
    <mergeCell ref="JF58:JG59"/>
    <mergeCell ref="IT93:IU93"/>
    <mergeCell ref="IS96:JE97"/>
    <mergeCell ref="JJ70:JJ71"/>
    <mergeCell ref="JG135:JH135"/>
    <mergeCell ref="JI135:JJ135"/>
    <mergeCell ref="IU144:IV144"/>
    <mergeCell ref="IZ164:JA164"/>
    <mergeCell ref="IW158:IX158"/>
    <mergeCell ref="IT159:IU159"/>
    <mergeCell ref="IT160:IU160"/>
    <mergeCell ref="IW159:IX159"/>
    <mergeCell ref="IW160:IX160"/>
    <mergeCell ref="IY159:JE160"/>
    <mergeCell ref="IT148:IU148"/>
    <mergeCell ref="IT147:IU147"/>
    <mergeCell ref="IW147:IX147"/>
    <mergeCell ref="IW148:IX148"/>
    <mergeCell ref="IY147:JE148"/>
    <mergeCell ref="IS120:IV120"/>
    <mergeCell ref="IS142:IT142"/>
    <mergeCell ref="JH153:JI154"/>
    <mergeCell ref="MC81:MD81"/>
    <mergeCell ref="ME97:MF97"/>
    <mergeCell ref="MN85:MO85"/>
    <mergeCell ref="MI106:MJ106"/>
    <mergeCell ref="MK106:ML106"/>
    <mergeCell ref="MM106:MN106"/>
    <mergeCell ref="LZ110:MB112"/>
    <mergeCell ref="MC108:MD109"/>
    <mergeCell ref="MA106:MB106"/>
    <mergeCell ref="MR92:MR93"/>
    <mergeCell ref="MP92:MQ93"/>
    <mergeCell ref="MN98:MO99"/>
    <mergeCell ref="MG116:MH116"/>
    <mergeCell ref="MR118:MV118"/>
    <mergeCell ref="MB137:MC137"/>
    <mergeCell ref="ME117:MF117"/>
    <mergeCell ref="MG117:MH117"/>
    <mergeCell ref="MU142:MU143"/>
    <mergeCell ref="MS147:MS148"/>
    <mergeCell ref="IU142:IV142"/>
    <mergeCell ref="IS140:IT140"/>
    <mergeCell ref="JH87:JI88"/>
    <mergeCell ref="PM36:PM38"/>
    <mergeCell ref="PY45:PZ46"/>
    <mergeCell ref="RD33:RE33"/>
    <mergeCell ref="RD34:RE34"/>
    <mergeCell ref="RD35:RE35"/>
    <mergeCell ref="RD36:RE36"/>
    <mergeCell ref="RD42:RE42"/>
    <mergeCell ref="JM51:JM52"/>
    <mergeCell ref="JK77:JL78"/>
    <mergeCell ref="JN99:JP99"/>
    <mergeCell ref="JN95:JP95"/>
    <mergeCell ref="JN96:JP97"/>
    <mergeCell ref="JN90:JR90"/>
    <mergeCell ref="MS78:MV78"/>
    <mergeCell ref="MS79:MS80"/>
    <mergeCell ref="JF72:JM72"/>
    <mergeCell ref="MS86:MT87"/>
    <mergeCell ref="MU47:MU48"/>
    <mergeCell ref="MV52:MY52"/>
    <mergeCell ref="MV53:MY54"/>
    <mergeCell ref="PM88:PM90"/>
    <mergeCell ref="QB76:QB77"/>
    <mergeCell ref="QE60:QI60"/>
    <mergeCell ref="MC62:MH63"/>
    <mergeCell ref="JJ58:JJ59"/>
    <mergeCell ref="JK58:JL59"/>
    <mergeCell ref="JN77:JQ78"/>
    <mergeCell ref="JF76:JG76"/>
    <mergeCell ref="JG61:JH61"/>
    <mergeCell ref="ML52:MM52"/>
    <mergeCell ref="JJ65:JM65"/>
    <mergeCell ref="JM91:JM92"/>
    <mergeCell ref="JF83:JG84"/>
    <mergeCell ref="JM70:JM71"/>
    <mergeCell ref="JM77:JM78"/>
    <mergeCell ref="JF77:JG78"/>
    <mergeCell ref="JH77:JI78"/>
    <mergeCell ref="MN81:MV81"/>
    <mergeCell ref="MC95:MD95"/>
    <mergeCell ref="JF66:JG67"/>
    <mergeCell ref="MF91:MG91"/>
    <mergeCell ref="MP97:MQ97"/>
    <mergeCell ref="MP98:MQ99"/>
    <mergeCell ref="MF95:MP95"/>
    <mergeCell ref="ME99:MF99"/>
    <mergeCell ref="MI98:MM99"/>
    <mergeCell ref="MB87:MC87"/>
    <mergeCell ref="MG97:MH97"/>
    <mergeCell ref="MG98:MH98"/>
    <mergeCell ref="MP91:MQ91"/>
    <mergeCell ref="MB86:MC86"/>
    <mergeCell ref="ME85:MF85"/>
    <mergeCell ref="ME86:MF86"/>
    <mergeCell ref="MG86:MM87"/>
    <mergeCell ref="MC89:MD89"/>
    <mergeCell ref="ME79:MF79"/>
    <mergeCell ref="MH78:MI78"/>
    <mergeCell ref="MD75:MP76"/>
    <mergeCell ref="LZ91:LZ93"/>
    <mergeCell ref="MV86:NA87"/>
    <mergeCell ref="MV79:MV80"/>
    <mergeCell ref="PK76:PM76"/>
    <mergeCell ref="PG34:PH34"/>
    <mergeCell ref="PI34:PJ34"/>
    <mergeCell ref="JI61:JJ61"/>
    <mergeCell ref="JK61:JL61"/>
    <mergeCell ref="JM61:JP61"/>
    <mergeCell ref="JN70:JS72"/>
    <mergeCell ref="MC56:MD56"/>
    <mergeCell ref="ML58:MM58"/>
    <mergeCell ref="MN58:MO58"/>
    <mergeCell ref="LZ62:MB63"/>
    <mergeCell ref="JN87:JQ88"/>
    <mergeCell ref="JN65:JT65"/>
    <mergeCell ref="JM62:JM63"/>
    <mergeCell ref="ME98:MF98"/>
    <mergeCell ref="JH99:JI99"/>
    <mergeCell ref="IT47:IU47"/>
    <mergeCell ref="JD50:JE50"/>
    <mergeCell ref="IV55:IW55"/>
    <mergeCell ref="IT53:IU53"/>
    <mergeCell ref="IS57:IT57"/>
    <mergeCell ref="JD57:JE57"/>
    <mergeCell ref="IY55:JI55"/>
    <mergeCell ref="JF57:JG57"/>
    <mergeCell ref="IR50:IR53"/>
    <mergeCell ref="IT51:IU51"/>
    <mergeCell ref="MR35:MR36"/>
    <mergeCell ref="MS35:MT36"/>
    <mergeCell ref="MU35:MU36"/>
    <mergeCell ref="MB35:MC35"/>
    <mergeCell ref="MQ47:MR48"/>
    <mergeCell ref="MR42:MU42"/>
    <mergeCell ref="MR43:MR44"/>
    <mergeCell ref="MS43:MT44"/>
    <mergeCell ref="PK48:PL48"/>
    <mergeCell ref="MV47:MW48"/>
    <mergeCell ref="MC44:MD44"/>
    <mergeCell ref="PJ48:PJ50"/>
    <mergeCell ref="MQ46:MR46"/>
    <mergeCell ref="MS46:MT46"/>
    <mergeCell ref="JD69:JE69"/>
    <mergeCell ref="PK98:PL98"/>
    <mergeCell ref="IW69:IX69"/>
    <mergeCell ref="MN69:MO70"/>
    <mergeCell ref="MP69:MQ70"/>
    <mergeCell ref="JF70:JG71"/>
    <mergeCell ref="MR69:MR70"/>
    <mergeCell ref="MS69:MT70"/>
    <mergeCell ref="JF87:JG88"/>
    <mergeCell ref="ML68:MM68"/>
    <mergeCell ref="JD90:JE90"/>
    <mergeCell ref="ME68:MG68"/>
    <mergeCell ref="JF91:JG92"/>
    <mergeCell ref="IT92:IU92"/>
    <mergeCell ref="IS82:IT82"/>
    <mergeCell ref="IV78:IX78"/>
    <mergeCell ref="JD82:JE82"/>
    <mergeCell ref="JF65:JG65"/>
    <mergeCell ref="ML63:MN63"/>
    <mergeCell ref="MO63:MQ63"/>
    <mergeCell ref="LZ64:MB66"/>
    <mergeCell ref="MO46:MP46"/>
    <mergeCell ref="JD46:JE46"/>
    <mergeCell ref="IR46:IR48"/>
    <mergeCell ref="JF47:JG48"/>
    <mergeCell ref="JJ46:JM46"/>
    <mergeCell ref="MB60:MC60"/>
    <mergeCell ref="PX48:PY48"/>
    <mergeCell ref="QB49:QB50"/>
    <mergeCell ref="QC36:QD36"/>
    <mergeCell ref="PY36:PZ36"/>
    <mergeCell ref="MQ39:MR40"/>
    <mergeCell ref="NS40:NT41"/>
    <mergeCell ref="MF50:MP50"/>
    <mergeCell ref="PM50:PN50"/>
    <mergeCell ref="PR48:PS48"/>
    <mergeCell ref="PK49:PL49"/>
    <mergeCell ref="PM49:PN49"/>
    <mergeCell ref="PP50:PQ50"/>
    <mergeCell ref="PK52:PL52"/>
    <mergeCell ref="PK50:PL50"/>
    <mergeCell ref="PX52:PY52"/>
    <mergeCell ref="MD47:MP48"/>
    <mergeCell ref="MP52:MQ52"/>
    <mergeCell ref="PV48:PW48"/>
    <mergeCell ref="QC41:QD42"/>
    <mergeCell ref="QC57:QD58"/>
    <mergeCell ref="CA64:CA65"/>
    <mergeCell ref="EX54:EX55"/>
    <mergeCell ref="CQ52:CR53"/>
    <mergeCell ref="GW39:GX39"/>
    <mergeCell ref="EV37:EW38"/>
    <mergeCell ref="CL36:CM37"/>
    <mergeCell ref="CV48:CY49"/>
    <mergeCell ref="CO63:CP63"/>
    <mergeCell ref="CQ63:CR63"/>
    <mergeCell ref="GK47:GL47"/>
    <mergeCell ref="GT47:GU47"/>
    <mergeCell ref="GV47:GW47"/>
    <mergeCell ref="GG47:GH47"/>
    <mergeCell ref="CJ47:CK47"/>
    <mergeCell ref="CL47:CM47"/>
    <mergeCell ref="EZ41:EZ42"/>
    <mergeCell ref="CS40:CS41"/>
    <mergeCell ref="EW41:EY42"/>
    <mergeCell ref="BY40:CK41"/>
    <mergeCell ref="GJ40:GV41"/>
    <mergeCell ref="GW40:GX41"/>
    <mergeCell ref="CB56:CN57"/>
    <mergeCell ref="GW65:GX66"/>
    <mergeCell ref="GY39:GZ39"/>
    <mergeCell ref="MH42:MI42"/>
    <mergeCell ref="JJ41:JJ42"/>
    <mergeCell ref="LZ42:LZ44"/>
    <mergeCell ref="ML62:MN62"/>
    <mergeCell ref="IV62:JH63"/>
    <mergeCell ref="JH58:JI59"/>
    <mergeCell ref="PJ40:PL42"/>
    <mergeCell ref="MU46:MX46"/>
    <mergeCell ref="MR52:MU52"/>
    <mergeCell ref="MR53:MR54"/>
    <mergeCell ref="MC46:MC48"/>
    <mergeCell ref="JK47:JL48"/>
    <mergeCell ref="ML42:MM42"/>
    <mergeCell ref="MU59:MU60"/>
    <mergeCell ref="NV40:NW41"/>
    <mergeCell ref="NX40:NX41"/>
    <mergeCell ref="NE41:NF41"/>
    <mergeCell ref="MU43:MU44"/>
    <mergeCell ref="MI63:MK63"/>
    <mergeCell ref="PN54:PP54"/>
    <mergeCell ref="CJ59:CK59"/>
    <mergeCell ref="CL59:CM59"/>
    <mergeCell ref="EA62:EB62"/>
    <mergeCell ref="CS84:CS85"/>
    <mergeCell ref="CQ79:CR79"/>
    <mergeCell ref="CQ64:CR65"/>
    <mergeCell ref="CS63:CV63"/>
    <mergeCell ref="EV44:EZ44"/>
    <mergeCell ref="CT44:CU45"/>
    <mergeCell ref="CJ75:CK75"/>
    <mergeCell ref="CL75:CM75"/>
    <mergeCell ref="EC71:ED71"/>
    <mergeCell ref="EA71:EB71"/>
    <mergeCell ref="CN36:CO37"/>
    <mergeCell ref="GW44:GX45"/>
    <mergeCell ref="CS68:CS69"/>
    <mergeCell ref="CS64:CS65"/>
    <mergeCell ref="CO64:CP65"/>
    <mergeCell ref="ES66:ET66"/>
    <mergeCell ref="CT64:CU65"/>
    <mergeCell ref="CV64:CV65"/>
    <mergeCell ref="EU37:EU38"/>
    <mergeCell ref="GR47:GS47"/>
    <mergeCell ref="CQ96:CQ97"/>
    <mergeCell ref="CR96:CS97"/>
    <mergeCell ref="CV122:CV123"/>
    <mergeCell ref="CQ121:CR121"/>
    <mergeCell ref="CS122:CS123"/>
    <mergeCell ref="CT122:CU123"/>
    <mergeCell ref="CT52:CY53"/>
    <mergeCell ref="CS113:CV113"/>
    <mergeCell ref="CV104:CX105"/>
    <mergeCell ref="CW109:CY109"/>
    <mergeCell ref="CW110:CY111"/>
    <mergeCell ref="GG92:GH92"/>
    <mergeCell ref="CL72:CM73"/>
    <mergeCell ref="BD68:BG68"/>
    <mergeCell ref="BD69:BD70"/>
    <mergeCell ref="AY89:AZ89"/>
    <mergeCell ref="BA89:BD89"/>
    <mergeCell ref="BX71:BX73"/>
    <mergeCell ref="CP91:CS91"/>
    <mergeCell ref="ES67:ET68"/>
    <mergeCell ref="CL88:CM89"/>
    <mergeCell ref="CQ92:CR93"/>
    <mergeCell ref="CO109:CP109"/>
    <mergeCell ref="JH51:JI52"/>
    <mergeCell ref="BX35:BX37"/>
    <mergeCell ref="BY35:BZ35"/>
    <mergeCell ref="CJ35:CK35"/>
    <mergeCell ref="CL35:CM35"/>
    <mergeCell ref="IU44:IV44"/>
    <mergeCell ref="JD36:JE36"/>
    <mergeCell ref="IU67:IV67"/>
    <mergeCell ref="IU118:IV118"/>
    <mergeCell ref="IU119:IV119"/>
    <mergeCell ref="HB65:HC66"/>
    <mergeCell ref="AX85:AY85"/>
    <mergeCell ref="BG50:BG51"/>
    <mergeCell ref="AX49:AY49"/>
    <mergeCell ref="CL48:CM49"/>
    <mergeCell ref="BY47:BZ47"/>
    <mergeCell ref="CN67:CO67"/>
    <mergeCell ref="CB68:CK69"/>
    <mergeCell ref="BY60:CK61"/>
    <mergeCell ref="CO79:CP79"/>
    <mergeCell ref="CB80:CN81"/>
    <mergeCell ref="CL52:CM53"/>
    <mergeCell ref="BX55:BZ57"/>
    <mergeCell ref="BX67:BX69"/>
    <mergeCell ref="BX83:BX85"/>
    <mergeCell ref="BI82:BN83"/>
    <mergeCell ref="BF77:BH77"/>
    <mergeCell ref="AZ73:BA73"/>
    <mergeCell ref="AZ74:BA75"/>
    <mergeCell ref="AW78:AX79"/>
    <mergeCell ref="BB78:BB79"/>
    <mergeCell ref="BC78:BD79"/>
    <mergeCell ref="BE78:BE79"/>
    <mergeCell ref="CN83:CO83"/>
    <mergeCell ref="CP83:CS83"/>
    <mergeCell ref="BY84:CK85"/>
    <mergeCell ref="CP84:CP85"/>
    <mergeCell ref="CQ84:CR85"/>
    <mergeCell ref="HD40:HD41"/>
    <mergeCell ref="HA44:HA45"/>
    <mergeCell ref="GJ48:GL49"/>
    <mergeCell ref="HB40:HC41"/>
    <mergeCell ref="CP40:CP41"/>
    <mergeCell ref="JF51:JG52"/>
    <mergeCell ref="IW66:JE67"/>
    <mergeCell ref="JD95:JE95"/>
    <mergeCell ref="GX35:HA35"/>
    <mergeCell ref="ER40:ES40"/>
    <mergeCell ref="CS43:CV43"/>
    <mergeCell ref="BB45:BC45"/>
    <mergeCell ref="CS52:CS53"/>
    <mergeCell ref="BX43:BZ45"/>
    <mergeCell ref="CO44:CP45"/>
    <mergeCell ref="ER119:ER120"/>
    <mergeCell ref="MB237:MC237"/>
    <mergeCell ref="MP236:MQ237"/>
    <mergeCell ref="MF233:MP233"/>
    <mergeCell ref="MC233:MD233"/>
    <mergeCell ref="MP235:MQ235"/>
    <mergeCell ref="MN231:MU231"/>
    <mergeCell ref="MC226:MD226"/>
    <mergeCell ref="MP229:MQ230"/>
    <mergeCell ref="MN229:MO230"/>
    <mergeCell ref="MF226:MP226"/>
    <mergeCell ref="MN228:MO228"/>
    <mergeCell ref="MR235:MU235"/>
    <mergeCell ref="MR236:MR237"/>
    <mergeCell ref="MS236:MT237"/>
    <mergeCell ref="MU236:MU237"/>
    <mergeCell ref="MN236:MO237"/>
    <mergeCell ref="MB224:MC224"/>
    <mergeCell ref="MN224:MU224"/>
    <mergeCell ref="MP228:MQ228"/>
    <mergeCell ref="MR228:MU228"/>
    <mergeCell ref="MR229:MR230"/>
    <mergeCell ref="MS229:MT230"/>
    <mergeCell ref="MU229:MU230"/>
    <mergeCell ref="MD236:MM237"/>
    <mergeCell ref="MB236:MC236"/>
    <mergeCell ref="JF165:JG166"/>
    <mergeCell ref="MS137:MS138"/>
    <mergeCell ref="MR222:MR223"/>
    <mergeCell ref="MS222:MT223"/>
    <mergeCell ref="MR208:MU208"/>
    <mergeCell ref="MB219:MC219"/>
    <mergeCell ref="MS209:MT210"/>
    <mergeCell ref="MU204:MU205"/>
    <mergeCell ref="MS164:MT165"/>
    <mergeCell ref="MQ197:NA198"/>
    <mergeCell ref="ME228:MF228"/>
    <mergeCell ref="MD221:ME221"/>
    <mergeCell ref="MF221:MG221"/>
    <mergeCell ref="MB218:MC218"/>
    <mergeCell ref="MY199:NA199"/>
    <mergeCell ref="MB223:MC223"/>
    <mergeCell ref="LZ221:LZ224"/>
    <mergeCell ref="MP222:MQ223"/>
    <mergeCell ref="MQ173:MR173"/>
    <mergeCell ref="MQ174:MR175"/>
    <mergeCell ref="MO137:MP138"/>
    <mergeCell ref="MQ137:MR138"/>
    <mergeCell ref="MP141:MQ141"/>
    <mergeCell ref="MR167:MT167"/>
    <mergeCell ref="MI147:MN149"/>
    <mergeCell ref="MN153:MO154"/>
    <mergeCell ref="MP153:MQ154"/>
    <mergeCell ref="ME153:MM155"/>
    <mergeCell ref="MS163:MT163"/>
    <mergeCell ref="MS153:MU154"/>
    <mergeCell ref="MS170:MT171"/>
    <mergeCell ref="JP136:JP137"/>
    <mergeCell ref="JH140:JI141"/>
    <mergeCell ref="JK159:JL160"/>
    <mergeCell ref="MX174:MX175"/>
    <mergeCell ref="MD203:ME203"/>
    <mergeCell ref="MF203:MG203"/>
    <mergeCell ref="MN152:MO152"/>
    <mergeCell ref="JM147:JM148"/>
    <mergeCell ref="JH165:JI166"/>
    <mergeCell ref="JM165:JM166"/>
    <mergeCell ref="JJ165:JJ166"/>
    <mergeCell ref="JK165:JL166"/>
    <mergeCell ref="JD146:JE146"/>
    <mergeCell ref="IR158:IR160"/>
    <mergeCell ref="JF120:JM120"/>
    <mergeCell ref="JG130:JH130"/>
    <mergeCell ref="JJ140:JJ141"/>
    <mergeCell ref="JH124:JI124"/>
    <mergeCell ref="IV114:JE115"/>
    <mergeCell ref="IS165:JE167"/>
    <mergeCell ref="IR164:IR167"/>
    <mergeCell ref="MB188:MC188"/>
    <mergeCell ref="LZ147:LZ149"/>
    <mergeCell ref="MO136:MP136"/>
    <mergeCell ref="MI152:MJ152"/>
    <mergeCell ref="MQ169:MR169"/>
    <mergeCell ref="MO163:MP163"/>
    <mergeCell ref="MO168:MQ168"/>
    <mergeCell ref="MP152:MQ152"/>
    <mergeCell ref="ML141:MM141"/>
    <mergeCell ref="MN141:MO141"/>
    <mergeCell ref="MN128:MN130"/>
    <mergeCell ref="MR123:MR124"/>
    <mergeCell ref="MB144:MC144"/>
    <mergeCell ref="IW152:IX152"/>
    <mergeCell ref="MC149:MD149"/>
    <mergeCell ref="LZ136:LZ139"/>
    <mergeCell ref="MD137:MN139"/>
    <mergeCell ref="MC169:MC171"/>
    <mergeCell ref="LZ177:MB179"/>
    <mergeCell ref="LZ173:MB175"/>
    <mergeCell ref="MF175:MG175"/>
    <mergeCell ref="ME182:MF182"/>
    <mergeCell ref="ME183:MF183"/>
    <mergeCell ref="MQ181:MR181"/>
    <mergeCell ref="MP187:MQ187"/>
    <mergeCell ref="JH117:JI117"/>
    <mergeCell ref="IU156:IV156"/>
    <mergeCell ref="IX156:JH156"/>
    <mergeCell ref="JH159:JI160"/>
    <mergeCell ref="JM130:JP130"/>
    <mergeCell ref="IU130:IU132"/>
    <mergeCell ref="JN152:JP152"/>
    <mergeCell ref="JK130:JL130"/>
    <mergeCell ref="JM131:JM132"/>
    <mergeCell ref="JN131:JO132"/>
    <mergeCell ref="JP131:JP132"/>
    <mergeCell ref="JJ118:JJ119"/>
    <mergeCell ref="JK118:JL119"/>
    <mergeCell ref="JM118:JM119"/>
    <mergeCell ref="IW164:IX164"/>
    <mergeCell ref="JF125:JG126"/>
    <mergeCell ref="JH146:JI146"/>
    <mergeCell ref="IU141:IV141"/>
    <mergeCell ref="MM136:MN136"/>
    <mergeCell ref="MG132:MH132"/>
    <mergeCell ref="MD136:ME136"/>
    <mergeCell ref="IU140:IV140"/>
    <mergeCell ref="IT125:IU125"/>
    <mergeCell ref="JK135:JL135"/>
    <mergeCell ref="IR152:IR154"/>
    <mergeCell ref="JJ164:JM164"/>
    <mergeCell ref="IZ152:JA152"/>
    <mergeCell ref="IS153:JE154"/>
    <mergeCell ref="GG110:GH110"/>
    <mergeCell ref="GI111:GJ111"/>
    <mergeCell ref="GI112:GJ112"/>
    <mergeCell ref="GT139:GU140"/>
    <mergeCell ref="HB134:HE134"/>
    <mergeCell ref="HB115:HD116"/>
    <mergeCell ref="HB118:HD118"/>
    <mergeCell ref="HB119:HD120"/>
    <mergeCell ref="JM136:JM137"/>
    <mergeCell ref="IV136:JH137"/>
    <mergeCell ref="JJ95:JM95"/>
    <mergeCell ref="JF152:JG152"/>
    <mergeCell ref="JH152:JI152"/>
    <mergeCell ref="IU103:IV103"/>
    <mergeCell ref="IX103:JH103"/>
    <mergeCell ref="IW146:IX146"/>
    <mergeCell ref="JD152:JE152"/>
    <mergeCell ref="JJ147:JJ148"/>
    <mergeCell ref="JJ146:JM146"/>
    <mergeCell ref="JG110:JI111"/>
    <mergeCell ref="IT114:IU114"/>
    <mergeCell ref="GV130:GW130"/>
    <mergeCell ref="GY115:GZ116"/>
    <mergeCell ref="GX119:GX120"/>
    <mergeCell ref="GY119:GZ120"/>
    <mergeCell ref="HA119:HA120"/>
    <mergeCell ref="GX115:GX116"/>
    <mergeCell ref="HB106:HB107"/>
    <mergeCell ref="GX105:HB105"/>
    <mergeCell ref="JH113:JI113"/>
    <mergeCell ref="JF142:JM142"/>
    <mergeCell ref="JK140:JL141"/>
    <mergeCell ref="JF140:JG141"/>
    <mergeCell ref="IR135:IT137"/>
    <mergeCell ref="IR130:IT132"/>
    <mergeCell ref="GL130:GM130"/>
    <mergeCell ref="HB123:HE124"/>
    <mergeCell ref="HC127:HF128"/>
    <mergeCell ref="GT115:GU116"/>
    <mergeCell ref="GV126:GX126"/>
    <mergeCell ref="GV110:GX110"/>
    <mergeCell ref="GI106:GJ106"/>
    <mergeCell ref="GG105:GH105"/>
    <mergeCell ref="GG95:GH95"/>
    <mergeCell ref="GG131:GS132"/>
    <mergeCell ref="GT131:GU132"/>
    <mergeCell ref="GV131:GW132"/>
    <mergeCell ref="HB130:HF130"/>
    <mergeCell ref="HB131:HF132"/>
    <mergeCell ref="HQ95:HS97"/>
    <mergeCell ref="IV125:JE127"/>
    <mergeCell ref="IR124:IR127"/>
    <mergeCell ref="JD117:JE117"/>
    <mergeCell ref="JF117:JG117"/>
    <mergeCell ref="JF114:JG115"/>
    <mergeCell ref="JH139:JI139"/>
    <mergeCell ref="JJ139:JM139"/>
    <mergeCell ref="JI130:JJ130"/>
    <mergeCell ref="IX150:JH150"/>
    <mergeCell ref="GX138:HA138"/>
    <mergeCell ref="HC101:HO103"/>
    <mergeCell ref="JF106:JG107"/>
    <mergeCell ref="JH164:JI164"/>
    <mergeCell ref="EV110:FE110"/>
    <mergeCell ref="EV111:FE112"/>
    <mergeCell ref="GF139:GF140"/>
    <mergeCell ref="GX135:GX136"/>
    <mergeCell ref="HA135:HA136"/>
    <mergeCell ref="GT130:GU130"/>
    <mergeCell ref="HA131:HA132"/>
    <mergeCell ref="JF118:JG119"/>
    <mergeCell ref="IT115:IU115"/>
    <mergeCell ref="JH118:JI119"/>
    <mergeCell ref="IS118:IT118"/>
    <mergeCell ref="IT126:IU126"/>
    <mergeCell ref="IT127:IU127"/>
    <mergeCell ref="IR146:IR148"/>
    <mergeCell ref="AZ86:BA87"/>
    <mergeCell ref="BB86:BC87"/>
    <mergeCell ref="BD86:BD87"/>
    <mergeCell ref="AX73:AY73"/>
    <mergeCell ref="BB68:BC68"/>
    <mergeCell ref="CC51:CE51"/>
    <mergeCell ref="CB64:CN65"/>
    <mergeCell ref="CM55:CN55"/>
    <mergeCell ref="BD82:BD83"/>
    <mergeCell ref="AV73:AW73"/>
    <mergeCell ref="CL126:CM127"/>
    <mergeCell ref="GK52:GL52"/>
    <mergeCell ref="EW48:FD48"/>
    <mergeCell ref="GV52:GW53"/>
    <mergeCell ref="GJ56:GV57"/>
    <mergeCell ref="GW56:GX57"/>
    <mergeCell ref="GF47:GF49"/>
    <mergeCell ref="CU126:CU127"/>
    <mergeCell ref="CY126:CY127"/>
    <mergeCell ref="CB122:CN123"/>
    <mergeCell ref="GT122:GU122"/>
    <mergeCell ref="GX123:GX124"/>
    <mergeCell ref="GT111:GU112"/>
    <mergeCell ref="GV122:GW122"/>
    <mergeCell ref="CN126:CO127"/>
    <mergeCell ref="BY87:BZ87"/>
    <mergeCell ref="CN59:CO59"/>
    <mergeCell ref="CP59:CS59"/>
    <mergeCell ref="CT59:CW59"/>
    <mergeCell ref="CJ71:CK71"/>
    <mergeCell ref="CL71:CM71"/>
    <mergeCell ref="CP76:CP77"/>
    <mergeCell ref="DZ71:DZ73"/>
    <mergeCell ref="EP81:EQ81"/>
    <mergeCell ref="ES71:EU72"/>
    <mergeCell ref="CN72:CO73"/>
    <mergeCell ref="EP82:EQ83"/>
    <mergeCell ref="EN84:EV84"/>
    <mergeCell ref="CT72:CW73"/>
    <mergeCell ref="EU75:EY75"/>
    <mergeCell ref="CQ72:CR73"/>
    <mergeCell ref="EP70:EQ70"/>
    <mergeCell ref="GM52:GS53"/>
    <mergeCell ref="GT52:GU53"/>
    <mergeCell ref="GT62:HB62"/>
    <mergeCell ref="GG60:GS62"/>
    <mergeCell ref="GF59:GF62"/>
    <mergeCell ref="GG135:GS136"/>
    <mergeCell ref="GT135:GU136"/>
    <mergeCell ref="JD164:JE164"/>
    <mergeCell ref="JF164:JG164"/>
    <mergeCell ref="IT77:IU77"/>
    <mergeCell ref="IS65:IT65"/>
    <mergeCell ref="CQ126:CS127"/>
    <mergeCell ref="CV126:CX127"/>
    <mergeCell ref="CP125:CT125"/>
    <mergeCell ref="IS113:IT113"/>
    <mergeCell ref="IW113:IX113"/>
    <mergeCell ref="IR139:IR142"/>
    <mergeCell ref="IS119:IT119"/>
    <mergeCell ref="IU135:IU137"/>
    <mergeCell ref="CT114:CU115"/>
    <mergeCell ref="DZ110:DZ112"/>
    <mergeCell ref="BX91:BX93"/>
    <mergeCell ref="CL91:CM91"/>
    <mergeCell ref="IU80:IV80"/>
    <mergeCell ref="IT106:IU106"/>
    <mergeCell ref="BY92:CK93"/>
    <mergeCell ref="BX59:BX61"/>
    <mergeCell ref="BX75:BX77"/>
    <mergeCell ref="CL67:CM67"/>
    <mergeCell ref="CL68:CM69"/>
    <mergeCell ref="CL60:CM61"/>
    <mergeCell ref="AZ69:BA71"/>
    <mergeCell ref="CU125:CY125"/>
    <mergeCell ref="IR117:IR120"/>
    <mergeCell ref="CQ76:CR77"/>
    <mergeCell ref="CT68:CV69"/>
    <mergeCell ref="CN71:CO71"/>
    <mergeCell ref="CP71:CS71"/>
    <mergeCell ref="BY72:CK73"/>
    <mergeCell ref="CP72:CP73"/>
    <mergeCell ref="CN75:CO75"/>
    <mergeCell ref="CN68:CO69"/>
    <mergeCell ref="CR100:CS101"/>
    <mergeCell ref="BX129:BX131"/>
    <mergeCell ref="CJ129:CK129"/>
    <mergeCell ref="CL129:CM129"/>
    <mergeCell ref="CN129:CO129"/>
    <mergeCell ref="CP129:CS129"/>
    <mergeCell ref="CP130:CP131"/>
    <mergeCell ref="CQ130:CR131"/>
    <mergeCell ref="CS130:CS131"/>
    <mergeCell ref="CL130:CM131"/>
    <mergeCell ref="CQ109:CR109"/>
    <mergeCell ref="CS109:CV109"/>
    <mergeCell ref="CB110:CN111"/>
    <mergeCell ref="CS110:CS111"/>
    <mergeCell ref="CV110:CV111"/>
    <mergeCell ref="BX125:BX127"/>
    <mergeCell ref="CL125:CM125"/>
    <mergeCell ref="CN125:CO125"/>
    <mergeCell ref="BY126:CK127"/>
    <mergeCell ref="CP126:CP127"/>
    <mergeCell ref="CT126:CT127"/>
    <mergeCell ref="CT129:CW129"/>
    <mergeCell ref="BY129:BZ129"/>
    <mergeCell ref="BY125:BZ125"/>
    <mergeCell ref="CO110:CP111"/>
    <mergeCell ref="CJ125:CK125"/>
    <mergeCell ref="CB117:CC117"/>
    <mergeCell ref="CQ117:CR117"/>
    <mergeCell ref="CS117:CV117"/>
    <mergeCell ref="CS55:CV55"/>
    <mergeCell ref="CS72:CS73"/>
    <mergeCell ref="ER71:ER72"/>
    <mergeCell ref="EL70:EM70"/>
    <mergeCell ref="CS76:CS77"/>
    <mergeCell ref="EW70:FC70"/>
    <mergeCell ref="CP67:CS67"/>
    <mergeCell ref="HA55:HD55"/>
    <mergeCell ref="GK59:GL59"/>
    <mergeCell ref="GN59:GO59"/>
    <mergeCell ref="GX60:GX61"/>
    <mergeCell ref="GM48:GS49"/>
    <mergeCell ref="GR59:GS59"/>
    <mergeCell ref="GF55:GH57"/>
    <mergeCell ref="GV60:GW61"/>
    <mergeCell ref="HA56:HA57"/>
    <mergeCell ref="HB48:HF49"/>
    <mergeCell ref="GY44:GZ45"/>
    <mergeCell ref="HA43:HD43"/>
    <mergeCell ref="GY72:GZ72"/>
    <mergeCell ref="HB73:HD74"/>
    <mergeCell ref="EB51:EC51"/>
    <mergeCell ref="EC36:EC38"/>
    <mergeCell ref="EB49:EC49"/>
    <mergeCell ref="EB50:EC50"/>
    <mergeCell ref="EU53:EX53"/>
    <mergeCell ref="GY40:GZ41"/>
    <mergeCell ref="GT60:GU61"/>
    <mergeCell ref="GY43:GZ43"/>
    <mergeCell ref="HB56:HC57"/>
    <mergeCell ref="HA64:HD64"/>
    <mergeCell ref="GY52:GZ53"/>
    <mergeCell ref="HA52:HA53"/>
    <mergeCell ref="EV62:EV63"/>
    <mergeCell ref="GU43:GV43"/>
    <mergeCell ref="GU39:GV39"/>
    <mergeCell ref="GV36:GW37"/>
    <mergeCell ref="GX36:GX37"/>
    <mergeCell ref="EC73:ED73"/>
    <mergeCell ref="EN71:EO72"/>
    <mergeCell ref="EP71:EQ72"/>
    <mergeCell ref="EQ67:ER68"/>
    <mergeCell ref="EV71:EV72"/>
    <mergeCell ref="EV76:EX77"/>
    <mergeCell ref="EY76:EY77"/>
    <mergeCell ref="ER70:EV70"/>
    <mergeCell ref="ES76:ET77"/>
    <mergeCell ref="CQ68:CR69"/>
    <mergeCell ref="EV67:EX68"/>
    <mergeCell ref="EO66:EP66"/>
    <mergeCell ref="EQ66:ER66"/>
    <mergeCell ref="EQ54:ER55"/>
    <mergeCell ref="EQ57:ER57"/>
    <mergeCell ref="GG59:GH59"/>
    <mergeCell ref="GU68:GV68"/>
    <mergeCell ref="GJ64:GK64"/>
    <mergeCell ref="DZ75:EB77"/>
    <mergeCell ref="EO75:EP75"/>
    <mergeCell ref="AZ62:BA63"/>
    <mergeCell ref="BD62:BD63"/>
    <mergeCell ref="BD57:BG57"/>
    <mergeCell ref="BB53:BC53"/>
    <mergeCell ref="BB54:BC55"/>
    <mergeCell ref="GW55:GX55"/>
    <mergeCell ref="GF51:GF53"/>
    <mergeCell ref="GH52:GI52"/>
    <mergeCell ref="AY42:AZ43"/>
    <mergeCell ref="BD50:BD51"/>
    <mergeCell ref="BD53:BG53"/>
    <mergeCell ref="BG58:BG59"/>
    <mergeCell ref="BD49:BG49"/>
    <mergeCell ref="BB58:BC59"/>
    <mergeCell ref="BB49:BC49"/>
    <mergeCell ref="AX57:AY57"/>
    <mergeCell ref="AZ57:BA57"/>
    <mergeCell ref="BD61:BG61"/>
    <mergeCell ref="BB46:BC47"/>
    <mergeCell ref="BB57:BC57"/>
    <mergeCell ref="AM58:AY59"/>
    <mergeCell ref="BE58:BF59"/>
    <mergeCell ref="CN35:CO35"/>
    <mergeCell ref="CM43:CN43"/>
    <mergeCell ref="CC39:CD39"/>
    <mergeCell ref="CC35:CD35"/>
    <mergeCell ref="EB34:EC34"/>
    <mergeCell ref="EE32:EF32"/>
    <mergeCell ref="EC62:ED62"/>
    <mergeCell ref="EE62:EM64"/>
    <mergeCell ref="EC64:ED64"/>
    <mergeCell ref="ER45:ES46"/>
    <mergeCell ref="EO57:EP57"/>
    <mergeCell ref="GK51:GL51"/>
    <mergeCell ref="GJ44:GV45"/>
    <mergeCell ref="GU55:GV55"/>
    <mergeCell ref="EV54:EW55"/>
    <mergeCell ref="GF43:GH45"/>
    <mergeCell ref="CP36:CP37"/>
    <mergeCell ref="CP52:CP53"/>
    <mergeCell ref="GW43:GX43"/>
    <mergeCell ref="EQ58:ER59"/>
    <mergeCell ref="ER62:ER63"/>
    <mergeCell ref="GV59:GW59"/>
    <mergeCell ref="CQ56:CR57"/>
    <mergeCell ref="CT56:CU57"/>
    <mergeCell ref="CV56:CV57"/>
    <mergeCell ref="EE61:EF61"/>
    <mergeCell ref="EH61:EI61"/>
    <mergeCell ref="BG62:BG63"/>
    <mergeCell ref="GR35:GS35"/>
    <mergeCell ref="GT35:GU35"/>
    <mergeCell ref="GV35:GW35"/>
    <mergeCell ref="EP32:EQ32"/>
    <mergeCell ref="CP35:CT35"/>
    <mergeCell ref="BX51:BX53"/>
    <mergeCell ref="EA32:EB32"/>
    <mergeCell ref="EB33:EC33"/>
    <mergeCell ref="ES54:ET55"/>
    <mergeCell ref="EU57:EX57"/>
    <mergeCell ref="EV58:EW59"/>
    <mergeCell ref="EW61:FJ61"/>
    <mergeCell ref="EA64:EB64"/>
    <mergeCell ref="GX48:GX49"/>
    <mergeCell ref="AW89:AX89"/>
    <mergeCell ref="AM86:AY87"/>
    <mergeCell ref="BB69:BC71"/>
    <mergeCell ref="BE69:BF70"/>
    <mergeCell ref="BG69:BG70"/>
    <mergeCell ref="CQ55:CR55"/>
    <mergeCell ref="EP49:EQ50"/>
    <mergeCell ref="GI43:GI45"/>
    <mergeCell ref="DZ53:EB55"/>
    <mergeCell ref="CQ36:CS37"/>
    <mergeCell ref="ES36:ET36"/>
    <mergeCell ref="CP39:CS39"/>
    <mergeCell ref="ER41:ES42"/>
    <mergeCell ref="BX47:BX49"/>
    <mergeCell ref="BE89:BG89"/>
    <mergeCell ref="BB73:BE73"/>
    <mergeCell ref="AK74:AW75"/>
    <mergeCell ref="BE74:BE75"/>
    <mergeCell ref="AY81:AZ81"/>
    <mergeCell ref="AY78:BA79"/>
    <mergeCell ref="AY77:BA77"/>
    <mergeCell ref="AK73:AL73"/>
    <mergeCell ref="BX79:BZ81"/>
    <mergeCell ref="BY83:BZ83"/>
    <mergeCell ref="BG54:BG55"/>
    <mergeCell ref="AY38:AZ39"/>
    <mergeCell ref="BG46:BG47"/>
    <mergeCell ref="AI85:AK87"/>
    <mergeCell ref="BX63:BZ65"/>
    <mergeCell ref="AM57:AN57"/>
    <mergeCell ref="BB50:BC51"/>
    <mergeCell ref="AM85:AN85"/>
    <mergeCell ref="BE54:BF55"/>
    <mergeCell ref="AL61:AL63"/>
    <mergeCell ref="AM61:AN61"/>
    <mergeCell ref="BY48:CK49"/>
    <mergeCell ref="AU41:AV41"/>
    <mergeCell ref="BE82:BE83"/>
    <mergeCell ref="CB44:CN45"/>
    <mergeCell ref="AM50:AY51"/>
    <mergeCell ref="BD45:BG45"/>
    <mergeCell ref="AU37:AV37"/>
    <mergeCell ref="AX61:AY61"/>
    <mergeCell ref="AZ61:BA61"/>
    <mergeCell ref="AJ37:AK37"/>
    <mergeCell ref="AY37:AZ37"/>
    <mergeCell ref="ET44:EU44"/>
    <mergeCell ref="EN51:EV51"/>
    <mergeCell ref="EV45:EV46"/>
    <mergeCell ref="GF39:GH41"/>
    <mergeCell ref="GI64:GI66"/>
    <mergeCell ref="DC81:DD81"/>
    <mergeCell ref="CP68:CP69"/>
    <mergeCell ref="EC72:ED72"/>
    <mergeCell ref="EN70:EO70"/>
    <mergeCell ref="ES53:ET53"/>
    <mergeCell ref="ER82:ER83"/>
    <mergeCell ref="CP60:CP61"/>
    <mergeCell ref="CQ60:CR61"/>
    <mergeCell ref="CT60:CW61"/>
    <mergeCell ref="EL81:EM81"/>
    <mergeCell ref="AM68:AN68"/>
    <mergeCell ref="CL84:CM85"/>
    <mergeCell ref="BZ68:CA68"/>
    <mergeCell ref="DO5:DU5"/>
    <mergeCell ref="DO6:DU6"/>
    <mergeCell ref="BK12:BL13"/>
    <mergeCell ref="BX3:BX4"/>
    <mergeCell ref="BM3:BS3"/>
    <mergeCell ref="BM4:BS4"/>
    <mergeCell ref="BM5:BS5"/>
    <mergeCell ref="ES15:ET15"/>
    <mergeCell ref="CQ24:CR25"/>
    <mergeCell ref="ES24:ET25"/>
    <mergeCell ref="DZ23:EB25"/>
    <mergeCell ref="CP24:CP25"/>
    <mergeCell ref="CM11:CN11"/>
    <mergeCell ref="CL23:CM23"/>
    <mergeCell ref="BY24:CK25"/>
    <mergeCell ref="EQ19:ER19"/>
    <mergeCell ref="EQ12:ER13"/>
    <mergeCell ref="CO12:CP13"/>
    <mergeCell ref="CQ12:CR13"/>
    <mergeCell ref="CS15:CV15"/>
    <mergeCell ref="CP20:CP21"/>
    <mergeCell ref="CB16:CN17"/>
    <mergeCell ref="BY23:BZ23"/>
    <mergeCell ref="EC15:EC17"/>
    <mergeCell ref="EO15:EP15"/>
    <mergeCell ref="EQ15:ER15"/>
    <mergeCell ref="EQ20:ER21"/>
    <mergeCell ref="EQ24:ER25"/>
    <mergeCell ref="EC19:EC21"/>
    <mergeCell ref="EO19:EP19"/>
    <mergeCell ref="CS11:CV11"/>
    <mergeCell ref="CS12:CS13"/>
    <mergeCell ref="CV12:CV13"/>
    <mergeCell ref="CS16:CS17"/>
    <mergeCell ref="BY20:CK21"/>
    <mergeCell ref="CN23:CO23"/>
    <mergeCell ref="CO11:CP11"/>
    <mergeCell ref="CL19:CM19"/>
    <mergeCell ref="CO15:CP15"/>
    <mergeCell ref="ED11:EE11"/>
    <mergeCell ref="CN20:CO21"/>
    <mergeCell ref="CN24:CO25"/>
    <mergeCell ref="DO4:DU4"/>
    <mergeCell ref="EB9:EC9"/>
    <mergeCell ref="EE9:EO9"/>
    <mergeCell ref="EO11:EP11"/>
    <mergeCell ref="ES11:ET11"/>
    <mergeCell ref="EQ16:ER17"/>
    <mergeCell ref="DO3:DU3"/>
    <mergeCell ref="CJ23:CK23"/>
    <mergeCell ref="EC23:EC25"/>
    <mergeCell ref="CT12:CU13"/>
    <mergeCell ref="DO7:DU7"/>
    <mergeCell ref="CF15:CG15"/>
    <mergeCell ref="CF11:CG11"/>
    <mergeCell ref="ED20:EP21"/>
    <mergeCell ref="CB11:CC11"/>
    <mergeCell ref="CA15:CA17"/>
    <mergeCell ref="CP19:CS19"/>
    <mergeCell ref="CB15:CC15"/>
    <mergeCell ref="CM15:CN15"/>
    <mergeCell ref="CB12:CN13"/>
    <mergeCell ref="BX19:BX21"/>
    <mergeCell ref="ES12:ET13"/>
    <mergeCell ref="BM2:BS2"/>
    <mergeCell ref="U7:W7"/>
    <mergeCell ref="CO32:CP33"/>
    <mergeCell ref="CN19:CO19"/>
    <mergeCell ref="CT20:CW21"/>
    <mergeCell ref="CS24:CS25"/>
    <mergeCell ref="CL24:CM25"/>
    <mergeCell ref="CL20:CM21"/>
    <mergeCell ref="CQ28:CR29"/>
    <mergeCell ref="CQ20:CR21"/>
    <mergeCell ref="CS20:CS21"/>
    <mergeCell ref="CM31:CN31"/>
    <mergeCell ref="CO31:CP31"/>
    <mergeCell ref="CQ31:CT31"/>
    <mergeCell ref="CO27:CP27"/>
    <mergeCell ref="CQ15:CR15"/>
    <mergeCell ref="CQ11:CR11"/>
    <mergeCell ref="CA27:CA29"/>
    <mergeCell ref="CT16:CU17"/>
    <mergeCell ref="CV16:CV17"/>
    <mergeCell ref="CQ16:CR17"/>
    <mergeCell ref="CT28:CU29"/>
    <mergeCell ref="CO16:CP17"/>
    <mergeCell ref="AP25:AQ25"/>
    <mergeCell ref="CA11:CA13"/>
    <mergeCell ref="AM20:AN20"/>
    <mergeCell ref="AX20:AY20"/>
    <mergeCell ref="AM21:AY22"/>
    <mergeCell ref="BJ26:BJ27"/>
    <mergeCell ref="CT19:CW19"/>
    <mergeCell ref="CP23:CS23"/>
    <mergeCell ref="CT23:CW23"/>
    <mergeCell ref="X4:AB4"/>
    <mergeCell ref="CQ27:CR27"/>
    <mergeCell ref="BZ31:CA31"/>
    <mergeCell ref="CQ32:CQ33"/>
    <mergeCell ref="AU3:AX3"/>
    <mergeCell ref="AV4:AW4"/>
    <mergeCell ref="AV5:AW5"/>
    <mergeCell ref="CV28:CV29"/>
    <mergeCell ref="CO28:CP29"/>
    <mergeCell ref="CK31:CL31"/>
    <mergeCell ref="BZ32:CL33"/>
    <mergeCell ref="CB27:CC27"/>
    <mergeCell ref="BX11:BZ13"/>
    <mergeCell ref="BX15:BZ17"/>
    <mergeCell ref="BM6:BS6"/>
    <mergeCell ref="AV6:AW6"/>
    <mergeCell ref="AV7:AW7"/>
    <mergeCell ref="AI20:AK22"/>
    <mergeCell ref="AS5:AT5"/>
    <mergeCell ref="AS6:AT6"/>
    <mergeCell ref="AS7:AT7"/>
    <mergeCell ref="AQ4:AR4"/>
    <mergeCell ref="AQ5:AR5"/>
    <mergeCell ref="AQ6:AR6"/>
    <mergeCell ref="CR32:CS33"/>
    <mergeCell ref="CT32:CT33"/>
    <mergeCell ref="AL2:AP2"/>
    <mergeCell ref="CC9:CD9"/>
    <mergeCell ref="CF9:CP9"/>
    <mergeCell ref="AW11:AX11"/>
    <mergeCell ref="AK9:AL9"/>
    <mergeCell ref="AN9:AX9"/>
    <mergeCell ref="CC19:CD19"/>
    <mergeCell ref="BZ69:CA69"/>
    <mergeCell ref="BA82:BA83"/>
    <mergeCell ref="BB82:BC83"/>
    <mergeCell ref="CO56:CP57"/>
    <mergeCell ref="BD21:BD22"/>
    <mergeCell ref="BC26:BD27"/>
    <mergeCell ref="BC25:BD25"/>
    <mergeCell ref="AJ33:AK33"/>
    <mergeCell ref="BA33:BD33"/>
    <mergeCell ref="AY33:AZ33"/>
    <mergeCell ref="AW37:AX37"/>
    <mergeCell ref="AW38:AX39"/>
    <mergeCell ref="BA42:BA43"/>
    <mergeCell ref="BE34:BH35"/>
    <mergeCell ref="BE33:BH33"/>
    <mergeCell ref="AW41:AX41"/>
    <mergeCell ref="BA41:BD41"/>
    <mergeCell ref="BB61:BC61"/>
    <mergeCell ref="AZ54:BA55"/>
    <mergeCell ref="BE21:BF22"/>
    <mergeCell ref="AL45:AL47"/>
    <mergeCell ref="CN48:CO49"/>
    <mergeCell ref="CN40:CO41"/>
    <mergeCell ref="CP47:CU47"/>
    <mergeCell ref="CL39:CM39"/>
    <mergeCell ref="CN39:CO39"/>
    <mergeCell ref="CQ48:CT49"/>
    <mergeCell ref="AX45:AY45"/>
    <mergeCell ref="CT51:CY51"/>
    <mergeCell ref="CJ83:CK83"/>
    <mergeCell ref="CL83:CM83"/>
    <mergeCell ref="CU36:CX37"/>
    <mergeCell ref="BY76:CK77"/>
    <mergeCell ref="BH82:BH83"/>
    <mergeCell ref="BE81:BH81"/>
    <mergeCell ref="BI81:BN81"/>
    <mergeCell ref="BB77:BE77"/>
    <mergeCell ref="AX68:AY68"/>
    <mergeCell ref="AZ68:BA68"/>
    <mergeCell ref="AX53:AY53"/>
    <mergeCell ref="AZ53:BA53"/>
    <mergeCell ref="CQ43:CR43"/>
    <mergeCell ref="BA34:BA35"/>
    <mergeCell ref="AJ41:AK41"/>
    <mergeCell ref="AZ46:BA47"/>
    <mergeCell ref="AM46:AY47"/>
    <mergeCell ref="BE50:BF51"/>
    <mergeCell ref="BY19:BZ19"/>
    <mergeCell ref="CJ19:CK19"/>
    <mergeCell ref="CJ39:CK39"/>
    <mergeCell ref="BE37:BH37"/>
    <mergeCell ref="BE38:BH39"/>
    <mergeCell ref="BB38:BC39"/>
    <mergeCell ref="BA37:BD37"/>
    <mergeCell ref="BD38:BD39"/>
    <mergeCell ref="CU35:CX35"/>
    <mergeCell ref="CQ40:CR41"/>
    <mergeCell ref="CT67:CV67"/>
    <mergeCell ref="CV44:CV45"/>
    <mergeCell ref="BB62:BC63"/>
    <mergeCell ref="BB42:BC43"/>
    <mergeCell ref="BD42:BD43"/>
    <mergeCell ref="AM62:AY63"/>
    <mergeCell ref="Q46:R46"/>
    <mergeCell ref="O51:P51"/>
    <mergeCell ref="Q51:R51"/>
    <mergeCell ref="AZ50:BA51"/>
    <mergeCell ref="D47:P48"/>
    <mergeCell ref="Q47:R48"/>
    <mergeCell ref="W49:Z49"/>
    <mergeCell ref="W47:AB47"/>
    <mergeCell ref="AZ58:BA59"/>
    <mergeCell ref="AL49:AL51"/>
    <mergeCell ref="AL57:AL59"/>
    <mergeCell ref="M50:R50"/>
    <mergeCell ref="M51:N51"/>
    <mergeCell ref="BA38:BA39"/>
    <mergeCell ref="AA49:AB49"/>
    <mergeCell ref="AC47:AD47"/>
    <mergeCell ref="O46:P46"/>
    <mergeCell ref="AW90:AX91"/>
    <mergeCell ref="BA90:BA91"/>
    <mergeCell ref="BB90:BC91"/>
    <mergeCell ref="BD90:BD91"/>
    <mergeCell ref="AY90:AZ91"/>
    <mergeCell ref="AZ45:BA45"/>
    <mergeCell ref="AJ73:AJ75"/>
    <mergeCell ref="AY82:AZ83"/>
    <mergeCell ref="AJ90:AV91"/>
    <mergeCell ref="AM53:AN53"/>
    <mergeCell ref="AL53:AL55"/>
    <mergeCell ref="AN41:AP41"/>
    <mergeCell ref="BB85:BC85"/>
    <mergeCell ref="AI73:AI75"/>
    <mergeCell ref="AI68:AK71"/>
    <mergeCell ref="AX74:AY75"/>
    <mergeCell ref="BB74:BB75"/>
    <mergeCell ref="BC74:BD75"/>
    <mergeCell ref="AI53:AK55"/>
    <mergeCell ref="AI49:AK51"/>
    <mergeCell ref="AL42:AM42"/>
    <mergeCell ref="AJ42:AK42"/>
    <mergeCell ref="AN42:AV43"/>
    <mergeCell ref="AJ43:AK43"/>
    <mergeCell ref="AL43:AM43"/>
    <mergeCell ref="AI45:AK47"/>
    <mergeCell ref="O44:R44"/>
    <mergeCell ref="O45:P45"/>
    <mergeCell ref="AI57:AK59"/>
    <mergeCell ref="AI61:AK63"/>
    <mergeCell ref="AM69:AY71"/>
    <mergeCell ref="BD85:BG85"/>
    <mergeCell ref="BE41:BI41"/>
    <mergeCell ref="BE42:BI43"/>
    <mergeCell ref="AI41:AI43"/>
    <mergeCell ref="AI37:AI39"/>
    <mergeCell ref="BD54:BD55"/>
    <mergeCell ref="AJ81:AK81"/>
    <mergeCell ref="AU81:AV81"/>
    <mergeCell ref="AW81:AX81"/>
    <mergeCell ref="BA81:BD81"/>
    <mergeCell ref="AJ82:AV83"/>
    <mergeCell ref="AW82:AX83"/>
    <mergeCell ref="BD58:BD59"/>
    <mergeCell ref="BE62:BF63"/>
    <mergeCell ref="AY41:AZ41"/>
    <mergeCell ref="AW42:AX43"/>
    <mergeCell ref="AI33:AI35"/>
    <mergeCell ref="N10:Q10"/>
    <mergeCell ref="X18:Y18"/>
    <mergeCell ref="X19:Y19"/>
    <mergeCell ref="X20:Y20"/>
    <mergeCell ref="E19:R19"/>
    <mergeCell ref="BE25:BF25"/>
    <mergeCell ref="BB29:BC29"/>
    <mergeCell ref="AL29:AL31"/>
    <mergeCell ref="BE11:BG11"/>
    <mergeCell ref="BE12:BG13"/>
    <mergeCell ref="AJ15:AK15"/>
    <mergeCell ref="AU15:AV15"/>
    <mergeCell ref="AJ16:AV17"/>
    <mergeCell ref="Z20:AA20"/>
    <mergeCell ref="Z18:AA18"/>
    <mergeCell ref="Z19:AA19"/>
    <mergeCell ref="AJ11:AK11"/>
    <mergeCell ref="BB21:BC22"/>
    <mergeCell ref="AL20:AL22"/>
    <mergeCell ref="AI25:AK27"/>
    <mergeCell ref="AO25:AO27"/>
    <mergeCell ref="AL25:AN27"/>
    <mergeCell ref="BA25:BB25"/>
    <mergeCell ref="AZ21:BA22"/>
    <mergeCell ref="BG21:BG22"/>
    <mergeCell ref="BG25:BJ25"/>
    <mergeCell ref="BD30:BD31"/>
    <mergeCell ref="BG30:BG31"/>
    <mergeCell ref="BE30:BF31"/>
    <mergeCell ref="AX24:AY24"/>
    <mergeCell ref="AJ34:AV35"/>
    <mergeCell ref="AW34:AX35"/>
    <mergeCell ref="AU33:AV33"/>
    <mergeCell ref="AW33:AX33"/>
    <mergeCell ref="AL19:AW19"/>
    <mergeCell ref="AL24:AW24"/>
    <mergeCell ref="E20:S20"/>
    <mergeCell ref="E21:S21"/>
    <mergeCell ref="E22:S22"/>
    <mergeCell ref="E23:S23"/>
    <mergeCell ref="E24:S24"/>
    <mergeCell ref="E25:S25"/>
    <mergeCell ref="D4:J4"/>
    <mergeCell ref="BD16:BD17"/>
    <mergeCell ref="AI29:AK31"/>
    <mergeCell ref="BD20:BG20"/>
    <mergeCell ref="AJ12:AV13"/>
    <mergeCell ref="D5:J5"/>
    <mergeCell ref="D6:J6"/>
    <mergeCell ref="AZ20:BA20"/>
    <mergeCell ref="AW15:AX15"/>
    <mergeCell ref="BA15:BD15"/>
    <mergeCell ref="BB16:BC17"/>
    <mergeCell ref="BA16:BA17"/>
    <mergeCell ref="AI11:AI13"/>
    <mergeCell ref="AI15:AI17"/>
    <mergeCell ref="BA11:BD11"/>
    <mergeCell ref="BB12:BC13"/>
    <mergeCell ref="BD12:BD13"/>
    <mergeCell ref="BA12:BA13"/>
    <mergeCell ref="BE26:BF27"/>
    <mergeCell ref="D7:J7"/>
    <mergeCell ref="BD29:BG29"/>
    <mergeCell ref="BG26:BG27"/>
    <mergeCell ref="BH26:BI27"/>
    <mergeCell ref="BB30:BC31"/>
    <mergeCell ref="AZ30:BA31"/>
    <mergeCell ref="AM30:AY31"/>
    <mergeCell ref="AX19:AY19"/>
    <mergeCell ref="AK4:AP4"/>
    <mergeCell ref="AK5:AP5"/>
    <mergeCell ref="AK6:AP6"/>
    <mergeCell ref="AK7:AP7"/>
    <mergeCell ref="AS4:AT4"/>
    <mergeCell ref="AQ7:AR7"/>
    <mergeCell ref="AW12:AX13"/>
    <mergeCell ref="AM29:AN29"/>
    <mergeCell ref="AX29:AY29"/>
    <mergeCell ref="AZ29:BA29"/>
    <mergeCell ref="AY16:AZ17"/>
    <mergeCell ref="AU11:AV11"/>
    <mergeCell ref="AW16:AX17"/>
    <mergeCell ref="BB20:BC20"/>
    <mergeCell ref="AY11:AZ11"/>
    <mergeCell ref="AY12:AZ13"/>
    <mergeCell ref="AY15:AZ15"/>
    <mergeCell ref="Q15:R15"/>
    <mergeCell ref="Q45:R45"/>
    <mergeCell ref="CM27:CN27"/>
    <mergeCell ref="CS27:CV27"/>
    <mergeCell ref="BF82:BG83"/>
    <mergeCell ref="CM32:CN33"/>
    <mergeCell ref="ED45:ED46"/>
    <mergeCell ref="CQ44:CR45"/>
    <mergeCell ref="CT24:CW25"/>
    <mergeCell ref="ES37:ET38"/>
    <mergeCell ref="ET41:EU42"/>
    <mergeCell ref="BY31:BY33"/>
    <mergeCell ref="EE27:EF27"/>
    <mergeCell ref="ER27:EU27"/>
    <mergeCell ref="CB28:CN29"/>
    <mergeCell ref="CN47:CO47"/>
    <mergeCell ref="CO43:CP43"/>
    <mergeCell ref="AP26:BB27"/>
    <mergeCell ref="AM54:AY55"/>
    <mergeCell ref="AZ49:BA49"/>
    <mergeCell ref="CS44:CS45"/>
    <mergeCell ref="CS56:CS57"/>
    <mergeCell ref="CT36:CT37"/>
    <mergeCell ref="BY52:CK53"/>
    <mergeCell ref="BE46:BF47"/>
    <mergeCell ref="CS28:CS29"/>
    <mergeCell ref="EO53:EP53"/>
    <mergeCell ref="ER28:ER29"/>
    <mergeCell ref="CV47:CY47"/>
    <mergeCell ref="EN32:EO32"/>
    <mergeCell ref="EE33:EF33"/>
    <mergeCell ref="EG33:EM34"/>
    <mergeCell ref="EN33:EO34"/>
    <mergeCell ref="EL32:EM32"/>
    <mergeCell ref="ED34:EF34"/>
    <mergeCell ref="EG28:EM30"/>
    <mergeCell ref="EB30:EC30"/>
    <mergeCell ref="EN30:EU30"/>
    <mergeCell ref="DZ27:DZ30"/>
    <mergeCell ref="EA27:EB27"/>
    <mergeCell ref="EL48:EM48"/>
    <mergeCell ref="EN48:EO48"/>
    <mergeCell ref="CL40:CM41"/>
    <mergeCell ref="BX39:BX41"/>
    <mergeCell ref="BY39:BZ39"/>
    <mergeCell ref="CT39:CW39"/>
    <mergeCell ref="BY36:CK37"/>
    <mergeCell ref="CP48:CP49"/>
    <mergeCell ref="CU48:CU49"/>
    <mergeCell ref="BX23:BX25"/>
    <mergeCell ref="DZ57:EB59"/>
    <mergeCell ref="EU54:EU55"/>
    <mergeCell ref="EE28:EF28"/>
    <mergeCell ref="ED66:EE66"/>
    <mergeCell ref="AJ78:AV79"/>
    <mergeCell ref="EE29:EF29"/>
    <mergeCell ref="BX31:BX33"/>
    <mergeCell ref="EP48:EQ48"/>
    <mergeCell ref="BD34:BD35"/>
    <mergeCell ref="BB34:BC35"/>
    <mergeCell ref="AM45:AN45"/>
    <mergeCell ref="AJ38:AV39"/>
    <mergeCell ref="AY34:AZ35"/>
    <mergeCell ref="AM49:AN49"/>
    <mergeCell ref="BD46:BD47"/>
    <mergeCell ref="BX95:BX97"/>
    <mergeCell ref="CT96:CT97"/>
    <mergeCell ref="BY91:BZ91"/>
    <mergeCell ref="CU96:CX97"/>
    <mergeCell ref="CP92:CP93"/>
    <mergeCell ref="CO80:CP81"/>
    <mergeCell ref="CT80:CU81"/>
    <mergeCell ref="CN84:CO85"/>
    <mergeCell ref="CP51:CS51"/>
    <mergeCell ref="CJ51:CK51"/>
    <mergeCell ref="CL51:CM51"/>
    <mergeCell ref="CN51:CO51"/>
    <mergeCell ref="CS79:CV79"/>
    <mergeCell ref="CS80:CS81"/>
    <mergeCell ref="CV80:CV81"/>
    <mergeCell ref="CQ80:CR81"/>
    <mergeCell ref="CN76:CO77"/>
    <mergeCell ref="CT71:CW71"/>
    <mergeCell ref="CM63:CN63"/>
    <mergeCell ref="CN52:CO53"/>
    <mergeCell ref="CN60:CO61"/>
    <mergeCell ref="CS60:CS61"/>
    <mergeCell ref="CU104:CU105"/>
    <mergeCell ref="CA79:CA81"/>
    <mergeCell ref="CB79:CC79"/>
    <mergeCell ref="CM79:CN79"/>
    <mergeCell ref="ES115:ET116"/>
    <mergeCell ref="CZ103:DC103"/>
    <mergeCell ref="EL98:EM98"/>
    <mergeCell ref="EN98:EO98"/>
    <mergeCell ref="EP98:EQ98"/>
    <mergeCell ref="EP91:EQ92"/>
    <mergeCell ref="EN99:EO100"/>
    <mergeCell ref="CT92:CV93"/>
    <mergeCell ref="BY103:BZ103"/>
    <mergeCell ref="BY95:BZ95"/>
    <mergeCell ref="CP103:CT103"/>
    <mergeCell ref="CA99:CA101"/>
    <mergeCell ref="CM99:CN99"/>
    <mergeCell ref="CR99:CS99"/>
    <mergeCell ref="CT99:CW99"/>
    <mergeCell ref="CB100:CN101"/>
    <mergeCell ref="CT100:CT101"/>
    <mergeCell ref="CU100:CV101"/>
    <mergeCell ref="CW100:CW101"/>
    <mergeCell ref="CL92:CM93"/>
    <mergeCell ref="DZ99:DZ100"/>
    <mergeCell ref="DZ91:DZ92"/>
    <mergeCell ref="CS92:CS93"/>
    <mergeCell ref="CT91:CV91"/>
    <mergeCell ref="CT87:CX87"/>
    <mergeCell ref="CL95:CN95"/>
    <mergeCell ref="CU103:CY103"/>
    <mergeCell ref="CT88:CX89"/>
    <mergeCell ref="CP104:CP105"/>
    <mergeCell ref="CJ95:CK95"/>
    <mergeCell ref="CQ95:CT95"/>
    <mergeCell ref="EO102:EP102"/>
    <mergeCell ref="EL106:EM106"/>
    <mergeCell ref="DZ82:DZ84"/>
    <mergeCell ref="CP75:CS75"/>
    <mergeCell ref="CN104:CO105"/>
    <mergeCell ref="CA109:CA111"/>
    <mergeCell ref="CQ110:CR111"/>
    <mergeCell ref="BX117:BZ119"/>
    <mergeCell ref="CO118:CP119"/>
    <mergeCell ref="CQ118:CR119"/>
    <mergeCell ref="CS118:CS119"/>
    <mergeCell ref="CT118:CU119"/>
    <mergeCell ref="CV118:CV119"/>
    <mergeCell ref="CB109:CC109"/>
    <mergeCell ref="CQ122:CR123"/>
    <mergeCell ref="CM109:CN109"/>
    <mergeCell ref="CS121:CV121"/>
    <mergeCell ref="CO114:CP115"/>
    <mergeCell ref="CQ114:CR115"/>
    <mergeCell ref="CB113:CC113"/>
    <mergeCell ref="CM113:CN113"/>
    <mergeCell ref="CO113:CP113"/>
    <mergeCell ref="CQ113:CR113"/>
    <mergeCell ref="CT110:CU111"/>
    <mergeCell ref="CM121:CN121"/>
    <mergeCell ref="CS114:CS115"/>
    <mergeCell ref="ER106:EV106"/>
    <mergeCell ref="ES107:EU108"/>
    <mergeCell ref="EV107:EV108"/>
    <mergeCell ref="BX113:BZ115"/>
    <mergeCell ref="CQ104:CS105"/>
    <mergeCell ref="DZ118:DZ120"/>
    <mergeCell ref="CT104:CT105"/>
    <mergeCell ref="CL104:CM105"/>
    <mergeCell ref="BX121:BZ123"/>
    <mergeCell ref="CZ104:DC105"/>
    <mergeCell ref="CA118:CA119"/>
    <mergeCell ref="CA114:CA115"/>
    <mergeCell ref="EA123:EM124"/>
    <mergeCell ref="EP111:EQ112"/>
    <mergeCell ref="ER111:ER112"/>
    <mergeCell ref="ES111:ET112"/>
    <mergeCell ref="EU111:EU112"/>
    <mergeCell ref="CB114:CN115"/>
    <mergeCell ref="CO121:CP121"/>
    <mergeCell ref="EL118:EM118"/>
    <mergeCell ref="CM117:CN117"/>
    <mergeCell ref="CO117:CP117"/>
    <mergeCell ref="BX109:BZ111"/>
    <mergeCell ref="DZ107:DZ108"/>
    <mergeCell ref="EP106:EQ106"/>
    <mergeCell ref="EN123:EO124"/>
    <mergeCell ref="BX103:BX105"/>
    <mergeCell ref="CJ103:CK103"/>
    <mergeCell ref="CL103:CM103"/>
    <mergeCell ref="CN103:CO103"/>
    <mergeCell ref="CB118:CN119"/>
    <mergeCell ref="EV123:FB124"/>
    <mergeCell ref="EA111:EM112"/>
    <mergeCell ref="DZ114:EB116"/>
    <mergeCell ref="EV118:FB118"/>
    <mergeCell ref="EV119:FB120"/>
    <mergeCell ref="DZ102:EB104"/>
    <mergeCell ref="EU119:EU120"/>
    <mergeCell ref="EP122:EQ122"/>
    <mergeCell ref="ER122:EU122"/>
    <mergeCell ref="EX115:EX116"/>
    <mergeCell ref="CB121:CC121"/>
    <mergeCell ref="CA121:CA123"/>
    <mergeCell ref="ES119:ET120"/>
    <mergeCell ref="ER123:ER124"/>
    <mergeCell ref="EB28:EC28"/>
    <mergeCell ref="EU36:EX36"/>
    <mergeCell ref="EO36:EP36"/>
    <mergeCell ref="EQ36:ER36"/>
    <mergeCell ref="EX37:EX38"/>
    <mergeCell ref="ER48:EV48"/>
    <mergeCell ref="EW45:EY46"/>
    <mergeCell ref="EN28:EO29"/>
    <mergeCell ref="ED30:EF30"/>
    <mergeCell ref="DZ33:DZ34"/>
    <mergeCell ref="GH37:GI37"/>
    <mergeCell ref="GJ36:GS37"/>
    <mergeCell ref="EN81:EO81"/>
    <mergeCell ref="GF16:GF17"/>
    <mergeCell ref="EL27:EM27"/>
    <mergeCell ref="DZ15:EB17"/>
    <mergeCell ref="EP40:EQ40"/>
    <mergeCell ref="ER32:EU32"/>
    <mergeCell ref="ER33:ER34"/>
    <mergeCell ref="ES33:ET34"/>
    <mergeCell ref="ED24:EP25"/>
    <mergeCell ref="EU33:EU34"/>
    <mergeCell ref="EV40:EZ40"/>
    <mergeCell ref="EU16:EU17"/>
    <mergeCell ref="GT59:GU59"/>
    <mergeCell ref="ED16:EP17"/>
    <mergeCell ref="ED37:EP38"/>
    <mergeCell ref="EE41:EQ42"/>
    <mergeCell ref="EE45:EQ46"/>
    <mergeCell ref="HB47:HF47"/>
    <mergeCell ref="ED49:EM51"/>
    <mergeCell ref="GT48:GU49"/>
    <mergeCell ref="GV48:GW49"/>
    <mergeCell ref="EU67:EU68"/>
    <mergeCell ref="ES49:EU50"/>
    <mergeCell ref="GY36:GZ37"/>
    <mergeCell ref="HA39:HD39"/>
    <mergeCell ref="HB44:HC45"/>
    <mergeCell ref="HD44:HD45"/>
    <mergeCell ref="EO23:EP23"/>
    <mergeCell ref="EQ23:ER23"/>
    <mergeCell ref="EP28:EQ29"/>
    <mergeCell ref="EW62:FJ64"/>
    <mergeCell ref="GY68:GZ68"/>
    <mergeCell ref="GG35:GH35"/>
    <mergeCell ref="EQ11:ER11"/>
    <mergeCell ref="ES19:ET19"/>
    <mergeCell ref="EU19:EX19"/>
    <mergeCell ref="EU20:EU21"/>
    <mergeCell ref="EV20:EW21"/>
    <mergeCell ref="EX20:EX21"/>
    <mergeCell ref="ES23:ET23"/>
    <mergeCell ref="EU23:EX23"/>
    <mergeCell ref="XA197:XB197"/>
    <mergeCell ref="XC197:XD197"/>
    <mergeCell ref="XE197:XF197"/>
    <mergeCell ref="XG197:XJ197"/>
    <mergeCell ref="EA63:EB63"/>
    <mergeCell ref="EA61:EB61"/>
    <mergeCell ref="EA48:EB48"/>
    <mergeCell ref="EQ53:ER53"/>
    <mergeCell ref="ES57:ET57"/>
    <mergeCell ref="ED12:EP13"/>
    <mergeCell ref="ES62:EU63"/>
    <mergeCell ref="EW49:FD51"/>
    <mergeCell ref="EN62:EO64"/>
    <mergeCell ref="ED54:EP55"/>
    <mergeCell ref="EN61:EO61"/>
    <mergeCell ref="EP61:EQ61"/>
    <mergeCell ref="ER64:EV64"/>
    <mergeCell ref="ER61:EV61"/>
    <mergeCell ref="ES58:ET59"/>
    <mergeCell ref="EU58:EU59"/>
    <mergeCell ref="EU24:EU25"/>
    <mergeCell ref="EV24:EW25"/>
    <mergeCell ref="EA40:EC42"/>
    <mergeCell ref="EP27:EQ27"/>
    <mergeCell ref="EQ37:ER38"/>
    <mergeCell ref="ER49:ER50"/>
    <mergeCell ref="EP44:EQ44"/>
    <mergeCell ref="ED41:ED42"/>
    <mergeCell ref="DZ49:DZ51"/>
    <mergeCell ref="DZ11:EB13"/>
    <mergeCell ref="DZ19:EB21"/>
    <mergeCell ref="EC11:EC13"/>
    <mergeCell ref="EN27:EO27"/>
    <mergeCell ref="EA44:EC46"/>
    <mergeCell ref="EU115:EU116"/>
    <mergeCell ref="EP110:EQ110"/>
    <mergeCell ref="EO114:EP114"/>
    <mergeCell ref="GF28:GF29"/>
    <mergeCell ref="FW29:FX30"/>
    <mergeCell ref="GA29:GA30"/>
    <mergeCell ref="FF28:FH30"/>
    <mergeCell ref="DZ36:EB38"/>
    <mergeCell ref="EV99:EV100"/>
    <mergeCell ref="GG51:GH51"/>
    <mergeCell ref="GG31:GH31"/>
    <mergeCell ref="GH32:GI32"/>
    <mergeCell ref="GH33:GI33"/>
    <mergeCell ref="JM58:JM59"/>
    <mergeCell ref="JH65:JI65"/>
    <mergeCell ref="JM47:JM48"/>
    <mergeCell ref="EN49:EO50"/>
    <mergeCell ref="ET40:EU40"/>
    <mergeCell ref="EV41:EV42"/>
    <mergeCell ref="ES28:ET29"/>
    <mergeCell ref="EU28:EU29"/>
    <mergeCell ref="EB29:EC29"/>
    <mergeCell ref="EZ45:EZ46"/>
    <mergeCell ref="GX51:HA51"/>
    <mergeCell ref="GX52:GX53"/>
    <mergeCell ref="HA40:HA41"/>
    <mergeCell ref="ES123:ET124"/>
    <mergeCell ref="EU123:EU124"/>
    <mergeCell ref="EU86:EY86"/>
    <mergeCell ref="ER99:ER100"/>
    <mergeCell ref="GF81:GF82"/>
    <mergeCell ref="FY28:FZ28"/>
    <mergeCell ref="GI73:GI74"/>
    <mergeCell ref="GH48:GI48"/>
    <mergeCell ref="GJ73:GV74"/>
    <mergeCell ref="GY64:GZ64"/>
    <mergeCell ref="JH83:JI84"/>
    <mergeCell ref="GF20:GF21"/>
    <mergeCell ref="EU94:EY94"/>
    <mergeCell ref="FU28:FV28"/>
    <mergeCell ref="HB51:HF51"/>
    <mergeCell ref="EU15:EX15"/>
    <mergeCell ref="EC63:ED63"/>
    <mergeCell ref="ED36:EE36"/>
    <mergeCell ref="ED23:EE23"/>
    <mergeCell ref="ED53:EE53"/>
    <mergeCell ref="ED57:EE57"/>
    <mergeCell ref="EE40:EF40"/>
    <mergeCell ref="EE44:EF44"/>
    <mergeCell ref="EX58:EX59"/>
    <mergeCell ref="ET45:EU46"/>
    <mergeCell ref="ER44:ES44"/>
    <mergeCell ref="EP33:EQ34"/>
    <mergeCell ref="EL61:EM61"/>
    <mergeCell ref="EP62:EQ64"/>
    <mergeCell ref="GY65:GZ66"/>
    <mergeCell ref="HB52:HF53"/>
    <mergeCell ref="IF95:IG95"/>
    <mergeCell ref="JD65:JE65"/>
    <mergeCell ref="EV28:FA30"/>
    <mergeCell ref="EV49:EV50"/>
    <mergeCell ref="EL90:EM90"/>
    <mergeCell ref="ED87:EP88"/>
    <mergeCell ref="EV33:EZ34"/>
    <mergeCell ref="EV32:EZ32"/>
    <mergeCell ref="ES16:ET17"/>
    <mergeCell ref="ES20:ET21"/>
    <mergeCell ref="HC89:HJ89"/>
    <mergeCell ref="IH87:II87"/>
    <mergeCell ref="GX85:GX86"/>
    <mergeCell ref="EV91:EV92"/>
    <mergeCell ref="GU64:GV64"/>
    <mergeCell ref="GT32:GU33"/>
    <mergeCell ref="IX21:IY21"/>
    <mergeCell ref="IV24:IY24"/>
    <mergeCell ref="JF24:JM24"/>
    <mergeCell ref="JM22:JM23"/>
    <mergeCell ref="JF30:JG30"/>
    <mergeCell ref="GH29:GI29"/>
    <mergeCell ref="GG20:GS21"/>
    <mergeCell ref="GF32:GF33"/>
    <mergeCell ref="GB29:GC30"/>
    <mergeCell ref="GT36:GU37"/>
    <mergeCell ref="GG84:GH84"/>
    <mergeCell ref="GX59:HB59"/>
    <mergeCell ref="GY60:HA61"/>
    <mergeCell ref="GY48:GZ49"/>
    <mergeCell ref="GI55:GI57"/>
    <mergeCell ref="GH49:GI49"/>
    <mergeCell ref="GH53:GI53"/>
    <mergeCell ref="GJ53:GL53"/>
    <mergeCell ref="HA20:HA21"/>
    <mergeCell ref="HO7:HS8"/>
    <mergeCell ref="GY12:GZ13"/>
    <mergeCell ref="GG16:GS17"/>
    <mergeCell ref="GT16:GU17"/>
    <mergeCell ref="GW11:GX11"/>
    <mergeCell ref="GY11:GZ11"/>
    <mergeCell ref="HA11:HD11"/>
    <mergeCell ref="HA12:HA13"/>
    <mergeCell ref="GV28:GW29"/>
    <mergeCell ref="GJ12:GV13"/>
    <mergeCell ref="HD56:HD57"/>
    <mergeCell ref="GX47:HA47"/>
    <mergeCell ref="HD24:HD25"/>
    <mergeCell ref="HB85:HB86"/>
    <mergeCell ref="GJ85:GK85"/>
    <mergeCell ref="GG90:GH90"/>
    <mergeCell ref="GJ86:GK86"/>
    <mergeCell ref="GY56:GZ57"/>
    <mergeCell ref="HB60:HB61"/>
    <mergeCell ref="GW64:GX64"/>
    <mergeCell ref="GY55:GZ55"/>
    <mergeCell ref="GR51:GS51"/>
    <mergeCell ref="GT51:GU51"/>
    <mergeCell ref="GV51:GW51"/>
    <mergeCell ref="GX16:GX17"/>
    <mergeCell ref="GX32:GX33"/>
    <mergeCell ref="HB81:HG82"/>
    <mergeCell ref="HC85:HO87"/>
    <mergeCell ref="HC84:HO84"/>
    <mergeCell ref="HA68:HE68"/>
    <mergeCell ref="HE69:HE70"/>
    <mergeCell ref="HB69:HD70"/>
    <mergeCell ref="GJ69:GV70"/>
    <mergeCell ref="GU72:GV72"/>
    <mergeCell ref="GF68:GH70"/>
    <mergeCell ref="HA76:HF76"/>
    <mergeCell ref="HA73:HA74"/>
    <mergeCell ref="GI69:GI70"/>
    <mergeCell ref="GY73:GZ74"/>
    <mergeCell ref="GW69:GX70"/>
    <mergeCell ref="GY69:GZ70"/>
    <mergeCell ref="GW68:GX68"/>
    <mergeCell ref="GV80:GW80"/>
    <mergeCell ref="FW3:GC3"/>
    <mergeCell ref="FW4:GC4"/>
    <mergeCell ref="FW5:GC5"/>
    <mergeCell ref="FW6:GC6"/>
    <mergeCell ref="FY29:FZ30"/>
    <mergeCell ref="FW7:GC7"/>
    <mergeCell ref="GG80:GH80"/>
    <mergeCell ref="GK80:GL80"/>
    <mergeCell ref="GK90:GS93"/>
    <mergeCell ref="GT85:GU86"/>
    <mergeCell ref="GH36:GI36"/>
    <mergeCell ref="EU11:EX11"/>
    <mergeCell ref="EU12:EU13"/>
    <mergeCell ref="EV12:EW13"/>
    <mergeCell ref="EV16:EW17"/>
    <mergeCell ref="GV20:GW21"/>
    <mergeCell ref="GT27:GU27"/>
    <mergeCell ref="GV27:GW27"/>
    <mergeCell ref="EX24:EX25"/>
    <mergeCell ref="GD29:GD30"/>
    <mergeCell ref="GU11:GV11"/>
    <mergeCell ref="IX9:JH9"/>
    <mergeCell ref="IU9:IV9"/>
    <mergeCell ref="JH13:JI13"/>
    <mergeCell ref="JJ13:JM13"/>
    <mergeCell ref="JN13:JR13"/>
    <mergeCell ref="IS13:IT13"/>
    <mergeCell ref="IX14:JE15"/>
    <mergeCell ref="JG17:JH17"/>
    <mergeCell ref="JI17:JJ17"/>
    <mergeCell ref="LZ16:MB17"/>
    <mergeCell ref="MC16:MH17"/>
    <mergeCell ref="IU17:IU19"/>
    <mergeCell ref="JD40:JE40"/>
    <mergeCell ref="IY37:JE38"/>
    <mergeCell ref="HB36:HF37"/>
    <mergeCell ref="IS36:IT36"/>
    <mergeCell ref="JM31:JM32"/>
    <mergeCell ref="HA24:HA25"/>
    <mergeCell ref="GU23:GV23"/>
    <mergeCell ref="GW23:GX23"/>
    <mergeCell ref="GJ28:GS29"/>
    <mergeCell ref="IX34:JH34"/>
    <mergeCell ref="JF37:JG38"/>
    <mergeCell ref="JH31:JI32"/>
    <mergeCell ref="JJ31:JJ32"/>
    <mergeCell ref="JH37:JI38"/>
    <mergeCell ref="IW36:IX36"/>
    <mergeCell ref="MB31:MC31"/>
    <mergeCell ref="LZ31:LZ32"/>
    <mergeCell ref="JP18:JP19"/>
    <mergeCell ref="JK18:JL19"/>
    <mergeCell ref="JH22:JI23"/>
    <mergeCell ref="JJ22:JJ23"/>
    <mergeCell ref="JN27:JR28"/>
    <mergeCell ref="HB35:HF35"/>
    <mergeCell ref="GI9:GJ9"/>
    <mergeCell ref="LZ18:MB20"/>
    <mergeCell ref="GI23:GI25"/>
    <mergeCell ref="JN36:JQ36"/>
    <mergeCell ref="JN37:JQ38"/>
    <mergeCell ref="GY20:GZ21"/>
    <mergeCell ref="IU34:IV34"/>
    <mergeCell ref="IS30:IT30"/>
    <mergeCell ref="GX20:GX21"/>
    <mergeCell ref="IX23:IY23"/>
    <mergeCell ref="HA36:HA37"/>
    <mergeCell ref="IW37:IX37"/>
    <mergeCell ref="IV38:IX38"/>
    <mergeCell ref="ME34:MF34"/>
    <mergeCell ref="EV27:FA27"/>
    <mergeCell ref="IT22:IU22"/>
    <mergeCell ref="IT23:IU23"/>
    <mergeCell ref="IT24:IU24"/>
    <mergeCell ref="MC28:MD28"/>
    <mergeCell ref="JD21:JE21"/>
    <mergeCell ref="IV23:IW23"/>
    <mergeCell ref="HB24:HC25"/>
    <mergeCell ref="LQ4:LW4"/>
    <mergeCell ref="LQ5:LW5"/>
    <mergeCell ref="LQ6:LW6"/>
    <mergeCell ref="HU6:HX6"/>
    <mergeCell ref="HH6:HM6"/>
    <mergeCell ref="GL9:GV9"/>
    <mergeCell ref="HU7:HX8"/>
    <mergeCell ref="GR15:GS15"/>
    <mergeCell ref="GV16:GW17"/>
    <mergeCell ref="GY16:GZ17"/>
    <mergeCell ref="IR13:IR15"/>
    <mergeCell ref="GT15:GU15"/>
    <mergeCell ref="GY32:GZ33"/>
    <mergeCell ref="HA16:HA17"/>
    <mergeCell ref="IV18:JH19"/>
    <mergeCell ref="LZ38:LZ40"/>
    <mergeCell ref="II7:IO7"/>
    <mergeCell ref="LQ7:LW7"/>
    <mergeCell ref="FW28:FX28"/>
    <mergeCell ref="IR17:IT19"/>
    <mergeCell ref="IS26:IT26"/>
    <mergeCell ref="GA28:GD28"/>
    <mergeCell ref="FJ29:FV30"/>
    <mergeCell ref="GH28:GI28"/>
    <mergeCell ref="GR31:GS31"/>
    <mergeCell ref="JN30:JR30"/>
    <mergeCell ref="JN31:JR32"/>
    <mergeCell ref="JF36:JG36"/>
    <mergeCell ref="JD26:JE26"/>
    <mergeCell ref="JF26:JG26"/>
    <mergeCell ref="JH26:JI26"/>
    <mergeCell ref="LZ27:LZ28"/>
    <mergeCell ref="LZ35:LZ36"/>
    <mergeCell ref="JN40:JQ40"/>
    <mergeCell ref="IX22:IY22"/>
    <mergeCell ref="JK37:JL38"/>
    <mergeCell ref="II4:IO4"/>
    <mergeCell ref="II5:IO5"/>
    <mergeCell ref="II6:IO6"/>
    <mergeCell ref="HO6:HS6"/>
    <mergeCell ref="GI12:GI13"/>
    <mergeCell ref="GR19:GS19"/>
    <mergeCell ref="GT19:GU19"/>
    <mergeCell ref="GV19:GW19"/>
    <mergeCell ref="GX19:HA19"/>
    <mergeCell ref="EX12:EX13"/>
    <mergeCell ref="EX16:EX17"/>
    <mergeCell ref="JJ21:JM21"/>
    <mergeCell ref="JK22:JL23"/>
    <mergeCell ref="ME27:MM28"/>
    <mergeCell ref="GG27:GH27"/>
    <mergeCell ref="IR30:IR32"/>
    <mergeCell ref="HB32:HD33"/>
    <mergeCell ref="IU32:IV32"/>
    <mergeCell ref="JJ30:JM30"/>
    <mergeCell ref="IS31:IT31"/>
    <mergeCell ref="IS32:IT32"/>
    <mergeCell ref="IW31:JE32"/>
    <mergeCell ref="MB32:MC32"/>
    <mergeCell ref="MU31:MU32"/>
    <mergeCell ref="MV30:MZ30"/>
    <mergeCell ref="MN43:MO44"/>
    <mergeCell ref="MP43:MQ44"/>
    <mergeCell ref="MN42:MO42"/>
    <mergeCell ref="MP34:MQ34"/>
    <mergeCell ref="MP42:MQ42"/>
    <mergeCell ref="ML30:MM30"/>
    <mergeCell ref="GF23:GH25"/>
    <mergeCell ref="MN26:MO26"/>
    <mergeCell ref="MP26:MQ26"/>
    <mergeCell ref="MR26:MU26"/>
    <mergeCell ref="MR27:MR28"/>
    <mergeCell ref="OF25:OH27"/>
    <mergeCell ref="PX31:PY32"/>
    <mergeCell ref="MB39:MN40"/>
    <mergeCell ref="MO39:MP40"/>
    <mergeCell ref="MN35:MO36"/>
    <mergeCell ref="IT42:IU42"/>
    <mergeCell ref="GF36:GF37"/>
    <mergeCell ref="MR34:MU34"/>
    <mergeCell ref="GX31:HA31"/>
    <mergeCell ref="HB31:HD31"/>
    <mergeCell ref="PR24:PW26"/>
    <mergeCell ref="PX26:QF26"/>
    <mergeCell ref="PX23:PY23"/>
    <mergeCell ref="PZ23:QA23"/>
    <mergeCell ref="MV34:MZ34"/>
    <mergeCell ref="MR30:MU30"/>
    <mergeCell ref="PZ30:QA30"/>
    <mergeCell ref="PV30:PW30"/>
    <mergeCell ref="QB31:QB32"/>
    <mergeCell ref="MD31:MM32"/>
    <mergeCell ref="PU28:PV28"/>
    <mergeCell ref="PU29:PV29"/>
    <mergeCell ref="QF31:QF32"/>
    <mergeCell ref="PL28:PN28"/>
    <mergeCell ref="OG30:OI31"/>
    <mergeCell ref="PJ36:PL38"/>
    <mergeCell ref="MP35:MQ36"/>
    <mergeCell ref="NE40:NF40"/>
    <mergeCell ref="NC39:NC41"/>
    <mergeCell ref="MV35:MZ36"/>
    <mergeCell ref="MV39:MV40"/>
    <mergeCell ref="JF31:JG32"/>
    <mergeCell ref="JK31:JL32"/>
    <mergeCell ref="IZ22:JE24"/>
    <mergeCell ref="JN22:JS24"/>
    <mergeCell ref="JD30:JE30"/>
    <mergeCell ref="ML34:MM34"/>
    <mergeCell ref="MN30:MO30"/>
    <mergeCell ref="MT39:MU40"/>
    <mergeCell ref="MN34:MO34"/>
    <mergeCell ref="PJ44:PJ46"/>
    <mergeCell ref="QA40:QB40"/>
    <mergeCell ref="GV15:GW15"/>
    <mergeCell ref="GX15:HA15"/>
    <mergeCell ref="MC11:MD11"/>
    <mergeCell ref="MF11:MP11"/>
    <mergeCell ref="IT14:IU14"/>
    <mergeCell ref="HB27:HE27"/>
    <mergeCell ref="IR36:IR38"/>
    <mergeCell ref="JJ37:JJ38"/>
    <mergeCell ref="QN7:QS8"/>
    <mergeCell ref="GW12:GX13"/>
    <mergeCell ref="KK6:KM6"/>
    <mergeCell ref="MA27:MB27"/>
    <mergeCell ref="MF9:MP9"/>
    <mergeCell ref="JJ26:JM26"/>
    <mergeCell ref="JF27:JG28"/>
    <mergeCell ref="IT27:IU27"/>
    <mergeCell ref="GJ24:GV25"/>
    <mergeCell ref="GW24:GX25"/>
    <mergeCell ref="GY24:GZ25"/>
    <mergeCell ref="HA23:HD23"/>
    <mergeCell ref="IU11:IV11"/>
    <mergeCell ref="IX11:JH11"/>
    <mergeCell ref="IW26:IX26"/>
    <mergeCell ref="NE6:NJ6"/>
    <mergeCell ref="NL6:NP6"/>
    <mergeCell ref="OW6:PC6"/>
    <mergeCell ref="MN31:MO32"/>
    <mergeCell ref="MP31:MQ32"/>
    <mergeCell ref="MN22:MO22"/>
    <mergeCell ref="MP22:MQ22"/>
    <mergeCell ref="MR22:MU22"/>
    <mergeCell ref="MR23:MR24"/>
    <mergeCell ref="MS23:MT24"/>
    <mergeCell ref="HH7:HM8"/>
    <mergeCell ref="JS7:JX8"/>
    <mergeCell ref="JZ7:KD8"/>
    <mergeCell ref="KF7:KI8"/>
    <mergeCell ref="HZ7:IB8"/>
    <mergeCell ref="JF22:JG23"/>
    <mergeCell ref="MN27:MO28"/>
    <mergeCell ref="MP27:MQ28"/>
    <mergeCell ref="IV21:IW21"/>
    <mergeCell ref="IV22:IW22"/>
    <mergeCell ref="IW27:IX27"/>
    <mergeCell ref="IW28:IX28"/>
    <mergeCell ref="ME23:MG23"/>
    <mergeCell ref="MC18:MC20"/>
    <mergeCell ref="JJ27:JJ28"/>
    <mergeCell ref="MQ19:MS20"/>
    <mergeCell ref="IR21:IR24"/>
    <mergeCell ref="NZ18:OB19"/>
    <mergeCell ref="IU31:IV31"/>
    <mergeCell ref="ME22:MG22"/>
    <mergeCell ref="PX30:PY30"/>
    <mergeCell ref="GY23:GZ23"/>
    <mergeCell ref="GX27:HA27"/>
    <mergeCell ref="GX28:GX29"/>
    <mergeCell ref="GY28:GZ29"/>
    <mergeCell ref="HA28:HA29"/>
    <mergeCell ref="HA32:HA33"/>
    <mergeCell ref="GR27:GS27"/>
    <mergeCell ref="GT28:GU29"/>
    <mergeCell ref="GV32:GW33"/>
    <mergeCell ref="GJ32:GS33"/>
    <mergeCell ref="SK3:SQ3"/>
    <mergeCell ref="SK4:SQ4"/>
    <mergeCell ref="SK5:SQ5"/>
    <mergeCell ref="SK6:SQ6"/>
    <mergeCell ref="PP9:PZ9"/>
    <mergeCell ref="PM9:PN9"/>
    <mergeCell ref="HB12:HC13"/>
    <mergeCell ref="HD12:HD13"/>
    <mergeCell ref="HZ6:IB6"/>
    <mergeCell ref="JS6:JX6"/>
    <mergeCell ref="JZ6:KD6"/>
    <mergeCell ref="KF6:KI6"/>
    <mergeCell ref="LQ3:LW3"/>
    <mergeCell ref="OW3:PC3"/>
    <mergeCell ref="OW4:PC4"/>
    <mergeCell ref="OW5:PC5"/>
    <mergeCell ref="IS21:IT21"/>
    <mergeCell ref="NR6:NU6"/>
    <mergeCell ref="NW6:NY6"/>
    <mergeCell ref="NE7:NJ8"/>
    <mergeCell ref="NL7:NP8"/>
    <mergeCell ref="NR7:NU8"/>
    <mergeCell ref="NW7:NY8"/>
    <mergeCell ref="PZ17:QA18"/>
    <mergeCell ref="PX17:PY18"/>
    <mergeCell ref="KK7:KM8"/>
    <mergeCell ref="IV15:IW15"/>
    <mergeCell ref="RD7:RG8"/>
    <mergeCell ref="RD3:RF4"/>
    <mergeCell ref="JM18:JM19"/>
    <mergeCell ref="MQ18:MS18"/>
    <mergeCell ref="QU7:RB8"/>
    <mergeCell ref="QU6:RB6"/>
    <mergeCell ref="RD6:RG6"/>
    <mergeCell ref="PM11:PN11"/>
    <mergeCell ref="PX19:QF20"/>
    <mergeCell ref="PR16:PS16"/>
    <mergeCell ref="RJ19:RL19"/>
    <mergeCell ref="RJ20:RL20"/>
    <mergeCell ref="RJ21:RL21"/>
    <mergeCell ref="PK16:PL16"/>
    <mergeCell ref="RY19:SB19"/>
    <mergeCell ref="MC9:MD9"/>
    <mergeCell ref="MI16:MK16"/>
    <mergeCell ref="PX16:PY16"/>
    <mergeCell ref="NZ17:OB17"/>
    <mergeCell ref="PU15:PV15"/>
    <mergeCell ref="NY18:NY19"/>
    <mergeCell ref="QG17:QX20"/>
    <mergeCell ref="RH15:RI15"/>
    <mergeCell ref="RF11:RI11"/>
    <mergeCell ref="SO12:SS13"/>
    <mergeCell ref="RF12:RI13"/>
    <mergeCell ref="RY11:SB11"/>
    <mergeCell ref="SC11:SF11"/>
    <mergeCell ref="SG11:SJ11"/>
    <mergeCell ref="SK7:SQ7"/>
    <mergeCell ref="RD17:RE18"/>
    <mergeCell ref="JN21:JS21"/>
    <mergeCell ref="II3:IO3"/>
    <mergeCell ref="MI17:MK17"/>
    <mergeCell ref="ML16:MN16"/>
    <mergeCell ref="ML17:MN17"/>
    <mergeCell ref="SK11:SN11"/>
    <mergeCell ref="QG23:QU23"/>
    <mergeCell ref="QG24:QU26"/>
    <mergeCell ref="PO28:PQ28"/>
    <mergeCell ref="MR31:MR32"/>
    <mergeCell ref="MS31:MT32"/>
    <mergeCell ref="PK30:PL30"/>
    <mergeCell ref="MV27:MY28"/>
    <mergeCell ref="MR17:MS17"/>
    <mergeCell ref="MU27:MU28"/>
    <mergeCell ref="JK27:JL28"/>
    <mergeCell ref="LL24:LM24"/>
    <mergeCell ref="LN24:LO24"/>
    <mergeCell ref="MP23:MQ24"/>
    <mergeCell ref="MS27:MT28"/>
    <mergeCell ref="LZ22:LZ24"/>
    <mergeCell ref="QN6:QS6"/>
    <mergeCell ref="JD13:JE13"/>
    <mergeCell ref="IV14:IW14"/>
    <mergeCell ref="JN14:JR15"/>
    <mergeCell ref="JF13:JG13"/>
    <mergeCell ref="JK14:JL15"/>
    <mergeCell ref="JN26:JR26"/>
    <mergeCell ref="MO18:MP18"/>
    <mergeCell ref="PJ17:PJ20"/>
    <mergeCell ref="PC17:PC18"/>
    <mergeCell ref="PJ24:PJ26"/>
    <mergeCell ref="MT18:MU18"/>
    <mergeCell ref="MV18:MY18"/>
    <mergeCell ref="MD19:MP20"/>
    <mergeCell ref="MV19:MV20"/>
    <mergeCell ref="MW19:MX20"/>
    <mergeCell ref="MY19:MY20"/>
    <mergeCell ref="JF14:JG15"/>
    <mergeCell ref="JH14:JI15"/>
    <mergeCell ref="JM14:JM15"/>
    <mergeCell ref="JJ14:JJ15"/>
    <mergeCell ref="JK17:JL17"/>
    <mergeCell ref="JM17:JP17"/>
    <mergeCell ref="PL31:PM31"/>
    <mergeCell ref="PP11:PZ11"/>
    <mergeCell ref="OW7:PC7"/>
    <mergeCell ref="PJ15:PK15"/>
    <mergeCell ref="PK26:PL26"/>
    <mergeCell ref="PK25:PL25"/>
    <mergeCell ref="PJ30:PJ32"/>
    <mergeCell ref="PN31:PW32"/>
    <mergeCell ref="PZ31:QA32"/>
    <mergeCell ref="MV23:MX24"/>
    <mergeCell ref="MA24:MB24"/>
    <mergeCell ref="JF21:JG21"/>
    <mergeCell ref="JH27:JI28"/>
    <mergeCell ref="JM27:JM28"/>
    <mergeCell ref="MA28:MB28"/>
    <mergeCell ref="IY27:JE28"/>
    <mergeCell ref="MC27:MD27"/>
    <mergeCell ref="PR22:PT22"/>
    <mergeCell ref="MV22:MX22"/>
    <mergeCell ref="QB23:QF23"/>
    <mergeCell ref="PO17:PP17"/>
    <mergeCell ref="PK23:PL23"/>
    <mergeCell ref="MA23:MB23"/>
    <mergeCell ref="JN18:JO19"/>
    <mergeCell ref="PV16:PW16"/>
    <mergeCell ref="PQ19:PR19"/>
    <mergeCell ref="PU22:PV22"/>
    <mergeCell ref="PO18:PP18"/>
    <mergeCell ref="PQ18:PR18"/>
    <mergeCell ref="PO20:PR20"/>
    <mergeCell ref="PS17:PW20"/>
    <mergeCell ref="RD43:RE43"/>
    <mergeCell ref="SO43:SS43"/>
    <mergeCell ref="RJ53:RL53"/>
    <mergeCell ref="RJ54:RL54"/>
    <mergeCell ref="RJ52:RL52"/>
    <mergeCell ref="SO38:SS38"/>
    <mergeCell ref="SK49:SN49"/>
    <mergeCell ref="SO49:SS49"/>
    <mergeCell ref="MN52:MO52"/>
    <mergeCell ref="MV31:MZ32"/>
    <mergeCell ref="QG30:QI30"/>
    <mergeCell ref="QG31:QI32"/>
    <mergeCell ref="MX47:MX48"/>
    <mergeCell ref="NO39:NP39"/>
    <mergeCell ref="NQ39:NR39"/>
    <mergeCell ref="NS39:NT39"/>
    <mergeCell ref="RD39:RE39"/>
    <mergeCell ref="RD45:RE45"/>
    <mergeCell ref="RD46:RE46"/>
    <mergeCell ref="RD49:RE49"/>
    <mergeCell ref="RF49:RI49"/>
    <mergeCell ref="RY42:SB42"/>
    <mergeCell ref="RY39:SB39"/>
    <mergeCell ref="SC39:SF39"/>
    <mergeCell ref="SG31:SJ31"/>
    <mergeCell ref="RJ25:RL25"/>
    <mergeCell ref="RJ26:RL26"/>
    <mergeCell ref="RJ27:RL27"/>
    <mergeCell ref="RD50:RE50"/>
    <mergeCell ref="RJ31:RL31"/>
    <mergeCell ref="RJ32:RL32"/>
    <mergeCell ref="RJ33:RL33"/>
    <mergeCell ref="RJ34:RL34"/>
    <mergeCell ref="RY49:SB49"/>
    <mergeCell ref="SC49:SF49"/>
    <mergeCell ref="SG49:SJ49"/>
    <mergeCell ref="RD44:RE44"/>
    <mergeCell ref="RY32:SB32"/>
    <mergeCell ref="RY38:SB38"/>
    <mergeCell ref="SC38:SF38"/>
    <mergeCell ref="PP49:PQ49"/>
    <mergeCell ref="PR49:PW50"/>
    <mergeCell ref="PM26:PN26"/>
    <mergeCell ref="PM25:PN25"/>
    <mergeCell ref="PN36:PO36"/>
    <mergeCell ref="PN40:PO40"/>
    <mergeCell ref="PL44:PM44"/>
    <mergeCell ref="PO48:PP48"/>
    <mergeCell ref="PP26:PQ26"/>
    <mergeCell ref="PL29:PM29"/>
    <mergeCell ref="PR28:PT28"/>
    <mergeCell ref="PN29:PO29"/>
    <mergeCell ref="PP29:PQ29"/>
    <mergeCell ref="PR29:PT29"/>
    <mergeCell ref="QA41:QB42"/>
    <mergeCell ref="QF45:QF46"/>
    <mergeCell ref="MS38:MV38"/>
    <mergeCell ref="OG29:OI29"/>
    <mergeCell ref="OF30:OF31"/>
    <mergeCell ref="QH41:QH42"/>
    <mergeCell ref="QC24:QE25"/>
    <mergeCell ref="QE37:QE38"/>
    <mergeCell ref="TQ25:TT25"/>
    <mergeCell ref="SG45:SJ45"/>
    <mergeCell ref="SK45:SN45"/>
    <mergeCell ref="SO45:SS45"/>
    <mergeCell ref="UK49:UN49"/>
    <mergeCell ref="UO29:UR29"/>
    <mergeCell ref="UO30:UR30"/>
    <mergeCell ref="UO31:UR31"/>
    <mergeCell ref="SG32:SJ32"/>
    <mergeCell ref="SO29:SS29"/>
    <mergeCell ref="SC27:SF27"/>
    <mergeCell ref="RY44:SB44"/>
    <mergeCell ref="SC44:SF44"/>
    <mergeCell ref="SG44:SJ44"/>
    <mergeCell ref="SK44:SN44"/>
    <mergeCell ref="SO44:SS44"/>
    <mergeCell ref="TF44:TH44"/>
    <mergeCell ref="TI44:TL44"/>
    <mergeCell ref="TM44:TP44"/>
    <mergeCell ref="TQ44:TT44"/>
    <mergeCell ref="TU44:TZ44"/>
    <mergeCell ref="UK44:UN44"/>
    <mergeCell ref="RF43:RI43"/>
    <mergeCell ref="RY43:SB43"/>
    <mergeCell ref="SC43:SF43"/>
    <mergeCell ref="SG43:SJ43"/>
    <mergeCell ref="TU41:TZ41"/>
    <mergeCell ref="RS46:RX46"/>
    <mergeCell ref="RS47:RX47"/>
    <mergeCell ref="RS48:RX48"/>
    <mergeCell ref="RS49:RX49"/>
    <mergeCell ref="TU27:TZ27"/>
    <mergeCell ref="UK27:UN27"/>
    <mergeCell ref="UD27:UJ27"/>
    <mergeCell ref="ST28:SY28"/>
    <mergeCell ref="UD28:UJ28"/>
    <mergeCell ref="RJ35:RL35"/>
    <mergeCell ref="RD47:RE47"/>
    <mergeCell ref="RD41:RE41"/>
    <mergeCell ref="RD40:RE40"/>
    <mergeCell ref="RD37:RE37"/>
    <mergeCell ref="RD38:RE38"/>
    <mergeCell ref="RF35:RI35"/>
    <mergeCell ref="RF47:RI47"/>
    <mergeCell ref="RF41:RI41"/>
    <mergeCell ref="RF39:RI39"/>
    <mergeCell ref="RF30:RI30"/>
    <mergeCell ref="RF42:RI42"/>
    <mergeCell ref="RF29:RI29"/>
    <mergeCell ref="RF32:RI32"/>
    <mergeCell ref="RF40:RI40"/>
    <mergeCell ref="RF37:RI37"/>
    <mergeCell ref="RF38:RI38"/>
    <mergeCell ref="QE36:QH36"/>
    <mergeCell ref="TF35:TH35"/>
    <mergeCell ref="TQ31:TT31"/>
    <mergeCell ref="TM32:TP32"/>
    <mergeCell ref="TQ32:TT32"/>
    <mergeCell ref="TM33:TP33"/>
    <mergeCell ref="TQ33:TT33"/>
    <mergeCell ref="TQ49:TT49"/>
    <mergeCell ref="UA51:UB51"/>
    <mergeCell ref="UK50:UN50"/>
    <mergeCell ref="TU30:TZ30"/>
    <mergeCell ref="TI29:TL29"/>
    <mergeCell ref="TM29:TP29"/>
    <mergeCell ref="TQ29:TT29"/>
    <mergeCell ref="TU29:TZ29"/>
    <mergeCell ref="TQ41:TT41"/>
    <mergeCell ref="TM36:TP36"/>
    <mergeCell ref="TQ36:TT36"/>
    <mergeCell ref="UK43:UN43"/>
    <mergeCell ref="TI41:TL41"/>
    <mergeCell ref="TM41:TP41"/>
    <mergeCell ref="TQ34:TT34"/>
    <mergeCell ref="TQ35:TT35"/>
    <mergeCell ref="UO32:UR32"/>
    <mergeCell ref="TI36:TL36"/>
    <mergeCell ref="RY34:SB34"/>
    <mergeCell ref="TI34:TL34"/>
    <mergeCell ref="UA41:UB41"/>
    <mergeCell ref="UO47:UR47"/>
    <mergeCell ref="UO44:UR44"/>
    <mergeCell ref="UO39:UR39"/>
    <mergeCell ref="ST51:SY51"/>
    <mergeCell ref="ST29:SY29"/>
    <mergeCell ref="ST30:SY30"/>
    <mergeCell ref="UD29:UJ29"/>
    <mergeCell ref="UD30:UJ30"/>
    <mergeCell ref="RY31:SB31"/>
    <mergeCell ref="SC31:SF31"/>
    <mergeCell ref="SG46:SJ46"/>
    <mergeCell ref="SK46:SN46"/>
    <mergeCell ref="SO46:SS46"/>
    <mergeCell ref="TF46:TH46"/>
    <mergeCell ref="SK43:SN43"/>
    <mergeCell ref="TF29:TH29"/>
    <mergeCell ref="TM43:TP43"/>
    <mergeCell ref="TM37:TP37"/>
    <mergeCell ref="TM39:TP39"/>
    <mergeCell ref="TF38:TH38"/>
    <mergeCell ref="TI38:TL38"/>
    <mergeCell ref="RY37:SB37"/>
    <mergeCell ref="SO36:SS36"/>
    <mergeCell ref="TF36:TH36"/>
    <mergeCell ref="RY41:SB41"/>
    <mergeCell ref="SC41:SF41"/>
    <mergeCell ref="SG41:SJ41"/>
    <mergeCell ref="SK41:SN41"/>
    <mergeCell ref="SO41:SS41"/>
    <mergeCell ref="SC32:SF32"/>
    <mergeCell ref="SK29:SN29"/>
    <mergeCell ref="SG35:SJ35"/>
    <mergeCell ref="SK38:SN38"/>
    <mergeCell ref="SK30:SN30"/>
    <mergeCell ref="SG30:SJ30"/>
    <mergeCell ref="UO84:UR84"/>
    <mergeCell ref="TU81:TZ81"/>
    <mergeCell ref="UA81:UB81"/>
    <mergeCell ref="WV79:WY79"/>
    <mergeCell ref="PY60:PZ60"/>
    <mergeCell ref="QA60:QB60"/>
    <mergeCell ref="QF76:QF77"/>
    <mergeCell ref="PZ69:QA70"/>
    <mergeCell ref="PX68:PY68"/>
    <mergeCell ref="RD55:RE55"/>
    <mergeCell ref="RD57:RE57"/>
    <mergeCell ref="RD58:RE58"/>
    <mergeCell ref="WD79:WD81"/>
    <mergeCell ref="SK60:SN60"/>
    <mergeCell ref="SK51:SN51"/>
    <mergeCell ref="SO51:SS51"/>
    <mergeCell ref="QC64:QD64"/>
    <mergeCell ref="RD71:RE71"/>
    <mergeCell ref="UK54:UN54"/>
    <mergeCell ref="UD58:UJ58"/>
    <mergeCell ref="UD59:UJ59"/>
    <mergeCell ref="UD60:UJ60"/>
    <mergeCell ref="TU49:TZ49"/>
    <mergeCell ref="TQ48:TT48"/>
    <mergeCell ref="TI40:TL40"/>
    <mergeCell ref="SG39:SJ39"/>
    <mergeCell ref="SK39:SN39"/>
    <mergeCell ref="SO39:SS39"/>
    <mergeCell ref="RY45:SB45"/>
    <mergeCell ref="SC45:SF45"/>
    <mergeCell ref="WC20:WH30"/>
    <mergeCell ref="SC53:SF53"/>
    <mergeCell ref="SG53:SJ53"/>
    <mergeCell ref="SK53:SN53"/>
    <mergeCell ref="SO53:SS53"/>
    <mergeCell ref="TF53:TH53"/>
    <mergeCell ref="TI53:TL53"/>
    <mergeCell ref="TM53:TP53"/>
    <mergeCell ref="RY50:SB50"/>
    <mergeCell ref="SC50:SF50"/>
    <mergeCell ref="SG50:SJ50"/>
    <mergeCell ref="SK50:SN50"/>
    <mergeCell ref="SO50:SS50"/>
    <mergeCell ref="TF50:TH50"/>
    <mergeCell ref="TI50:TL50"/>
    <mergeCell ref="TM50:TP50"/>
    <mergeCell ref="TQ50:TT50"/>
    <mergeCell ref="RY51:SB51"/>
    <mergeCell ref="SC51:SF51"/>
    <mergeCell ref="SG51:SJ51"/>
    <mergeCell ref="TU50:TZ50"/>
    <mergeCell ref="TM51:TP51"/>
    <mergeCell ref="TQ51:TT51"/>
    <mergeCell ref="TU51:TZ51"/>
    <mergeCell ref="UK51:UN51"/>
    <mergeCell ref="SZ49:TE49"/>
    <mergeCell ref="SZ50:TE50"/>
    <mergeCell ref="SZ51:TE51"/>
    <mergeCell ref="UA33:UB33"/>
    <mergeCell ref="ST26:SY26"/>
    <mergeCell ref="ST27:SY27"/>
    <mergeCell ref="UD20:UJ20"/>
    <mergeCell ref="UD21:UJ21"/>
    <mergeCell ref="UD22:UJ22"/>
    <mergeCell ref="WD75:WD77"/>
    <mergeCell ref="WI83:WJ83"/>
    <mergeCell ref="WY33:WZ34"/>
    <mergeCell ref="UK31:UN31"/>
    <mergeCell ref="XA37:XB38"/>
    <mergeCell ref="TF31:TH31"/>
    <mergeCell ref="TI31:TL31"/>
    <mergeCell ref="TM31:TP31"/>
    <mergeCell ref="SG67:SJ67"/>
    <mergeCell ref="SK67:SN67"/>
    <mergeCell ref="SO67:SS67"/>
    <mergeCell ref="TF67:TH67"/>
    <mergeCell ref="TI67:TL67"/>
    <mergeCell ref="WU51:WV52"/>
    <mergeCell ref="WW51:WX52"/>
    <mergeCell ref="XA31:XB32"/>
    <mergeCell ref="SG52:SJ52"/>
    <mergeCell ref="SK52:SN52"/>
    <mergeCell ref="SO52:SS52"/>
    <mergeCell ref="TF52:TH52"/>
    <mergeCell ref="TI52:TL52"/>
    <mergeCell ref="TM52:TP52"/>
    <mergeCell ref="TQ52:TT52"/>
    <mergeCell ref="TU52:TZ52"/>
    <mergeCell ref="UK52:UN52"/>
    <mergeCell ref="UA52:UB52"/>
    <mergeCell ref="WR71:WS71"/>
    <mergeCell ref="XA51:XB52"/>
    <mergeCell ref="WY51:WZ52"/>
    <mergeCell ref="US59:UW59"/>
    <mergeCell ref="US60:UW60"/>
    <mergeCell ref="US61:UW61"/>
    <mergeCell ref="US62:UW62"/>
    <mergeCell ref="US63:UW63"/>
    <mergeCell ref="US64:UW64"/>
    <mergeCell ref="US65:UW65"/>
    <mergeCell ref="TM67:TP67"/>
    <mergeCell ref="US67:UW67"/>
    <mergeCell ref="US68:UW68"/>
    <mergeCell ref="UK57:UN57"/>
    <mergeCell ref="UO70:UR70"/>
    <mergeCell ref="ST31:SY31"/>
    <mergeCell ref="SZ39:TE39"/>
    <mergeCell ref="SZ40:TE40"/>
    <mergeCell ref="SZ41:TE41"/>
    <mergeCell ref="SZ42:TE42"/>
    <mergeCell ref="SZ43:TE43"/>
    <mergeCell ref="SZ44:TE44"/>
    <mergeCell ref="SZ45:TE45"/>
    <mergeCell ref="SZ46:TE46"/>
    <mergeCell ref="SZ47:TE47"/>
    <mergeCell ref="UD31:UJ31"/>
    <mergeCell ref="SO78:SS78"/>
    <mergeCell ref="TU35:TZ35"/>
    <mergeCell ref="UA35:UB35"/>
    <mergeCell ref="SK35:SN35"/>
    <mergeCell ref="SO35:SS35"/>
    <mergeCell ref="SG34:SJ34"/>
    <mergeCell ref="SK34:SN34"/>
    <mergeCell ref="SK33:SN33"/>
    <mergeCell ref="WY41:WZ42"/>
    <mergeCell ref="XA41:XB42"/>
    <mergeCell ref="ST57:SY57"/>
    <mergeCell ref="SO48:SS48"/>
    <mergeCell ref="WO35:WP36"/>
    <mergeCell ref="SK69:SN69"/>
    <mergeCell ref="WO37:WP38"/>
    <mergeCell ref="WO39:WP40"/>
    <mergeCell ref="UK46:UN46"/>
    <mergeCell ref="YM29:YU29"/>
    <mergeCell ref="YM30:YU31"/>
    <mergeCell ref="YL22:YU23"/>
    <mergeCell ref="YW37:YX37"/>
    <mergeCell ref="YT35:YU35"/>
    <mergeCell ref="YH26:YK27"/>
    <mergeCell ref="YG29:YL29"/>
    <mergeCell ref="YH30:YK31"/>
    <mergeCell ref="YL34:YL35"/>
    <mergeCell ref="YM33:YO33"/>
    <mergeCell ref="YM34:YO35"/>
    <mergeCell ref="ZB33:ZD33"/>
    <mergeCell ref="WU55:WV56"/>
    <mergeCell ref="WU41:WV42"/>
    <mergeCell ref="WC17:WH19"/>
    <mergeCell ref="WI17:WN18"/>
    <mergeCell ref="WD63:WD65"/>
    <mergeCell ref="RY35:SB35"/>
    <mergeCell ref="SC35:SF35"/>
    <mergeCell ref="SO22:SS22"/>
    <mergeCell ref="SK24:SN24"/>
    <mergeCell ref="SO24:SS24"/>
    <mergeCell ref="SG23:SJ23"/>
    <mergeCell ref="UO36:UR36"/>
    <mergeCell ref="UO35:UR35"/>
    <mergeCell ref="UO33:UR33"/>
    <mergeCell ref="UO34:UR34"/>
    <mergeCell ref="RY67:SB67"/>
    <mergeCell ref="SC67:SF67"/>
    <mergeCell ref="SC37:SF37"/>
    <mergeCell ref="XC31:XD32"/>
    <mergeCell ref="RY52:SB52"/>
    <mergeCell ref="SC52:SF52"/>
    <mergeCell ref="RY53:SB53"/>
    <mergeCell ref="XC55:XD56"/>
    <mergeCell ref="US66:UW66"/>
    <mergeCell ref="WY55:WZ56"/>
    <mergeCell ref="WW53:WX54"/>
    <mergeCell ref="UD23:UJ23"/>
    <mergeCell ref="UD26:UJ26"/>
    <mergeCell ref="TU34:TZ34"/>
    <mergeCell ref="UO37:UR37"/>
    <mergeCell ref="TU38:TZ38"/>
    <mergeCell ref="UK23:UN23"/>
    <mergeCell ref="TU31:TZ31"/>
    <mergeCell ref="UA34:UB34"/>
    <mergeCell ref="TU32:TZ32"/>
    <mergeCell ref="TU33:TZ33"/>
    <mergeCell ref="TQ23:TT23"/>
    <mergeCell ref="TQ28:TT28"/>
    <mergeCell ref="TU28:TZ28"/>
    <mergeCell ref="WO27:WP28"/>
    <mergeCell ref="TM35:TP35"/>
    <mergeCell ref="TU23:TZ23"/>
    <mergeCell ref="TF24:TH24"/>
    <mergeCell ref="SO54:SS54"/>
    <mergeCell ref="TF48:TH48"/>
    <mergeCell ref="TI48:TL48"/>
    <mergeCell ref="TQ46:TT46"/>
    <mergeCell ref="YG14:YJ14"/>
    <mergeCell ref="XC35:XD36"/>
    <mergeCell ref="AAM19:AAN19"/>
    <mergeCell ref="AAI20:AAJ20"/>
    <mergeCell ref="AAK20:AAL20"/>
    <mergeCell ref="AAM20:AAN20"/>
    <mergeCell ref="AAI21:AAJ21"/>
    <mergeCell ref="WT16:WU16"/>
    <mergeCell ref="WV16:WW16"/>
    <mergeCell ref="WX13:WY13"/>
    <mergeCell ref="WZ13:XA13"/>
    <mergeCell ref="WR63:WS63"/>
    <mergeCell ref="XC21:XD22"/>
    <mergeCell ref="XR12:XS12"/>
    <mergeCell ref="WT71:WU71"/>
    <mergeCell ref="WV71:WY71"/>
    <mergeCell ref="WS21:WT22"/>
    <mergeCell ref="YT36:YU36"/>
    <mergeCell ref="YT37:YU37"/>
    <mergeCell ref="AAI39:AAJ39"/>
    <mergeCell ref="AAK39:AAL39"/>
    <mergeCell ref="WW27:WX28"/>
    <mergeCell ref="WS19:WT20"/>
    <mergeCell ref="AAK12:AAL12"/>
    <mergeCell ref="AAI14:AAJ14"/>
    <mergeCell ref="AAK14:AAL14"/>
    <mergeCell ref="YC33:YD33"/>
    <mergeCell ref="AAI15:AAJ15"/>
    <mergeCell ref="XE19:XF20"/>
    <mergeCell ref="YE21:YF21"/>
    <mergeCell ref="XE17:XI18"/>
    <mergeCell ref="YE22:YF23"/>
    <mergeCell ref="XO22:XO23"/>
    <mergeCell ref="YY33:YZ33"/>
    <mergeCell ref="YW34:YX34"/>
    <mergeCell ref="XP34:YB35"/>
    <mergeCell ref="YG34:YG35"/>
    <mergeCell ref="YJ40:YM40"/>
    <mergeCell ref="YV15:YV17"/>
    <mergeCell ref="XO26:XO27"/>
    <mergeCell ref="XR23:XS23"/>
    <mergeCell ref="XA29:XB30"/>
    <mergeCell ref="AAD34:AAE34"/>
    <mergeCell ref="AAF34:AAG34"/>
    <mergeCell ref="AAD35:AAE35"/>
    <mergeCell ref="AAF35:AAG35"/>
    <mergeCell ref="AAD36:AAE36"/>
    <mergeCell ref="AAF36:AAG36"/>
    <mergeCell ref="AAD37:AAE37"/>
    <mergeCell ref="AAF37:AAG37"/>
    <mergeCell ref="AAD38:AAE38"/>
    <mergeCell ref="AAF38:AAG38"/>
    <mergeCell ref="AAD39:AAE39"/>
    <mergeCell ref="AAF39:AAG39"/>
    <mergeCell ref="AAD40:AAE40"/>
    <mergeCell ref="AAF40:AAG40"/>
    <mergeCell ref="AAD41:AAE41"/>
    <mergeCell ref="AAF41:AAG41"/>
    <mergeCell ref="WW68:WX69"/>
    <mergeCell ref="WY68:WY69"/>
    <mergeCell ref="AAK17:AAL17"/>
    <mergeCell ref="WU19:WV20"/>
    <mergeCell ref="WW55:WX56"/>
    <mergeCell ref="YH62:YI63"/>
    <mergeCell ref="XE21:XG22"/>
    <mergeCell ref="YL30:YL31"/>
    <mergeCell ref="WV15:WW15"/>
    <mergeCell ref="WU39:WV40"/>
    <mergeCell ref="XC39:XD40"/>
    <mergeCell ref="YF40:YG40"/>
    <mergeCell ref="XV40:XX40"/>
    <mergeCell ref="WW37:WX38"/>
    <mergeCell ref="WY37:WZ38"/>
    <mergeCell ref="YD40:YE40"/>
    <mergeCell ref="WY31:WZ32"/>
    <mergeCell ref="XR22:XS22"/>
    <mergeCell ref="WU21:WV22"/>
    <mergeCell ref="WW21:WX22"/>
    <mergeCell ref="WY23:WZ24"/>
    <mergeCell ref="XA23:XB24"/>
    <mergeCell ref="XA21:XB22"/>
    <mergeCell ref="WY21:WZ22"/>
    <mergeCell ref="XO30:XO31"/>
    <mergeCell ref="WV67:WY67"/>
    <mergeCell ref="XA39:XB40"/>
    <mergeCell ref="XC23:XD24"/>
    <mergeCell ref="YA21:YB21"/>
    <mergeCell ref="YE15:YF16"/>
    <mergeCell ref="YE25:YF25"/>
    <mergeCell ref="YJ15:YJ16"/>
    <mergeCell ref="AAF33:AAG33"/>
    <mergeCell ref="AAP10:AAQ10"/>
    <mergeCell ref="AAR10:AAS10"/>
    <mergeCell ref="AAP11:AAQ11"/>
    <mergeCell ref="AAR11:AAS11"/>
    <mergeCell ref="AAP12:AAQ12"/>
    <mergeCell ref="AAR12:AAS12"/>
    <mergeCell ref="AAP13:AAQ13"/>
    <mergeCell ref="AAR13:AAS13"/>
    <mergeCell ref="AAP14:AAQ14"/>
    <mergeCell ref="AAR14:AAS14"/>
    <mergeCell ref="AAP15:AAQ15"/>
    <mergeCell ref="AAR15:AAS15"/>
    <mergeCell ref="AAP16:AAQ16"/>
    <mergeCell ref="AAR16:AAS16"/>
    <mergeCell ref="AAP17:AAQ17"/>
    <mergeCell ref="AAR17:AAS17"/>
    <mergeCell ref="AAP18:AAQ18"/>
    <mergeCell ref="AAR18:AAS18"/>
    <mergeCell ref="AAP19:AAQ19"/>
    <mergeCell ref="AAR19:AAS19"/>
    <mergeCell ref="AAD49:AAE49"/>
    <mergeCell ref="AAF49:AAG49"/>
    <mergeCell ref="XO44:XQ46"/>
    <mergeCell ref="AAD52:AAE52"/>
    <mergeCell ref="AAF52:AAG52"/>
    <mergeCell ref="AAD53:AAE53"/>
    <mergeCell ref="AAF53:AAG53"/>
    <mergeCell ref="AAD54:AAE54"/>
    <mergeCell ref="AAF54:AAG54"/>
    <mergeCell ref="XP16:XQ16"/>
    <mergeCell ref="YT33:YU33"/>
    <mergeCell ref="XT15:YB17"/>
    <mergeCell ref="XR17:XS17"/>
    <mergeCell ref="XP17:XQ17"/>
    <mergeCell ref="YT42:YU42"/>
    <mergeCell ref="XR38:XS38"/>
    <mergeCell ref="XU38:YE38"/>
    <mergeCell ref="AAM14:AAN14"/>
    <mergeCell ref="AAZ81:ABA81"/>
    <mergeCell ref="ABC81:ABD81"/>
    <mergeCell ref="ABE81:ABF81"/>
    <mergeCell ref="AAX82:AAY82"/>
    <mergeCell ref="AAU80:AAV80"/>
    <mergeCell ref="AAN81:AAO81"/>
    <mergeCell ref="AAP81:AAQ81"/>
    <mergeCell ref="AAS77:AAT77"/>
    <mergeCell ref="AAU77:AAV77"/>
    <mergeCell ref="AAN78:AAO78"/>
    <mergeCell ref="AAP78:AAQ78"/>
    <mergeCell ref="AAI30:AAJ30"/>
    <mergeCell ref="AAK30:AAL30"/>
    <mergeCell ref="AAM30:AAN30"/>
    <mergeCell ref="AAI33:AAJ33"/>
    <mergeCell ref="AAI25:AAJ25"/>
    <mergeCell ref="AAK25:AAL25"/>
    <mergeCell ref="AAM25:AAN25"/>
    <mergeCell ref="AAI26:AAJ26"/>
    <mergeCell ref="AAK26:AAL26"/>
    <mergeCell ref="AAM26:AAN26"/>
    <mergeCell ref="AAI27:AAJ27"/>
    <mergeCell ref="AAI23:AAJ23"/>
    <mergeCell ref="AAK23:AAL23"/>
    <mergeCell ref="AAI17:AAJ17"/>
    <mergeCell ref="AAW31:AAX31"/>
    <mergeCell ref="AAY31:AAZ31"/>
    <mergeCell ref="AAU32:AAV32"/>
    <mergeCell ref="AAW32:AAX32"/>
    <mergeCell ref="AAY32:AAZ32"/>
    <mergeCell ref="AAU33:AAV33"/>
    <mergeCell ref="AAW33:AAX33"/>
    <mergeCell ref="AAY33:AAZ33"/>
    <mergeCell ref="AAR39:AAS39"/>
    <mergeCell ref="AAP40:AAQ40"/>
    <mergeCell ref="AAR40:AAS40"/>
    <mergeCell ref="AAP41:AAQ41"/>
    <mergeCell ref="AAR41:AAS41"/>
    <mergeCell ref="AAP42:AAQ42"/>
    <mergeCell ref="AAR42:AAS42"/>
    <mergeCell ref="AAP43:AAQ43"/>
    <mergeCell ref="AAK73:AAL73"/>
    <mergeCell ref="AAU30:AAV30"/>
    <mergeCell ref="AAW30:AAX30"/>
    <mergeCell ref="AAY30:AAZ30"/>
    <mergeCell ref="AAU31:AAV31"/>
    <mergeCell ref="ABB16:ABC16"/>
    <mergeCell ref="ABD16:ABE16"/>
    <mergeCell ref="ABD27:ABE27"/>
    <mergeCell ref="ABB30:ABC30"/>
    <mergeCell ref="ABB34:ABC34"/>
    <mergeCell ref="AAI82:AAJ82"/>
    <mergeCell ref="AAK82:AAL82"/>
    <mergeCell ref="AAI79:AAJ79"/>
    <mergeCell ref="AAI80:AAJ80"/>
    <mergeCell ref="AAI81:AAJ81"/>
    <mergeCell ref="ABE76:ABF76"/>
    <mergeCell ref="AAK77:AAL77"/>
    <mergeCell ref="AAP74:AAQ74"/>
    <mergeCell ref="AAP76:AAQ76"/>
    <mergeCell ref="AAS76:AAT76"/>
    <mergeCell ref="AAU76:AAV76"/>
    <mergeCell ref="AAN77:AAO77"/>
    <mergeCell ref="AAD50:AAE50"/>
    <mergeCell ref="YC66:YD66"/>
    <mergeCell ref="ABO79:ABP79"/>
    <mergeCell ref="ABH80:ABI80"/>
    <mergeCell ref="ABJ80:ABK80"/>
    <mergeCell ref="ABM80:ABN80"/>
    <mergeCell ref="ABO80:ABP80"/>
    <mergeCell ref="ABH81:ABI81"/>
    <mergeCell ref="ABJ81:ABK81"/>
    <mergeCell ref="ABM81:ABN81"/>
    <mergeCell ref="ABO81:ABP81"/>
    <mergeCell ref="AAF74:AAG74"/>
    <mergeCell ref="AAF75:AAG75"/>
    <mergeCell ref="YC64:YM64"/>
    <mergeCell ref="WZ72:XC73"/>
    <mergeCell ref="WW80:WX81"/>
    <mergeCell ref="WY80:WY81"/>
    <mergeCell ref="WT76:WU77"/>
    <mergeCell ref="XP78:XQ78"/>
    <mergeCell ref="XR78:XS78"/>
    <mergeCell ref="YE83:YF83"/>
    <mergeCell ref="AAS78:AAT78"/>
    <mergeCell ref="AAU78:AAV78"/>
    <mergeCell ref="AAN79:AAO79"/>
    <mergeCell ref="AAP79:AAQ79"/>
    <mergeCell ref="AAS79:AAT79"/>
    <mergeCell ref="XV44:XX44"/>
    <mergeCell ref="XY44:XZ44"/>
    <mergeCell ref="YJ57:YJ58"/>
    <mergeCell ref="WT63:WU63"/>
    <mergeCell ref="WV75:WY75"/>
    <mergeCell ref="WT83:WU83"/>
    <mergeCell ref="WU53:WV54"/>
    <mergeCell ref="WY49:WZ50"/>
    <mergeCell ref="XO56:XO59"/>
    <mergeCell ref="WZ79:XC79"/>
    <mergeCell ref="AAI44:AAJ44"/>
    <mergeCell ref="AAK44:AAL44"/>
    <mergeCell ref="AAM44:AAN44"/>
    <mergeCell ref="AAI45:AAJ45"/>
    <mergeCell ref="AAK45:AAL45"/>
    <mergeCell ref="AAM45:AAN45"/>
    <mergeCell ref="YK45:YL46"/>
    <mergeCell ref="YM45:YM46"/>
    <mergeCell ref="ABK54:ABL54"/>
    <mergeCell ref="ABG69:ABH69"/>
    <mergeCell ref="ABI69:ABJ69"/>
    <mergeCell ref="ABK69:ABL69"/>
    <mergeCell ref="ABG70:ABH70"/>
    <mergeCell ref="ABI70:ABJ70"/>
    <mergeCell ref="ABK70:ABL70"/>
    <mergeCell ref="AAP64:AAQ64"/>
    <mergeCell ref="AAR64:AAS64"/>
    <mergeCell ref="ABG49:ABH49"/>
    <mergeCell ref="YC83:YD83"/>
    <mergeCell ref="YK71:YM71"/>
    <mergeCell ref="ABB47:ABC47"/>
    <mergeCell ref="ABD47:ABE47"/>
    <mergeCell ref="ABB48:ABC48"/>
    <mergeCell ref="ABD48:ABE48"/>
    <mergeCell ref="YC67:YD68"/>
    <mergeCell ref="YA50:YB50"/>
    <mergeCell ref="YC59:YJ59"/>
    <mergeCell ref="AAP77:AAQ77"/>
    <mergeCell ref="YH40:YI40"/>
    <mergeCell ref="ADB28:ADC30"/>
    <mergeCell ref="YA33:YB33"/>
    <mergeCell ref="AFC10:AFM10"/>
    <mergeCell ref="ADB31:ADC33"/>
    <mergeCell ref="AAU20:AAV20"/>
    <mergeCell ref="ADX31:AEE33"/>
    <mergeCell ref="ADB37:ADC38"/>
    <mergeCell ref="AAI18:AAJ18"/>
    <mergeCell ref="ABS16:ABT16"/>
    <mergeCell ref="AAP20:AAQ20"/>
    <mergeCell ref="AAR20:AAS20"/>
    <mergeCell ref="AAP21:AAQ21"/>
    <mergeCell ref="AAR21:AAS21"/>
    <mergeCell ref="AAU14:AAV14"/>
    <mergeCell ref="AAW14:AAX14"/>
    <mergeCell ref="AAY14:AAZ14"/>
    <mergeCell ref="AAU15:AAV15"/>
    <mergeCell ref="AAW15:AAX15"/>
    <mergeCell ref="AAY15:AAZ15"/>
    <mergeCell ref="AAU16:AAV16"/>
    <mergeCell ref="AAW16:AAX16"/>
    <mergeCell ref="AAY16:AAZ16"/>
    <mergeCell ref="AAU17:AAV17"/>
    <mergeCell ref="ABK28:ABL28"/>
    <mergeCell ref="YC22:YD23"/>
    <mergeCell ref="ZE42:ZF42"/>
    <mergeCell ref="ADC10:ADE10"/>
    <mergeCell ref="ADP34:ADQ36"/>
    <mergeCell ref="ADR34:ADS36"/>
    <mergeCell ref="ADT34:ADU36"/>
    <mergeCell ref="ADV34:ADW36"/>
    <mergeCell ref="AAU38:AAV38"/>
    <mergeCell ref="AAU18:AAV18"/>
    <mergeCell ref="AAU19:AAV19"/>
    <mergeCell ref="AAU21:AAV21"/>
    <mergeCell ref="AAU22:AAV22"/>
    <mergeCell ref="AAU23:AAV23"/>
    <mergeCell ref="AAU13:AAV13"/>
    <mergeCell ref="ZE39:ZF39"/>
    <mergeCell ref="YW40:YX40"/>
    <mergeCell ref="YY40:YZ40"/>
    <mergeCell ref="YT41:YU41"/>
    <mergeCell ref="AAI41:AAJ41"/>
    <mergeCell ref="AAK41:AAL41"/>
    <mergeCell ref="AAM41:AAN41"/>
    <mergeCell ref="AAI42:AAJ42"/>
    <mergeCell ref="ABS42:ABT42"/>
    <mergeCell ref="ABU42:ABV42"/>
    <mergeCell ref="ABW42:ABX42"/>
    <mergeCell ref="AAI19:AAJ19"/>
    <mergeCell ref="YY38:YZ38"/>
    <mergeCell ref="YW36:YX36"/>
    <mergeCell ref="AAW39:AAX39"/>
    <mergeCell ref="AAU42:AAV42"/>
    <mergeCell ref="AAW42:AAX42"/>
    <mergeCell ref="AAI40:AAJ40"/>
    <mergeCell ref="AAU29:AAV29"/>
    <mergeCell ref="AAW29:AAX29"/>
    <mergeCell ref="AAY29:AAZ29"/>
    <mergeCell ref="AAP29:AAQ29"/>
    <mergeCell ref="AAR29:AAS29"/>
    <mergeCell ref="AAP30:AAQ30"/>
    <mergeCell ref="AAM12:AAN12"/>
    <mergeCell ref="ACE11:ACF11"/>
    <mergeCell ref="ACG11:ACH11"/>
    <mergeCell ref="ACI11:ACJ11"/>
    <mergeCell ref="ACE12:ACF12"/>
    <mergeCell ref="ACG12:ACH12"/>
    <mergeCell ref="ACI12:ACJ12"/>
    <mergeCell ref="ACE13:ACF13"/>
    <mergeCell ref="ACG13:ACH13"/>
    <mergeCell ref="ACI13:ACJ13"/>
    <mergeCell ref="ACE14:ACF14"/>
    <mergeCell ref="ACG14:ACH14"/>
    <mergeCell ref="ACI14:ACJ14"/>
    <mergeCell ref="ACE15:ACF15"/>
    <mergeCell ref="ACG15:ACH15"/>
    <mergeCell ref="ACI15:ACJ15"/>
    <mergeCell ref="ACE16:ACF16"/>
    <mergeCell ref="ACG16:ACH16"/>
    <mergeCell ref="ACI16:ACJ16"/>
    <mergeCell ref="ACE17:ACF17"/>
    <mergeCell ref="ADD31:ADG31"/>
    <mergeCell ref="ADP17:ADQ17"/>
    <mergeCell ref="ADR17:ADS17"/>
    <mergeCell ref="ADT17:ADU17"/>
    <mergeCell ref="ADV17:ADW17"/>
    <mergeCell ref="ADV18:ADW18"/>
    <mergeCell ref="ADT19:ADU20"/>
    <mergeCell ref="AAW17:AAX17"/>
    <mergeCell ref="AAY17:AAZ17"/>
    <mergeCell ref="AAW18:AAX18"/>
    <mergeCell ref="AAY18:AAZ18"/>
    <mergeCell ref="AAW19:AAX19"/>
    <mergeCell ref="AAY19:AAZ19"/>
    <mergeCell ref="AAW21:AAX21"/>
    <mergeCell ref="AAY21:AAZ21"/>
    <mergeCell ref="AAW22:AAX22"/>
    <mergeCell ref="AAY22:AAZ22"/>
    <mergeCell ref="AAW23:AAX23"/>
    <mergeCell ref="ABB13:ABC13"/>
    <mergeCell ref="ABD13:ABE13"/>
    <mergeCell ref="ABB14:ABC14"/>
    <mergeCell ref="ABD14:ABE14"/>
    <mergeCell ref="ABB15:ABC15"/>
    <mergeCell ref="ABD15:ABE15"/>
    <mergeCell ref="ABB22:ABC22"/>
    <mergeCell ref="ABD22:ABE22"/>
    <mergeCell ref="ABB23:ABC23"/>
    <mergeCell ref="ADT15:ADU15"/>
    <mergeCell ref="ADV15:ADW15"/>
    <mergeCell ref="ADJ16:ADK16"/>
    <mergeCell ref="ADL16:ADM16"/>
    <mergeCell ref="ADN16:ADO16"/>
    <mergeCell ref="ADP16:ADQ16"/>
    <mergeCell ref="ADR16:ADS16"/>
    <mergeCell ref="ADT16:ADU16"/>
    <mergeCell ref="ADV16:ADW16"/>
    <mergeCell ref="ADJ17:ADK17"/>
    <mergeCell ref="ADL17:ADM17"/>
    <mergeCell ref="ADN17:ADO17"/>
    <mergeCell ref="AAW11:AAX11"/>
    <mergeCell ref="AAY11:AAZ11"/>
    <mergeCell ref="ZX2:ZY3"/>
    <mergeCell ref="ZX4:ZY5"/>
    <mergeCell ref="ZT4:ZU5"/>
    <mergeCell ref="ZT6:ZU7"/>
    <mergeCell ref="ZV2:ZW3"/>
    <mergeCell ref="ZP2:ZQ3"/>
    <mergeCell ref="ZR2:ZS3"/>
    <mergeCell ref="ZT2:ZU3"/>
    <mergeCell ref="YA14:YB14"/>
    <mergeCell ref="AAK16:AAL16"/>
    <mergeCell ref="ZJ16:ZK17"/>
    <mergeCell ref="ZL16:ZM17"/>
    <mergeCell ref="AAX4:ABF4"/>
    <mergeCell ref="AAX5:ABF7"/>
    <mergeCell ref="ABH4:ABM4"/>
    <mergeCell ref="ABH5:ABM7"/>
    <mergeCell ref="ABO4:ABS4"/>
    <mergeCell ref="ABO5:ABS7"/>
    <mergeCell ref="AAK10:AAL10"/>
    <mergeCell ref="AAM10:AAN10"/>
    <mergeCell ref="AAI11:AAJ11"/>
    <mergeCell ref="AAK11:AAL11"/>
    <mergeCell ref="AAM11:AAN11"/>
    <mergeCell ref="AAI12:AAJ12"/>
    <mergeCell ref="XR15:XS15"/>
    <mergeCell ref="AAW20:AAX20"/>
    <mergeCell ref="YF41:YG42"/>
    <mergeCell ref="YH41:YI42"/>
    <mergeCell ref="ZO16:ZP17"/>
    <mergeCell ref="ZQ16:ZQ17"/>
    <mergeCell ref="AAK35:AAL35"/>
    <mergeCell ref="AAM35:AAN35"/>
    <mergeCell ref="AAK36:AAL36"/>
    <mergeCell ref="AAM23:AAN23"/>
    <mergeCell ref="AAI24:AAJ24"/>
    <mergeCell ref="XU19:YE19"/>
    <mergeCell ref="YG22:YG23"/>
    <mergeCell ref="YK22:YK23"/>
    <mergeCell ref="AAK4:AAV4"/>
    <mergeCell ref="YF5:YG5"/>
    <mergeCell ref="XU12:YE12"/>
    <mergeCell ref="ABB10:ABC10"/>
    <mergeCell ref="ABP34:ABQ34"/>
    <mergeCell ref="ABN35:ABO35"/>
    <mergeCell ref="ABP35:ABQ35"/>
    <mergeCell ref="ABN36:ABO36"/>
    <mergeCell ref="ABP36:ABQ36"/>
    <mergeCell ref="ABN37:ABO37"/>
    <mergeCell ref="ABP37:ABQ37"/>
    <mergeCell ref="ABN38:ABO38"/>
    <mergeCell ref="ABP38:ABQ38"/>
    <mergeCell ref="ABN39:ABO39"/>
    <mergeCell ref="ABP39:ABQ39"/>
    <mergeCell ref="ABI31:ABJ31"/>
    <mergeCell ref="ABK31:ABL31"/>
    <mergeCell ref="ABG32:ABH32"/>
    <mergeCell ref="ABI32:ABJ32"/>
    <mergeCell ref="ABK32:ABL32"/>
    <mergeCell ref="ABG33:ABH33"/>
    <mergeCell ref="AAU36:AAV36"/>
    <mergeCell ref="AAW36:AAX36"/>
    <mergeCell ref="XR9:XS9"/>
    <mergeCell ref="XU9:YE9"/>
    <mergeCell ref="YC21:YD21"/>
    <mergeCell ref="ACI22:ACJ22"/>
    <mergeCell ref="ACE23:ACF23"/>
    <mergeCell ref="ACG23:ACH23"/>
    <mergeCell ref="ACI23:ACJ23"/>
    <mergeCell ref="ACE24:ACF24"/>
    <mergeCell ref="AJA40:AJB40"/>
    <mergeCell ref="ADR37:ADS38"/>
    <mergeCell ref="ADV37:ADW38"/>
    <mergeCell ref="AIN41:AIZ42"/>
    <mergeCell ref="ADJ37:ADK38"/>
    <mergeCell ref="ADR43:ADS43"/>
    <mergeCell ref="ADT37:ADU38"/>
    <mergeCell ref="AAI38:AAJ38"/>
    <mergeCell ref="AAK38:AAL38"/>
    <mergeCell ref="AAM38:AAN38"/>
    <mergeCell ref="ABD23:ABE23"/>
    <mergeCell ref="ABB24:ABC24"/>
    <mergeCell ref="ABD24:ABE24"/>
    <mergeCell ref="ABB25:ABC25"/>
    <mergeCell ref="ABD25:ABE25"/>
    <mergeCell ref="ABB26:ABC26"/>
    <mergeCell ref="ABD26:ABE26"/>
    <mergeCell ref="ABW24:ABX24"/>
    <mergeCell ref="ABZ27:ACA27"/>
    <mergeCell ref="ACB27:ACC27"/>
    <mergeCell ref="ABZ28:ACA28"/>
    <mergeCell ref="ACB28:ACC28"/>
    <mergeCell ref="ABZ29:ACA29"/>
    <mergeCell ref="ACB29:ACC29"/>
    <mergeCell ref="ABZ30:ACA30"/>
    <mergeCell ref="ACB30:ACC30"/>
    <mergeCell ref="ABZ31:ACA31"/>
    <mergeCell ref="ACB31:ACC31"/>
    <mergeCell ref="ABZ32:ACA32"/>
    <mergeCell ref="ACB32:ACC32"/>
    <mergeCell ref="ABZ33:ACA33"/>
    <mergeCell ref="ACB33:ACC33"/>
    <mergeCell ref="ADN26:ADO27"/>
    <mergeCell ref="AAR23:AAS23"/>
    <mergeCell ref="ABZ26:ACA26"/>
    <mergeCell ref="ACB26:ACC26"/>
    <mergeCell ref="AAP22:AAQ22"/>
    <mergeCell ref="AAR22:AAS22"/>
    <mergeCell ref="AAP23:AAQ23"/>
    <mergeCell ref="AAM42:AAN42"/>
    <mergeCell ref="AAI43:AAJ43"/>
    <mergeCell ref="AAK43:AAL43"/>
    <mergeCell ref="AAM43:AAN43"/>
    <mergeCell ref="AAM39:AAN39"/>
    <mergeCell ref="ADX34:AEE36"/>
    <mergeCell ref="ADD34:ADG34"/>
    <mergeCell ref="ADD35:ADG35"/>
    <mergeCell ref="ADD32:ADG32"/>
    <mergeCell ref="ADH34:ADI34"/>
    <mergeCell ref="ADH35:ADI35"/>
    <mergeCell ref="ABW40:ABX40"/>
    <mergeCell ref="ABS41:ABT41"/>
    <mergeCell ref="ABU41:ABV41"/>
    <mergeCell ref="ABW41:ABX41"/>
    <mergeCell ref="ADN11:ADO11"/>
    <mergeCell ref="ADL11:ADM11"/>
    <mergeCell ref="ADR22:ADS22"/>
    <mergeCell ref="ADN19:ADO20"/>
    <mergeCell ref="ADB21:ADC27"/>
    <mergeCell ref="ADD28:ADG28"/>
    <mergeCell ref="ADD12:ADG12"/>
    <mergeCell ref="ADH31:ADI31"/>
    <mergeCell ref="AJE44:AJH44"/>
    <mergeCell ref="AJE45:AJE46"/>
    <mergeCell ref="ADV14:ADW14"/>
    <mergeCell ref="ADJ15:ADK15"/>
    <mergeCell ref="AJF45:AJG46"/>
    <mergeCell ref="AJH45:AJH46"/>
    <mergeCell ref="AJP50:AKB51"/>
    <mergeCell ref="AJI40:AJM40"/>
    <mergeCell ref="AJI41:AJM42"/>
    <mergeCell ref="AJC34:AJD35"/>
    <mergeCell ref="AJA38:AJB39"/>
    <mergeCell ref="AJE41:AJE42"/>
    <mergeCell ref="AIY25:AIZ25"/>
    <mergeCell ref="AJA33:AJB33"/>
    <mergeCell ref="AJC33:AJD33"/>
    <mergeCell ref="AJE33:AJH33"/>
    <mergeCell ref="AJE34:AJE35"/>
    <mergeCell ref="AJE40:AJH40"/>
    <mergeCell ref="AIY33:AIZ33"/>
    <mergeCell ref="AIM94:AIM96"/>
    <mergeCell ref="AIN94:AIZ96"/>
    <mergeCell ref="AJC40:AJD40"/>
    <mergeCell ref="AJC18:AJD19"/>
    <mergeCell ref="AIQ22:AJC23"/>
    <mergeCell ref="AJF22:AJG23"/>
    <mergeCell ref="ADH32:ADI32"/>
    <mergeCell ref="ADN37:ADO38"/>
    <mergeCell ref="AIN34:AIZ35"/>
    <mergeCell ref="AJA34:AJB35"/>
    <mergeCell ref="AIP12:AIQ12"/>
    <mergeCell ref="AJF38:AJG39"/>
    <mergeCell ref="AJH38:AJH39"/>
    <mergeCell ref="AJI38:AJK39"/>
    <mergeCell ref="AIM44:AIM46"/>
    <mergeCell ref="AIY44:AIZ44"/>
    <mergeCell ref="AIM51:AIM53"/>
    <mergeCell ref="AIY51:AIZ51"/>
    <mergeCell ref="ADN46:ADO47"/>
    <mergeCell ref="ADB46:ADC47"/>
    <mergeCell ref="ADL26:ADM27"/>
    <mergeCell ref="ADL37:ADM38"/>
    <mergeCell ref="AFC21:AFL21"/>
    <mergeCell ref="AFC22:AFM31"/>
    <mergeCell ref="ADH44:ADI45"/>
    <mergeCell ref="ADJ39:ADK39"/>
    <mergeCell ref="ADL39:ADM39"/>
    <mergeCell ref="ADN39:ADO39"/>
    <mergeCell ref="ADP39:ADQ39"/>
    <mergeCell ref="ADR39:ADS39"/>
    <mergeCell ref="ADT39:ADU39"/>
    <mergeCell ref="ADN43:ADO43"/>
    <mergeCell ref="ADP43:ADQ43"/>
    <mergeCell ref="ADH37:ADI37"/>
    <mergeCell ref="ADX37:AEE38"/>
    <mergeCell ref="ADD37:ADG37"/>
    <mergeCell ref="AJC26:AJD27"/>
    <mergeCell ref="ACI17:ACJ17"/>
    <mergeCell ref="ACE18:ACF18"/>
    <mergeCell ref="AJO49:AJO51"/>
    <mergeCell ref="AKA49:AKB49"/>
    <mergeCell ref="AKC49:AKD49"/>
    <mergeCell ref="AJH26:AJH27"/>
    <mergeCell ref="AJF34:AJG35"/>
    <mergeCell ref="AMU17:ANG18"/>
    <mergeCell ref="AMT20:AMT22"/>
    <mergeCell ref="ANF20:ANG20"/>
    <mergeCell ref="AKH50:AKI51"/>
    <mergeCell ref="AKJ50:AKJ51"/>
    <mergeCell ref="AMT16:AMT18"/>
    <mergeCell ref="ANF16:ANG16"/>
    <mergeCell ref="AKE50:AKF51"/>
    <mergeCell ref="AKC50:AKD51"/>
    <mergeCell ref="AJE51:AJH51"/>
    <mergeCell ref="AJE52:AJE53"/>
    <mergeCell ref="AJF52:AJG53"/>
    <mergeCell ref="AJH52:AJH53"/>
    <mergeCell ref="AJF41:AJG42"/>
    <mergeCell ref="AJH41:AJH42"/>
    <mergeCell ref="AKG50:AKG51"/>
    <mergeCell ref="AKE49:AKF49"/>
    <mergeCell ref="AKG49:AKJ49"/>
    <mergeCell ref="AMT32:AMT34"/>
    <mergeCell ref="ANF32:ANG32"/>
    <mergeCell ref="ANH32:ANI32"/>
    <mergeCell ref="ANJ32:ANK32"/>
    <mergeCell ref="ANL32:ANO32"/>
    <mergeCell ref="AMU33:ANG34"/>
    <mergeCell ref="ANH33:ANI34"/>
    <mergeCell ref="ANJ33:ANK34"/>
    <mergeCell ref="ANL33:ANL34"/>
    <mergeCell ref="ANM33:ANN34"/>
    <mergeCell ref="AJD22:AJE23"/>
    <mergeCell ref="AJE29:AJH29"/>
    <mergeCell ref="AJE30:AJE31"/>
    <mergeCell ref="AJF30:AJG31"/>
    <mergeCell ref="AJH30:AJH31"/>
    <mergeCell ref="AJH34:AJH35"/>
    <mergeCell ref="ANH21:ANI22"/>
    <mergeCell ref="ANJ21:ANK22"/>
    <mergeCell ref="AJA93:AJC96"/>
    <mergeCell ref="AJC29:AJD29"/>
    <mergeCell ref="AJC37:AJD37"/>
    <mergeCell ref="AJC38:AJD39"/>
    <mergeCell ref="ANL16:ANO16"/>
    <mergeCell ref="ANH17:ANI18"/>
    <mergeCell ref="AJE37:AJH37"/>
    <mergeCell ref="AJI37:AJK37"/>
    <mergeCell ref="AJE38:AJE39"/>
    <mergeCell ref="AJE26:AJE27"/>
    <mergeCell ref="AJF26:AJG27"/>
    <mergeCell ref="AJZ43:AKA44"/>
    <mergeCell ref="AJZ41:AKA42"/>
    <mergeCell ref="ADP37:ADQ38"/>
    <mergeCell ref="ADV23:ADW23"/>
    <mergeCell ref="AIN30:AIZ31"/>
    <mergeCell ref="AJA30:AJB31"/>
    <mergeCell ref="AJC30:AJD31"/>
    <mergeCell ref="AIY40:AIZ40"/>
    <mergeCell ref="ADJ21:ADK21"/>
    <mergeCell ref="ACE22:ACF22"/>
    <mergeCell ref="ABG15:ABH15"/>
    <mergeCell ref="ABI15:ABJ15"/>
    <mergeCell ref="ABK15:ABL15"/>
    <mergeCell ref="ABG16:ABH16"/>
    <mergeCell ref="ABI16:ABJ16"/>
    <mergeCell ref="AAK18:AAL18"/>
    <mergeCell ref="ANL21:ANL22"/>
    <mergeCell ref="ANO33:ANO34"/>
    <mergeCell ref="ADB12:ADC13"/>
    <mergeCell ref="ANH29:ANI30"/>
    <mergeCell ref="ANJ29:ANK30"/>
    <mergeCell ref="ANL29:ANL30"/>
    <mergeCell ref="ANM29:ANN30"/>
    <mergeCell ref="ANO29:ANO30"/>
    <mergeCell ref="AMT24:AMT26"/>
    <mergeCell ref="ANF24:ANG24"/>
    <mergeCell ref="ANH24:ANI24"/>
    <mergeCell ref="ANJ24:ANK24"/>
    <mergeCell ref="AAM18:AAN18"/>
    <mergeCell ref="AAK19:AAL19"/>
    <mergeCell ref="AAY24:AAZ24"/>
    <mergeCell ref="AAU25:AAV25"/>
    <mergeCell ref="AAW25:AAX25"/>
    <mergeCell ref="AAY25:AAZ25"/>
    <mergeCell ref="ABS26:ABT26"/>
    <mergeCell ref="ABU26:ABV26"/>
    <mergeCell ref="ANL24:ANO24"/>
    <mergeCell ref="AMU25:ANG26"/>
    <mergeCell ref="ANH25:ANI26"/>
    <mergeCell ref="ANJ25:ANK26"/>
    <mergeCell ref="ANL25:ANL26"/>
    <mergeCell ref="ANO21:ANO22"/>
    <mergeCell ref="ANM25:ANN26"/>
    <mergeCell ref="ANH20:ANI20"/>
    <mergeCell ref="ANO25:ANO26"/>
    <mergeCell ref="ANJ20:ANK20"/>
    <mergeCell ref="ANL20:ANO20"/>
    <mergeCell ref="AMU21:ANG22"/>
    <mergeCell ref="AMT12:AMT14"/>
    <mergeCell ref="AJU11:AJW13"/>
    <mergeCell ref="AAM17:AAN17"/>
    <mergeCell ref="AAU11:AAV11"/>
    <mergeCell ref="ADZ11:AEK11"/>
    <mergeCell ref="AAM34:AAN34"/>
    <mergeCell ref="ADJ19:ADK20"/>
    <mergeCell ref="ADJ26:ADK27"/>
    <mergeCell ref="ADP12:ADQ13"/>
    <mergeCell ref="AJA25:AJB25"/>
    <mergeCell ref="AJC25:AJD25"/>
    <mergeCell ref="AIN38:AIZ39"/>
    <mergeCell ref="AAY34:AAZ34"/>
    <mergeCell ref="ABK16:ABL16"/>
    <mergeCell ref="ABG17:ABH17"/>
    <mergeCell ref="ABI17:ABJ17"/>
    <mergeCell ref="ABK17:ABL17"/>
    <mergeCell ref="ABG18:ABH18"/>
    <mergeCell ref="ABI18:ABJ18"/>
    <mergeCell ref="ABK18:ABL18"/>
    <mergeCell ref="ABG19:ABH19"/>
    <mergeCell ref="ABI19:ABJ19"/>
    <mergeCell ref="ABK19:ABL19"/>
    <mergeCell ref="ABG20:ABH20"/>
    <mergeCell ref="ABI20:ABJ20"/>
    <mergeCell ref="ABK20:ABL20"/>
    <mergeCell ref="PN61:PZ62"/>
    <mergeCell ref="MV75:MV76"/>
    <mergeCell ref="NS106:NT106"/>
    <mergeCell ref="MY106:MZ106"/>
    <mergeCell ref="NU106:NV106"/>
    <mergeCell ref="NW106:NX106"/>
    <mergeCell ref="NY106:NZ106"/>
    <mergeCell ref="SG22:SJ22"/>
    <mergeCell ref="ANM21:ANN22"/>
    <mergeCell ref="AKB8:AKE9"/>
    <mergeCell ref="AKG8:AKI9"/>
    <mergeCell ref="AAK34:AAL34"/>
    <mergeCell ref="AEJ10:AEK10"/>
    <mergeCell ref="ADN28:ADO30"/>
    <mergeCell ref="ADP28:ADQ30"/>
    <mergeCell ref="ADR28:ADS30"/>
    <mergeCell ref="AIS12:AJC12"/>
    <mergeCell ref="ADN12:ADO13"/>
    <mergeCell ref="ANF12:ANG12"/>
    <mergeCell ref="ANH12:ANI12"/>
    <mergeCell ref="ADV11:ADW11"/>
    <mergeCell ref="ADX11:ADY11"/>
    <mergeCell ref="ADJ31:ADK33"/>
    <mergeCell ref="ADL31:ADM33"/>
    <mergeCell ref="ADN31:ADO33"/>
    <mergeCell ref="ADP31:ADQ33"/>
    <mergeCell ref="ADR31:ADS33"/>
    <mergeCell ref="ADT31:ADU33"/>
    <mergeCell ref="ADV31:ADW33"/>
    <mergeCell ref="ADV12:ADW13"/>
    <mergeCell ref="ADT22:ADU22"/>
    <mergeCell ref="ADV22:ADW22"/>
    <mergeCell ref="ADJ22:ADK22"/>
    <mergeCell ref="ADX12:AED13"/>
    <mergeCell ref="ANL12:ANO12"/>
    <mergeCell ref="AMU13:ANG14"/>
    <mergeCell ref="ANH13:ANI14"/>
    <mergeCell ref="ANJ13:ANK14"/>
    <mergeCell ref="AAU12:AAV12"/>
    <mergeCell ref="AAW12:AAX12"/>
    <mergeCell ref="AAY12:AAZ12"/>
    <mergeCell ref="AAM29:AAN29"/>
    <mergeCell ref="AMW10:AMX10"/>
    <mergeCell ref="AMZ10:ANJ10"/>
    <mergeCell ref="AIP10:AIQ10"/>
    <mergeCell ref="ADG10:AEI10"/>
    <mergeCell ref="ADP18:ADQ18"/>
    <mergeCell ref="ADR18:ADS18"/>
    <mergeCell ref="ADT18:ADU18"/>
    <mergeCell ref="ADV19:ADW20"/>
    <mergeCell ref="ADN23:ADO23"/>
    <mergeCell ref="ADP23:ADQ23"/>
    <mergeCell ref="ADR23:ADS23"/>
    <mergeCell ref="ADT23:ADU23"/>
    <mergeCell ref="ABW15:ABX15"/>
    <mergeCell ref="ABW16:ABX16"/>
    <mergeCell ref="ABW28:ABX28"/>
    <mergeCell ref="ABU22:ABV22"/>
    <mergeCell ref="ABU15:ABV15"/>
    <mergeCell ref="ABU16:ABV16"/>
    <mergeCell ref="ABP27:ABQ27"/>
    <mergeCell ref="ABN28:ABO28"/>
    <mergeCell ref="ABP28:ABQ28"/>
    <mergeCell ref="ABN29:ABO29"/>
    <mergeCell ref="UR7:UT8"/>
    <mergeCell ref="YH22:YJ23"/>
    <mergeCell ref="AJA37:AJB37"/>
    <mergeCell ref="AJA29:AJB29"/>
    <mergeCell ref="AIM37:AIM39"/>
    <mergeCell ref="AIM26:AIM27"/>
    <mergeCell ref="AIM30:AIM31"/>
    <mergeCell ref="AIM34:AIM35"/>
    <mergeCell ref="ADJ28:ADK30"/>
    <mergeCell ref="ADL28:ADM30"/>
    <mergeCell ref="AAK29:AAL29"/>
    <mergeCell ref="AAP28:AAQ28"/>
    <mergeCell ref="AAR28:AAS28"/>
    <mergeCell ref="UG6:UK6"/>
    <mergeCell ref="TF33:TH33"/>
    <mergeCell ref="TI33:TL33"/>
    <mergeCell ref="TM34:TP34"/>
    <mergeCell ref="MP212:MQ212"/>
    <mergeCell ref="MR212:MU212"/>
    <mergeCell ref="ANJ12:ANK12"/>
    <mergeCell ref="ANH16:ANI16"/>
    <mergeCell ref="WU23:WV24"/>
    <mergeCell ref="WY25:WZ26"/>
    <mergeCell ref="YH15:YI16"/>
    <mergeCell ref="WY19:WZ20"/>
    <mergeCell ref="ANJ16:ANK16"/>
    <mergeCell ref="XC19:XD20"/>
    <mergeCell ref="XA25:XB26"/>
    <mergeCell ref="ANL13:ANL14"/>
    <mergeCell ref="ANM13:ANN14"/>
    <mergeCell ref="ANO13:ANO14"/>
    <mergeCell ref="AIY93:AIZ93"/>
    <mergeCell ref="AJD93:AJG93"/>
    <mergeCell ref="AJD94:AJD95"/>
    <mergeCell ref="AJE94:AJF95"/>
    <mergeCell ref="AJG94:AJG95"/>
    <mergeCell ref="ANJ17:ANK18"/>
    <mergeCell ref="AJH18:AJH19"/>
    <mergeCell ref="ANL17:ANL18"/>
    <mergeCell ref="AIM21:AIO23"/>
    <mergeCell ref="AIM40:AIM42"/>
    <mergeCell ref="ANM17:ANN18"/>
    <mergeCell ref="ANO17:ANO18"/>
    <mergeCell ref="AMT28:AMT30"/>
    <mergeCell ref="ANF28:ANG28"/>
    <mergeCell ref="WY29:WZ30"/>
    <mergeCell ref="YG33:YL33"/>
    <mergeCell ref="YE26:YF27"/>
    <mergeCell ref="WW29:WX30"/>
    <mergeCell ref="WW39:WX40"/>
    <mergeCell ref="WY39:WZ40"/>
    <mergeCell ref="PV79:PW79"/>
    <mergeCell ref="PX79:PY79"/>
    <mergeCell ref="PX69:PY70"/>
    <mergeCell ref="ANH28:ANI28"/>
    <mergeCell ref="ANJ28:ANK28"/>
    <mergeCell ref="ANL28:ANO28"/>
    <mergeCell ref="AMU29:ANG30"/>
    <mergeCell ref="UK29:UN29"/>
    <mergeCell ref="PZ103:QA103"/>
    <mergeCell ref="QB113:QB114"/>
    <mergeCell ref="MV91:MZ91"/>
    <mergeCell ref="PS76:PW77"/>
    <mergeCell ref="PP77:PR77"/>
    <mergeCell ref="AJA26:AJB27"/>
    <mergeCell ref="AJE25:AJH25"/>
    <mergeCell ref="AJY11:AKA13"/>
    <mergeCell ref="AAU10:AAV10"/>
    <mergeCell ref="AJF18:AJG19"/>
    <mergeCell ref="ZV4:ZW5"/>
    <mergeCell ref="ZV6:ZW7"/>
    <mergeCell ref="YL21:YU21"/>
    <mergeCell ref="ACG24:ACH24"/>
    <mergeCell ref="ACI31:ACJ31"/>
    <mergeCell ref="ABW25:ABX25"/>
    <mergeCell ref="ABW26:ABX26"/>
    <mergeCell ref="ACI24:ACJ24"/>
    <mergeCell ref="UR6:UT6"/>
    <mergeCell ref="AIY29:AIZ29"/>
    <mergeCell ref="UO28:UR28"/>
    <mergeCell ref="WQ31:WR32"/>
    <mergeCell ref="WQ33:WR34"/>
    <mergeCell ref="AJE18:AJE19"/>
    <mergeCell ref="ADP26:ADQ27"/>
    <mergeCell ref="ADL21:ADM21"/>
    <mergeCell ref="ADL22:ADM22"/>
    <mergeCell ref="ADL23:ADM23"/>
    <mergeCell ref="ADL24:ADM24"/>
    <mergeCell ref="ADN22:ADO22"/>
    <mergeCell ref="ADN21:ADO21"/>
    <mergeCell ref="ADP21:ADQ21"/>
    <mergeCell ref="ADR21:ADS21"/>
    <mergeCell ref="ADT21:ADU21"/>
    <mergeCell ref="ADH19:ADI20"/>
    <mergeCell ref="ADH26:ADI27"/>
    <mergeCell ref="ADR24:ADS24"/>
    <mergeCell ref="ADT24:ADU24"/>
    <mergeCell ref="ADV24:ADW24"/>
    <mergeCell ref="ADN24:ADO24"/>
    <mergeCell ref="ADP22:ADQ22"/>
    <mergeCell ref="ADP24:ADQ24"/>
    <mergeCell ref="ADT11:ADU11"/>
    <mergeCell ref="ADP19:ADQ20"/>
    <mergeCell ref="ADR19:ADS20"/>
    <mergeCell ref="ADL12:ADM13"/>
    <mergeCell ref="ADR26:ADS27"/>
    <mergeCell ref="ADT26:ADU27"/>
    <mergeCell ref="ADV26:ADW27"/>
    <mergeCell ref="ADP11:ADQ11"/>
    <mergeCell ref="ADR11:ADS11"/>
    <mergeCell ref="ADH12:ADI12"/>
    <mergeCell ref="ADH28:ADI28"/>
    <mergeCell ref="XC25:XD26"/>
    <mergeCell ref="WS27:WT28"/>
    <mergeCell ref="AAM21:AAN21"/>
    <mergeCell ref="YG25:YL25"/>
    <mergeCell ref="YE33:YF33"/>
    <mergeCell ref="YY34:YZ34"/>
    <mergeCell ref="XR16:XS16"/>
    <mergeCell ref="WQ19:WR20"/>
    <mergeCell ref="ADR12:ADS13"/>
    <mergeCell ref="ADT12:ADU13"/>
    <mergeCell ref="ADJ12:ADK13"/>
    <mergeCell ref="ADV21:ADW21"/>
    <mergeCell ref="ADL14:ADM14"/>
    <mergeCell ref="ADN14:ADO14"/>
    <mergeCell ref="ADP14:ADQ14"/>
    <mergeCell ref="WQ29:WR30"/>
    <mergeCell ref="XP3:XV3"/>
    <mergeCell ref="XP4:XV4"/>
    <mergeCell ref="XP5:XV5"/>
    <mergeCell ref="XP6:XV6"/>
    <mergeCell ref="ACL3:ACR3"/>
    <mergeCell ref="ACL4:ACR4"/>
    <mergeCell ref="ACL5:ACR5"/>
    <mergeCell ref="ACL6:ACR6"/>
    <mergeCell ref="TO6:TT6"/>
    <mergeCell ref="SB9:SC9"/>
    <mergeCell ref="SE9:SO9"/>
    <mergeCell ref="WQ21:WR22"/>
    <mergeCell ref="UM6:UP6"/>
    <mergeCell ref="AMC4:AMI4"/>
    <mergeCell ref="AMC5:AMI5"/>
    <mergeCell ref="AMC6:AMI6"/>
    <mergeCell ref="AMC7:AMI7"/>
    <mergeCell ref="AIP21:AIP23"/>
    <mergeCell ref="AJB21:AJC21"/>
    <mergeCell ref="AJD21:AJE21"/>
    <mergeCell ref="AJF21:AJG21"/>
    <mergeCell ref="AJH21:AJK21"/>
    <mergeCell ref="AJH22:AJH23"/>
    <mergeCell ref="AJI22:AJJ23"/>
    <mergeCell ref="AJK22:AJK23"/>
    <mergeCell ref="AIM17:AIM19"/>
    <mergeCell ref="AIY17:AIZ17"/>
    <mergeCell ref="AJA17:AJB17"/>
    <mergeCell ref="AJC17:AJD17"/>
    <mergeCell ref="AJE17:AJH17"/>
    <mergeCell ref="AJO7:AJT7"/>
    <mergeCell ref="AJV7:AJZ7"/>
    <mergeCell ref="AJO8:AJT9"/>
    <mergeCell ref="AJV8:AJZ9"/>
    <mergeCell ref="ZN6:ZO7"/>
    <mergeCell ref="AJA18:AJB19"/>
    <mergeCell ref="YC14:YD14"/>
    <mergeCell ref="WW19:WX20"/>
    <mergeCell ref="AAW10:AAX10"/>
    <mergeCell ref="AAY10:AAZ10"/>
    <mergeCell ref="ABG10:ABH10"/>
    <mergeCell ref="ABI10:ABJ10"/>
    <mergeCell ref="ABK10:ABL10"/>
    <mergeCell ref="ABS10:ABT10"/>
    <mergeCell ref="ABU10:ABV10"/>
    <mergeCell ref="ABW10:ABX10"/>
    <mergeCell ref="AAI10:AAJ10"/>
    <mergeCell ref="AAI13:AAJ13"/>
    <mergeCell ref="AAK13:AAL13"/>
    <mergeCell ref="AAM13:AAN13"/>
    <mergeCell ref="ABU5:ABX7"/>
    <mergeCell ref="ZL6:ZM7"/>
    <mergeCell ref="AAK5:AAV7"/>
    <mergeCell ref="ADB14:ADC20"/>
    <mergeCell ref="AAM15:AAN15"/>
    <mergeCell ref="AAK15:AAL15"/>
    <mergeCell ref="AAM16:AAN16"/>
    <mergeCell ref="AEM10:AEZ11"/>
    <mergeCell ref="AEM12:AFA31"/>
    <mergeCell ref="ADD11:ADK11"/>
    <mergeCell ref="AIN26:AIZ27"/>
    <mergeCell ref="AIN18:AIZ19"/>
    <mergeCell ref="ADB11:ADC11"/>
    <mergeCell ref="AEC5:AEE6"/>
    <mergeCell ref="GR134:GS134"/>
    <mergeCell ref="GT134:GU134"/>
    <mergeCell ref="GV134:GW134"/>
    <mergeCell ref="IS40:IT40"/>
    <mergeCell ref="PZ112:QA112"/>
    <mergeCell ref="HC126:HF126"/>
    <mergeCell ref="IT37:IU37"/>
    <mergeCell ref="IT38:IU38"/>
    <mergeCell ref="TO7:TT8"/>
    <mergeCell ref="UG7:UK8"/>
    <mergeCell ref="ADR14:ADS14"/>
    <mergeCell ref="ADT14:ADU14"/>
    <mergeCell ref="XA19:XB20"/>
    <mergeCell ref="RD2:RF2"/>
    <mergeCell ref="ADX5:AEA6"/>
    <mergeCell ref="WV63:WY63"/>
    <mergeCell ref="WV64:WV65"/>
    <mergeCell ref="YG30:YG31"/>
    <mergeCell ref="AKB7:AKE7"/>
    <mergeCell ref="JJ36:JM36"/>
    <mergeCell ref="ADX4:AEA4"/>
    <mergeCell ref="AEC4:AEE4"/>
    <mergeCell ref="ADK5:ADP6"/>
    <mergeCell ref="ADR5:ADV6"/>
    <mergeCell ref="YH34:YK35"/>
    <mergeCell ref="XO14:XO17"/>
    <mergeCell ref="YC17:YJ17"/>
    <mergeCell ref="XO40:XQ42"/>
    <mergeCell ref="YL26:YL27"/>
    <mergeCell ref="XC41:XD42"/>
    <mergeCell ref="YG26:YG27"/>
    <mergeCell ref="YC30:YD31"/>
    <mergeCell ref="YE30:YF31"/>
    <mergeCell ref="YC29:YD29"/>
    <mergeCell ref="YC26:YD27"/>
    <mergeCell ref="AJA44:AJB44"/>
    <mergeCell ref="AJC44:AJD44"/>
    <mergeCell ref="AJC41:AJD42"/>
    <mergeCell ref="AIN45:AIZ46"/>
    <mergeCell ref="AJA41:AJB42"/>
    <mergeCell ref="AAK40:AAL40"/>
    <mergeCell ref="AAM40:AAN40"/>
    <mergeCell ref="ADB34:ADC36"/>
    <mergeCell ref="UK35:UN35"/>
    <mergeCell ref="AIS10:AJC10"/>
    <mergeCell ref="AAI16:AAJ16"/>
    <mergeCell ref="ACE10:ACF10"/>
    <mergeCell ref="ACG10:ACH10"/>
    <mergeCell ref="ACI10:ACJ10"/>
    <mergeCell ref="AIY37:AIZ37"/>
    <mergeCell ref="XC27:XD28"/>
    <mergeCell ref="JK41:JL42"/>
    <mergeCell ref="YG21:YK21"/>
    <mergeCell ref="XS21:XU21"/>
    <mergeCell ref="TQ37:TT37"/>
    <mergeCell ref="TM40:TP40"/>
    <mergeCell ref="TQ40:TT40"/>
    <mergeCell ref="WS45:WT46"/>
    <mergeCell ref="WQ45:WR46"/>
    <mergeCell ref="WQ55:WR56"/>
    <mergeCell ref="WW47:WX48"/>
    <mergeCell ref="WY47:WZ48"/>
    <mergeCell ref="WW43:WX44"/>
    <mergeCell ref="MD59:MM60"/>
    <mergeCell ref="GJ130:GK130"/>
    <mergeCell ref="GL85:GS87"/>
    <mergeCell ref="GX81:GX82"/>
    <mergeCell ref="HA81:HA82"/>
    <mergeCell ref="EA107:EM108"/>
    <mergeCell ref="EA81:EB81"/>
    <mergeCell ref="GG102:GI102"/>
    <mergeCell ref="GR95:GS95"/>
    <mergeCell ref="GT95:GU95"/>
    <mergeCell ref="GJ100:GK100"/>
    <mergeCell ref="GM100:GN100"/>
    <mergeCell ref="ED81:EE81"/>
    <mergeCell ref="EF81:EG81"/>
    <mergeCell ref="AKG7:AKI7"/>
    <mergeCell ref="UM7:UP8"/>
    <mergeCell ref="GY139:GZ140"/>
    <mergeCell ref="GR130:GS130"/>
    <mergeCell ref="GX118:HA118"/>
    <mergeCell ref="GV85:GW86"/>
    <mergeCell ref="GX139:GX140"/>
    <mergeCell ref="GX131:GX132"/>
    <mergeCell ref="GY135:GZ136"/>
    <mergeCell ref="HA123:HA124"/>
    <mergeCell ref="GX122:HA122"/>
    <mergeCell ref="GV119:GW120"/>
    <mergeCell ref="GZ111:HA112"/>
    <mergeCell ref="GV127:GX128"/>
    <mergeCell ref="GY106:HA107"/>
    <mergeCell ref="HA115:HA116"/>
    <mergeCell ref="GY111:GY112"/>
    <mergeCell ref="GT108:HB108"/>
    <mergeCell ref="GV114:GW114"/>
    <mergeCell ref="HB114:HD114"/>
    <mergeCell ref="GT114:GU114"/>
    <mergeCell ref="GX114:HA114"/>
    <mergeCell ref="HC106:HO108"/>
    <mergeCell ref="GV138:GW138"/>
    <mergeCell ref="GT118:GU118"/>
    <mergeCell ref="GV118:GW118"/>
    <mergeCell ref="HC105:HO105"/>
    <mergeCell ref="HB111:HB112"/>
    <mergeCell ref="GT105:GU105"/>
    <mergeCell ref="GV105:GW105"/>
    <mergeCell ref="GX106:GX107"/>
    <mergeCell ref="GY110:HB110"/>
    <mergeCell ref="GT110:GU110"/>
    <mergeCell ref="HB135:HE136"/>
    <mergeCell ref="IM92:IO93"/>
    <mergeCell ref="GX130:HA130"/>
    <mergeCell ref="GV139:GW140"/>
    <mergeCell ref="HB139:HF140"/>
    <mergeCell ref="HB138:HF138"/>
    <mergeCell ref="IH96:II97"/>
    <mergeCell ref="IJ96:IK97"/>
    <mergeCell ref="IH91:II91"/>
    <mergeCell ref="IO96:IO97"/>
    <mergeCell ref="IM96:IN97"/>
    <mergeCell ref="GT20:GU21"/>
    <mergeCell ref="HA48:HA49"/>
    <mergeCell ref="GR138:GS138"/>
    <mergeCell ref="GR100:GS100"/>
    <mergeCell ref="GT100:GU100"/>
    <mergeCell ref="GV135:GW136"/>
    <mergeCell ref="GT138:GU138"/>
    <mergeCell ref="EY127:FD129"/>
    <mergeCell ref="EV103:EX104"/>
    <mergeCell ref="GG91:GH91"/>
    <mergeCell ref="GY81:GZ82"/>
    <mergeCell ref="ER110:EU110"/>
    <mergeCell ref="GG106:GH106"/>
    <mergeCell ref="GG97:GH97"/>
    <mergeCell ref="EU102:EY102"/>
    <mergeCell ref="EU126:EX126"/>
    <mergeCell ref="EY126:FD126"/>
    <mergeCell ref="GV111:GX112"/>
    <mergeCell ref="GR118:GS118"/>
    <mergeCell ref="EN82:EO83"/>
    <mergeCell ref="GF134:GF136"/>
    <mergeCell ref="GF130:GF132"/>
    <mergeCell ref="GF126:GF128"/>
    <mergeCell ref="GR126:GS126"/>
    <mergeCell ref="GT126:GU126"/>
    <mergeCell ref="GY126:HB126"/>
    <mergeCell ref="GY127:GY128"/>
    <mergeCell ref="GZ127:HA128"/>
    <mergeCell ref="HB127:HB128"/>
    <mergeCell ref="GF122:GF124"/>
    <mergeCell ref="GG85:GI85"/>
    <mergeCell ref="GG134:GH134"/>
    <mergeCell ref="GF85:GF87"/>
    <mergeCell ref="GF114:GF116"/>
    <mergeCell ref="EW81:FI81"/>
    <mergeCell ref="GG86:GI86"/>
    <mergeCell ref="ER107:ER108"/>
    <mergeCell ref="ES95:ET96"/>
    <mergeCell ref="GG108:GH108"/>
    <mergeCell ref="ER98:EV98"/>
    <mergeCell ref="EN107:EO108"/>
    <mergeCell ref="EQ102:ER102"/>
    <mergeCell ref="ES91:EU92"/>
    <mergeCell ref="ER91:ER92"/>
    <mergeCell ref="EP99:EQ100"/>
    <mergeCell ref="EQ87:ER88"/>
    <mergeCell ref="ED95:EP96"/>
    <mergeCell ref="EQ95:ER96"/>
    <mergeCell ref="EQ86:ER86"/>
    <mergeCell ref="ER90:EV90"/>
    <mergeCell ref="EA99:EM100"/>
    <mergeCell ref="GT81:GU82"/>
    <mergeCell ref="GV81:GW82"/>
    <mergeCell ref="GG98:GH98"/>
    <mergeCell ref="GG122:GH122"/>
    <mergeCell ref="GG126:GH126"/>
    <mergeCell ref="GG130:GH130"/>
    <mergeCell ref="EN122:EO122"/>
    <mergeCell ref="EP118:EQ118"/>
    <mergeCell ref="ED127:EP129"/>
    <mergeCell ref="GR122:GS122"/>
    <mergeCell ref="GG123:GS124"/>
    <mergeCell ref="GT123:GU124"/>
    <mergeCell ref="GV123:GW124"/>
    <mergeCell ref="GG127:GS128"/>
    <mergeCell ref="GF96:GF98"/>
    <mergeCell ref="GT106:GU107"/>
    <mergeCell ref="GV106:GW107"/>
    <mergeCell ref="GY131:GZ132"/>
    <mergeCell ref="GT127:GU128"/>
    <mergeCell ref="GT87:HB87"/>
    <mergeCell ref="GX134:HA134"/>
    <mergeCell ref="HB90:HB91"/>
    <mergeCell ref="GV115:GW116"/>
    <mergeCell ref="IL87:IP87"/>
    <mergeCell ref="IJ95:IK95"/>
    <mergeCell ref="IL95:IO95"/>
    <mergeCell ref="IJ87:IK87"/>
    <mergeCell ref="IH88:II89"/>
    <mergeCell ref="IL92:IL93"/>
    <mergeCell ref="IJ92:IK93"/>
    <mergeCell ref="IP88:IP89"/>
    <mergeCell ref="IL96:IL97"/>
    <mergeCell ref="IR109:IR111"/>
    <mergeCell ref="IH95:II95"/>
    <mergeCell ref="JH82:JI82"/>
    <mergeCell ref="JL110:JL111"/>
    <mergeCell ref="GX96:GX97"/>
    <mergeCell ref="GJ77:GV78"/>
    <mergeCell ref="IX82:IY82"/>
    <mergeCell ref="IX80:JH80"/>
    <mergeCell ref="HU92:IG93"/>
    <mergeCell ref="JF100:JG101"/>
    <mergeCell ref="JK100:JL101"/>
    <mergeCell ref="HU96:IG97"/>
    <mergeCell ref="GM81:GS82"/>
    <mergeCell ref="GT84:GU84"/>
    <mergeCell ref="IL88:IL89"/>
    <mergeCell ref="HU88:IG89"/>
    <mergeCell ref="IY77:JE78"/>
    <mergeCell ref="GY101:HA102"/>
    <mergeCell ref="HB101:HB102"/>
    <mergeCell ref="GV95:GW95"/>
    <mergeCell ref="GI96:GJ96"/>
    <mergeCell ref="GY90:HA91"/>
    <mergeCell ref="GX90:GX91"/>
    <mergeCell ref="GV84:GW84"/>
    <mergeCell ref="JH106:JI107"/>
    <mergeCell ref="GY77:GZ78"/>
    <mergeCell ref="HA77:HA78"/>
    <mergeCell ref="GR84:GS84"/>
    <mergeCell ref="GN84:GO84"/>
    <mergeCell ref="GT92:HB93"/>
    <mergeCell ref="HC100:HO100"/>
    <mergeCell ref="GL101:GS103"/>
    <mergeCell ref="GV96:GW97"/>
    <mergeCell ref="GT101:GU102"/>
    <mergeCell ref="GV101:GW102"/>
    <mergeCell ref="GT90:GU91"/>
    <mergeCell ref="GY123:GZ124"/>
    <mergeCell ref="GL110:GM110"/>
    <mergeCell ref="GX84:HB84"/>
    <mergeCell ref="HB122:HE122"/>
    <mergeCell ref="HC110:HE110"/>
    <mergeCell ref="HC111:HE112"/>
    <mergeCell ref="GR114:GS114"/>
    <mergeCell ref="GG119:GS120"/>
    <mergeCell ref="GT119:GU120"/>
    <mergeCell ref="GR105:GS105"/>
    <mergeCell ref="GK96:GS98"/>
    <mergeCell ref="GG96:GH96"/>
    <mergeCell ref="GR89:GS89"/>
    <mergeCell ref="GG101:GI101"/>
    <mergeCell ref="GG103:GI103"/>
    <mergeCell ref="GG93:GJ93"/>
    <mergeCell ref="DZ66:EB68"/>
    <mergeCell ref="EU66:EY66"/>
    <mergeCell ref="EW82:FI84"/>
    <mergeCell ref="ER81:EV81"/>
    <mergeCell ref="ES82:EU83"/>
    <mergeCell ref="EV82:EV83"/>
    <mergeCell ref="GF72:GH74"/>
    <mergeCell ref="GF76:GH78"/>
    <mergeCell ref="GH82:GI82"/>
    <mergeCell ref="GY85:HA86"/>
    <mergeCell ref="GW76:GX76"/>
    <mergeCell ref="GY76:GZ76"/>
    <mergeCell ref="GK81:GL81"/>
    <mergeCell ref="GR80:GS80"/>
    <mergeCell ref="ES75:ET75"/>
    <mergeCell ref="EQ76:ER77"/>
    <mergeCell ref="HC90:HJ93"/>
    <mergeCell ref="ES102:ET102"/>
    <mergeCell ref="IT78:IU78"/>
    <mergeCell ref="JJ124:JM124"/>
    <mergeCell ref="JJ125:JJ126"/>
    <mergeCell ref="JK125:JL126"/>
    <mergeCell ref="JD113:JE113"/>
    <mergeCell ref="JF113:JG113"/>
    <mergeCell ref="HQ91:HS93"/>
    <mergeCell ref="IS109:IS111"/>
    <mergeCell ref="IP92:IP93"/>
    <mergeCell ref="HQ87:HS89"/>
    <mergeCell ref="IF87:IG87"/>
    <mergeCell ref="IR91:IR93"/>
    <mergeCell ref="IR96:IR97"/>
    <mergeCell ref="IR83:IR84"/>
    <mergeCell ref="HF77:HF78"/>
    <mergeCell ref="IU122:IV122"/>
    <mergeCell ref="IX122:JH122"/>
    <mergeCell ref="IT107:IU107"/>
    <mergeCell ref="IV107:IX107"/>
    <mergeCell ref="JF99:JG99"/>
    <mergeCell ref="JF93:JM93"/>
    <mergeCell ref="JH91:JI92"/>
    <mergeCell ref="JJ91:JJ92"/>
    <mergeCell ref="GY96:HA97"/>
    <mergeCell ref="HB96:HB97"/>
    <mergeCell ref="GX95:HB95"/>
    <mergeCell ref="GT98:HB98"/>
    <mergeCell ref="GG112:GH112"/>
    <mergeCell ref="GK111:GS112"/>
    <mergeCell ref="GG111:GH111"/>
    <mergeCell ref="GG87:GI87"/>
    <mergeCell ref="EY67:EY68"/>
    <mergeCell ref="IJ91:IK91"/>
    <mergeCell ref="IJ88:IK89"/>
    <mergeCell ref="IM88:IO89"/>
    <mergeCell ref="GI91:GJ91"/>
    <mergeCell ref="IL91:IP91"/>
    <mergeCell ref="JD124:JE124"/>
    <mergeCell ref="EU103:EU104"/>
    <mergeCell ref="ER118:EU118"/>
    <mergeCell ref="IW106:IX106"/>
    <mergeCell ref="IR99:IR101"/>
    <mergeCell ref="IS105:IT105"/>
    <mergeCell ref="IW77:IX77"/>
    <mergeCell ref="JM100:JM101"/>
    <mergeCell ref="IV72:IX72"/>
    <mergeCell ref="RS107:RX107"/>
    <mergeCell ref="RS108:RX108"/>
    <mergeCell ref="RS109:RX109"/>
    <mergeCell ref="RS110:RX110"/>
    <mergeCell ref="RJ97:RL97"/>
    <mergeCell ref="RJ98:RL98"/>
    <mergeCell ref="RJ99:RL99"/>
    <mergeCell ref="RS96:RX96"/>
    <mergeCell ref="IH92:II93"/>
    <mergeCell ref="IF91:IG91"/>
    <mergeCell ref="EN106:EO106"/>
    <mergeCell ref="EA91:EM92"/>
    <mergeCell ref="EN90:EO90"/>
    <mergeCell ref="EP90:EQ90"/>
    <mergeCell ref="EV95:EX96"/>
    <mergeCell ref="EY95:EY96"/>
    <mergeCell ref="EO86:EP86"/>
    <mergeCell ref="EO94:EP94"/>
    <mergeCell ref="EQ94:ER94"/>
    <mergeCell ref="DZ94:EB96"/>
    <mergeCell ref="EN91:EO92"/>
    <mergeCell ref="EW71:FC73"/>
    <mergeCell ref="EA72:EB72"/>
    <mergeCell ref="JJ69:JM69"/>
    <mergeCell ref="PL105:PM105"/>
    <mergeCell ref="EP107:EQ108"/>
    <mergeCell ref="EU76:EU77"/>
    <mergeCell ref="EN73:EV73"/>
    <mergeCell ref="EQ75:ER75"/>
    <mergeCell ref="ED76:EP77"/>
    <mergeCell ref="EY87:EY88"/>
    <mergeCell ref="EW98:FB98"/>
    <mergeCell ref="EW99:FB100"/>
    <mergeCell ref="EU87:EU88"/>
    <mergeCell ref="EW90:FA90"/>
    <mergeCell ref="EW91:FA92"/>
    <mergeCell ref="ES87:ET88"/>
    <mergeCell ref="ES94:ET94"/>
    <mergeCell ref="ES86:ET86"/>
    <mergeCell ref="EV87:EX88"/>
    <mergeCell ref="GT96:GU97"/>
    <mergeCell ref="IV83:JE84"/>
    <mergeCell ref="JH70:JI71"/>
    <mergeCell ref="JH69:JI69"/>
    <mergeCell ref="JN69:JS69"/>
    <mergeCell ref="JH96:JI97"/>
    <mergeCell ref="JF105:JG105"/>
    <mergeCell ref="GI77:GI78"/>
    <mergeCell ref="GJ102:GK102"/>
    <mergeCell ref="EA73:EB73"/>
    <mergeCell ref="EE71:EM73"/>
    <mergeCell ref="PZ99:QA100"/>
    <mergeCell ref="NA106:NB106"/>
    <mergeCell ref="MS110:MT110"/>
    <mergeCell ref="JN100:JP101"/>
    <mergeCell ref="IV82:IW82"/>
    <mergeCell ref="IS76:IT76"/>
    <mergeCell ref="MO106:MP106"/>
    <mergeCell ref="MQ106:MR106"/>
    <mergeCell ref="MC100:MD100"/>
    <mergeCell ref="MC101:MD101"/>
    <mergeCell ref="MC102:MD102"/>
    <mergeCell ref="IT83:IU83"/>
    <mergeCell ref="IY106:JE107"/>
    <mergeCell ref="RD82:RE82"/>
    <mergeCell ref="RD83:RE83"/>
    <mergeCell ref="PZ109:QA110"/>
    <mergeCell ref="PX99:PY100"/>
    <mergeCell ref="PX109:PY110"/>
    <mergeCell ref="PJ75:PJ77"/>
    <mergeCell ref="OQ106:OR106"/>
    <mergeCell ref="OM106:ON106"/>
    <mergeCell ref="OO106:OP106"/>
    <mergeCell ref="GK84:GL84"/>
    <mergeCell ref="GK82:GL82"/>
    <mergeCell ref="GX101:GX102"/>
    <mergeCell ref="GH81:GI81"/>
    <mergeCell ref="GX80:HA80"/>
    <mergeCell ref="SK103:SN103"/>
    <mergeCell ref="RD99:RE99"/>
    <mergeCell ref="RD100:RE100"/>
    <mergeCell ref="RF85:RI85"/>
    <mergeCell ref="SK97:SN97"/>
    <mergeCell ref="RD110:RE110"/>
    <mergeCell ref="RD111:RE111"/>
    <mergeCell ref="RJ93:RL93"/>
    <mergeCell ref="RJ94:RL94"/>
    <mergeCell ref="RJ95:RL95"/>
    <mergeCell ref="RJ96:RL96"/>
    <mergeCell ref="QB75:QF75"/>
    <mergeCell ref="QC76:QE77"/>
    <mergeCell ref="JJ113:JM113"/>
    <mergeCell ref="JJ114:JJ115"/>
    <mergeCell ref="JK114:JL115"/>
    <mergeCell ref="JM114:JM115"/>
    <mergeCell ref="QB80:QB81"/>
    <mergeCell ref="QG80:QG81"/>
    <mergeCell ref="MN86:MO87"/>
    <mergeCell ref="MC98:MD98"/>
    <mergeCell ref="MC99:MD99"/>
    <mergeCell ref="MC106:MD106"/>
    <mergeCell ref="ME106:MF106"/>
    <mergeCell ref="MF89:MP89"/>
    <mergeCell ref="MN78:MP78"/>
    <mergeCell ref="LZ78:LZ81"/>
    <mergeCell ref="JK83:JL84"/>
    <mergeCell ref="JM83:JM84"/>
    <mergeCell ref="ML78:MM78"/>
    <mergeCell ref="JN82:JS82"/>
    <mergeCell ref="NE106:NF106"/>
    <mergeCell ref="JN113:JQ113"/>
    <mergeCell ref="QF89:QG90"/>
    <mergeCell ref="PY88:PZ88"/>
    <mergeCell ref="PO80:PW82"/>
    <mergeCell ref="PK80:PL80"/>
    <mergeCell ref="PK81:PL81"/>
    <mergeCell ref="PM81:PN81"/>
    <mergeCell ref="PX108:PY108"/>
    <mergeCell ref="MH108:MJ108"/>
    <mergeCell ref="PV103:PW103"/>
    <mergeCell ref="RY87:SB87"/>
    <mergeCell ref="SC87:SF87"/>
    <mergeCell ref="SG87:SJ87"/>
    <mergeCell ref="SK87:SN87"/>
    <mergeCell ref="RM114:RR114"/>
    <mergeCell ref="RM115:RR115"/>
    <mergeCell ref="RF105:RI105"/>
    <mergeCell ref="RD75:RE75"/>
    <mergeCell ref="GW72:GX72"/>
    <mergeCell ref="HA69:HA70"/>
    <mergeCell ref="IW70:IX70"/>
    <mergeCell ref="JH66:JI67"/>
    <mergeCell ref="IT70:IU70"/>
    <mergeCell ref="GI97:GJ97"/>
    <mergeCell ref="IT110:JF111"/>
    <mergeCell ref="JE109:JF109"/>
    <mergeCell ref="HA72:HE72"/>
    <mergeCell ref="GU76:GV76"/>
    <mergeCell ref="GW77:GX78"/>
    <mergeCell ref="HE73:HE74"/>
    <mergeCell ref="HC96:HI98"/>
    <mergeCell ref="HC95:HI95"/>
    <mergeCell ref="ML85:MM85"/>
    <mergeCell ref="MR68:MU68"/>
    <mergeCell ref="NK106:NL106"/>
    <mergeCell ref="LZ72:MB73"/>
    <mergeCell ref="ML97:MM97"/>
    <mergeCell ref="LZ68:LZ70"/>
    <mergeCell ref="JN105:JR105"/>
    <mergeCell ref="JJ96:JJ97"/>
    <mergeCell ref="JH95:JI95"/>
    <mergeCell ref="JM106:JM107"/>
    <mergeCell ref="IR105:IR107"/>
    <mergeCell ref="JK106:JL107"/>
    <mergeCell ref="JK96:JL97"/>
    <mergeCell ref="JF96:JG97"/>
    <mergeCell ref="GJ65:GV66"/>
    <mergeCell ref="JJ109:JK109"/>
    <mergeCell ref="JL109:JO109"/>
    <mergeCell ref="JJ110:JK111"/>
    <mergeCell ref="GT80:GU80"/>
    <mergeCell ref="GI108:GJ108"/>
    <mergeCell ref="NG106:NH106"/>
    <mergeCell ref="MG106:MH106"/>
    <mergeCell ref="MD111:MP112"/>
    <mergeCell ref="MH109:MJ109"/>
    <mergeCell ref="ME108:MG108"/>
    <mergeCell ref="ML91:MM91"/>
    <mergeCell ref="MT79:MU80"/>
    <mergeCell ref="MP68:MQ68"/>
    <mergeCell ref="JN86:JQ86"/>
    <mergeCell ref="HA65:HA66"/>
    <mergeCell ref="MY65:MY66"/>
    <mergeCell ref="IS66:IT66"/>
    <mergeCell ref="IS67:IT67"/>
    <mergeCell ref="RF20:RI20"/>
    <mergeCell ref="TF30:TH30"/>
    <mergeCell ref="TI30:TL30"/>
    <mergeCell ref="SO33:SS33"/>
    <mergeCell ref="SC34:SF34"/>
    <mergeCell ref="TU25:TZ25"/>
    <mergeCell ref="WO21:WP22"/>
    <mergeCell ref="ME109:MG109"/>
    <mergeCell ref="MR91:MU91"/>
    <mergeCell ref="MN91:MO91"/>
    <mergeCell ref="MQ75:MS76"/>
    <mergeCell ref="OA106:OB106"/>
    <mergeCell ref="OC106:OD106"/>
    <mergeCell ref="ML73:MN73"/>
    <mergeCell ref="MO73:MQ73"/>
    <mergeCell ref="PX82:QG82"/>
    <mergeCell ref="PZ80:QA81"/>
    <mergeCell ref="QG76:QR77"/>
    <mergeCell ref="SG78:SJ78"/>
    <mergeCell ref="SK78:SN78"/>
    <mergeCell ref="PR79:PS79"/>
    <mergeCell ref="QF85:QK86"/>
    <mergeCell ref="WY84:WY85"/>
    <mergeCell ref="TQ38:TT38"/>
    <mergeCell ref="WQ41:WR42"/>
    <mergeCell ref="WS57:WT58"/>
    <mergeCell ref="WQ57:WR58"/>
    <mergeCell ref="WD83:WD85"/>
    <mergeCell ref="WV80:WV81"/>
    <mergeCell ref="WV72:WV73"/>
    <mergeCell ref="WW72:WX73"/>
    <mergeCell ref="WY72:WY73"/>
    <mergeCell ref="TI24:TL24"/>
    <mergeCell ref="TM24:TP24"/>
    <mergeCell ref="TQ24:TT24"/>
    <mergeCell ref="TU24:TZ24"/>
    <mergeCell ref="UK24:UN24"/>
    <mergeCell ref="UK25:UN25"/>
    <mergeCell ref="UK26:UN26"/>
    <mergeCell ref="SG27:SJ27"/>
    <mergeCell ref="SK27:SN27"/>
    <mergeCell ref="SO27:SS27"/>
    <mergeCell ref="TF27:TH27"/>
    <mergeCell ref="TI27:TL27"/>
    <mergeCell ref="TM27:TP27"/>
    <mergeCell ref="TQ27:TT27"/>
    <mergeCell ref="SC48:SF48"/>
    <mergeCell ref="SG48:SJ48"/>
    <mergeCell ref="SK48:SN48"/>
    <mergeCell ref="RM55:RR55"/>
    <mergeCell ref="RM56:RR56"/>
    <mergeCell ref="RJ55:RL55"/>
    <mergeCell ref="RJ56:RL56"/>
    <mergeCell ref="RJ57:RL57"/>
    <mergeCell ref="RJ58:RL58"/>
    <mergeCell ref="RJ59:RL59"/>
    <mergeCell ref="RJ60:RL60"/>
    <mergeCell ref="RJ61:RL61"/>
    <mergeCell ref="ST52:SY52"/>
    <mergeCell ref="ST53:SY53"/>
    <mergeCell ref="ST54:SY54"/>
    <mergeCell ref="ST55:SY55"/>
    <mergeCell ref="ST56:SY56"/>
    <mergeCell ref="RD64:RE64"/>
    <mergeCell ref="YG15:YG16"/>
    <mergeCell ref="WV76:WV77"/>
    <mergeCell ref="WW76:WX77"/>
    <mergeCell ref="WY76:WY77"/>
    <mergeCell ref="QB104:QB105"/>
    <mergeCell ref="QF109:QF110"/>
    <mergeCell ref="PX76:PY77"/>
    <mergeCell ref="PZ104:QA105"/>
    <mergeCell ref="TI107:TL107"/>
    <mergeCell ref="TM107:TP107"/>
    <mergeCell ref="RF107:RI107"/>
    <mergeCell ref="RY107:SB107"/>
    <mergeCell ref="SC107:SF107"/>
    <mergeCell ref="SG107:SJ107"/>
    <mergeCell ref="UK94:UN94"/>
    <mergeCell ref="PZ108:QA108"/>
    <mergeCell ref="PX104:PY105"/>
    <mergeCell ref="XA35:XB36"/>
    <mergeCell ref="WO25:WP26"/>
    <mergeCell ref="QA92:QB92"/>
    <mergeCell ref="QC92:QD92"/>
    <mergeCell ref="QH57:QH58"/>
    <mergeCell ref="RD56:RE56"/>
    <mergeCell ref="PV84:PW84"/>
    <mergeCell ref="PX84:PY84"/>
    <mergeCell ref="PZ84:QA84"/>
    <mergeCell ref="QB53:QB54"/>
    <mergeCell ref="PZ48:QA48"/>
    <mergeCell ref="QB84:QE84"/>
    <mergeCell ref="WO29:WP30"/>
    <mergeCell ref="RD95:RE95"/>
    <mergeCell ref="RD96:RE96"/>
    <mergeCell ref="RD68:RE68"/>
    <mergeCell ref="RD69:RE69"/>
    <mergeCell ref="RD90:RE90"/>
    <mergeCell ref="RD91:RE91"/>
    <mergeCell ref="RD92:RE92"/>
    <mergeCell ref="RD101:RE101"/>
    <mergeCell ref="RD102:RE102"/>
    <mergeCell ref="RD103:RE103"/>
    <mergeCell ref="RF103:RI103"/>
    <mergeCell ref="RF102:RI102"/>
    <mergeCell ref="SC104:SF104"/>
    <mergeCell ref="RY104:SB104"/>
    <mergeCell ref="RF96:RI96"/>
    <mergeCell ref="RF58:RI58"/>
    <mergeCell ref="RF60:RI60"/>
    <mergeCell ref="RS57:RX57"/>
    <mergeCell ref="RS58:RX58"/>
    <mergeCell ref="TF49:TH49"/>
    <mergeCell ref="PP73:PZ73"/>
    <mergeCell ref="QC88:QD88"/>
    <mergeCell ref="QF93:QG94"/>
    <mergeCell ref="PX75:PY75"/>
    <mergeCell ref="QG75:QR75"/>
    <mergeCell ref="RD48:RE48"/>
    <mergeCell ref="RF48:RI48"/>
    <mergeCell ref="RF46:RI46"/>
    <mergeCell ref="RM47:RR47"/>
    <mergeCell ref="RM48:RR48"/>
    <mergeCell ref="RF110:RI110"/>
    <mergeCell ref="RY108:SB108"/>
    <mergeCell ref="SC108:SF108"/>
    <mergeCell ref="SG108:SJ108"/>
    <mergeCell ref="SK117:SN117"/>
    <mergeCell ref="SG104:SJ104"/>
    <mergeCell ref="TF104:TH104"/>
    <mergeCell ref="RD59:RE59"/>
    <mergeCell ref="RD63:RE63"/>
    <mergeCell ref="SO102:SS102"/>
    <mergeCell ref="PN60:PO60"/>
    <mergeCell ref="QH65:QH66"/>
    <mergeCell ref="QI61:QI62"/>
    <mergeCell ref="QG48:QR48"/>
    <mergeCell ref="RF50:RI50"/>
    <mergeCell ref="PV52:PW52"/>
    <mergeCell ref="RY60:SB60"/>
    <mergeCell ref="RY74:SB74"/>
    <mergeCell ref="SC74:SF74"/>
    <mergeCell ref="SG74:SJ74"/>
    <mergeCell ref="SK74:SN74"/>
    <mergeCell ref="SO74:SS74"/>
    <mergeCell ref="TF74:TH74"/>
    <mergeCell ref="SK89:SN89"/>
    <mergeCell ref="SO89:SS89"/>
    <mergeCell ref="TF89:TH89"/>
    <mergeCell ref="RY93:SB93"/>
    <mergeCell ref="SC93:SF93"/>
    <mergeCell ref="SG93:SJ93"/>
    <mergeCell ref="SK93:SN93"/>
    <mergeCell ref="NK119:NK120"/>
    <mergeCell ref="PJ125:PJ127"/>
    <mergeCell ref="NJ129:NJ130"/>
    <mergeCell ref="MW153:NH155"/>
    <mergeCell ref="NA122:NG122"/>
    <mergeCell ref="NA123:NG124"/>
    <mergeCell ref="OA119:OB120"/>
    <mergeCell ref="PJ84:PJ86"/>
    <mergeCell ref="PZ120:QA121"/>
    <mergeCell ref="SC84:SF84"/>
    <mergeCell ref="SG84:SJ84"/>
    <mergeCell ref="RY55:SB55"/>
    <mergeCell ref="SC55:SF55"/>
    <mergeCell ref="SG55:SJ55"/>
    <mergeCell ref="RD89:RE89"/>
    <mergeCell ref="RD84:RE84"/>
    <mergeCell ref="RD85:RE85"/>
    <mergeCell ref="RD51:RE51"/>
    <mergeCell ref="RD52:RE52"/>
    <mergeCell ref="RD53:RE53"/>
    <mergeCell ref="RD54:RE54"/>
    <mergeCell ref="PZ49:QA50"/>
    <mergeCell ref="PZ53:QA54"/>
    <mergeCell ref="PX49:PY50"/>
    <mergeCell ref="PZ52:QA52"/>
    <mergeCell ref="PJ52:PJ54"/>
    <mergeCell ref="PX53:PY54"/>
    <mergeCell ref="SZ52:TE52"/>
    <mergeCell ref="SZ53:TE53"/>
    <mergeCell ref="SZ54:TE54"/>
    <mergeCell ref="RY54:SB54"/>
    <mergeCell ref="SC54:SF54"/>
    <mergeCell ref="TF54:TH54"/>
    <mergeCell ref="PQ53:PW54"/>
    <mergeCell ref="TF58:TH58"/>
    <mergeCell ref="ST66:SY66"/>
    <mergeCell ref="ST67:SY67"/>
    <mergeCell ref="RF87:RI87"/>
    <mergeCell ref="LZ123:LZ124"/>
    <mergeCell ref="MG141:MH141"/>
    <mergeCell ref="LZ141:LZ144"/>
    <mergeCell ref="MN144:MU144"/>
    <mergeCell ref="MA149:MB149"/>
    <mergeCell ref="NB129:NC130"/>
    <mergeCell ref="MR72:MU72"/>
    <mergeCell ref="MN79:MP80"/>
    <mergeCell ref="MQ78:MR78"/>
    <mergeCell ref="MI162:MN162"/>
    <mergeCell ref="MO161:MP162"/>
    <mergeCell ref="MO146:MP146"/>
    <mergeCell ref="MC167:ME167"/>
    <mergeCell ref="MM132:MN132"/>
    <mergeCell ref="MO132:MP132"/>
    <mergeCell ref="MQ132:MR132"/>
    <mergeCell ref="MS132:MT132"/>
    <mergeCell ref="MU132:MV132"/>
    <mergeCell ref="PV112:PW112"/>
    <mergeCell ref="PX146:PY147"/>
    <mergeCell ref="PV140:PW140"/>
    <mergeCell ref="PX141:PY142"/>
    <mergeCell ref="PX134:PY134"/>
    <mergeCell ref="PZ134:QA134"/>
    <mergeCell ref="NQ106:NR106"/>
    <mergeCell ref="OI132:OJ132"/>
    <mergeCell ref="NR116:NS116"/>
    <mergeCell ref="NR117:NS117"/>
    <mergeCell ref="PX106:QF106"/>
    <mergeCell ref="PX101:QF101"/>
    <mergeCell ref="QC93:QD94"/>
    <mergeCell ref="MW79:NA81"/>
    <mergeCell ref="ML152:MM152"/>
    <mergeCell ref="MC147:MD147"/>
    <mergeCell ref="MN123:MO124"/>
    <mergeCell ref="MP123:MQ124"/>
    <mergeCell ref="LY106:LZ106"/>
    <mergeCell ref="MI116:MM116"/>
    <mergeCell ref="MI117:MM117"/>
    <mergeCell ref="MN119:MO120"/>
    <mergeCell ref="MF167:MH167"/>
    <mergeCell ref="MY75:MY76"/>
    <mergeCell ref="MO72:MQ72"/>
    <mergeCell ref="MV74:MY74"/>
    <mergeCell ref="MF136:MG136"/>
    <mergeCell ref="MR97:MU97"/>
    <mergeCell ref="MK108:MM108"/>
    <mergeCell ref="MR122:MV122"/>
    <mergeCell ref="MN97:MO97"/>
    <mergeCell ref="QE126:QE127"/>
    <mergeCell ref="QB119:QF119"/>
    <mergeCell ref="QC120:QE121"/>
    <mergeCell ref="PV108:PW108"/>
    <mergeCell ref="PM73:PN73"/>
    <mergeCell ref="PK82:PL82"/>
    <mergeCell ref="MC148:MD148"/>
    <mergeCell ref="MD141:MF141"/>
    <mergeCell ref="MT137:MU138"/>
    <mergeCell ref="OG123:OG124"/>
    <mergeCell ref="OA122:OB122"/>
    <mergeCell ref="OC123:OC124"/>
    <mergeCell ref="NY119:NZ120"/>
    <mergeCell ref="NR128:NT128"/>
    <mergeCell ref="NF128:NJ128"/>
    <mergeCell ref="MR168:MT168"/>
    <mergeCell ref="MQ146:MR146"/>
    <mergeCell ref="MB142:MC142"/>
    <mergeCell ref="MD92:MM93"/>
    <mergeCell ref="MG99:MH99"/>
    <mergeCell ref="MR142:MR143"/>
    <mergeCell ref="MP158:MQ159"/>
    <mergeCell ref="MQ161:NA162"/>
    <mergeCell ref="ME146:MF146"/>
    <mergeCell ref="MS146:MW146"/>
    <mergeCell ref="LZ74:MB76"/>
    <mergeCell ref="ME147:MF147"/>
    <mergeCell ref="WU57:WV58"/>
    <mergeCell ref="WO59:WP60"/>
    <mergeCell ref="WO53:WP54"/>
    <mergeCell ref="WO55:WP56"/>
    <mergeCell ref="XA59:XB60"/>
    <mergeCell ref="XR59:XS59"/>
    <mergeCell ref="WD87:WD89"/>
    <mergeCell ref="WS33:WT34"/>
    <mergeCell ref="WT79:WU79"/>
    <mergeCell ref="WP140:WP142"/>
    <mergeCell ref="WS39:WT40"/>
    <mergeCell ref="WW84:WX85"/>
    <mergeCell ref="XY40:XZ40"/>
    <mergeCell ref="WS51:WT52"/>
    <mergeCell ref="WU47:WV48"/>
    <mergeCell ref="WR141:WS141"/>
    <mergeCell ref="XA49:XB50"/>
    <mergeCell ref="WY53:WZ54"/>
    <mergeCell ref="XA53:XB54"/>
    <mergeCell ref="WO49:WP50"/>
    <mergeCell ref="WT88:WU89"/>
    <mergeCell ref="WV88:WV89"/>
    <mergeCell ref="WW88:WX89"/>
    <mergeCell ref="XQ96:XQ97"/>
    <mergeCell ref="WQ35:WR36"/>
    <mergeCell ref="ST93:SY93"/>
    <mergeCell ref="ST94:SY94"/>
    <mergeCell ref="XC165:XD165"/>
    <mergeCell ref="XE165:XF165"/>
    <mergeCell ref="XA157:XB157"/>
    <mergeCell ref="XC157:XD157"/>
    <mergeCell ref="XH154:XI155"/>
    <mergeCell ref="QC160:QE161"/>
    <mergeCell ref="US105:UW105"/>
    <mergeCell ref="US106:UW106"/>
    <mergeCell ref="US107:UW107"/>
    <mergeCell ref="US108:UW108"/>
    <mergeCell ref="WQ148:WR149"/>
    <mergeCell ref="XS161:XT161"/>
    <mergeCell ref="TQ116:TT116"/>
    <mergeCell ref="TI110:TL110"/>
    <mergeCell ref="TM110:TP110"/>
    <mergeCell ref="SZ116:TE116"/>
    <mergeCell ref="TQ118:TT118"/>
    <mergeCell ref="XH166:XI167"/>
    <mergeCell ref="XG158:XG159"/>
    <mergeCell ref="TI42:TL42"/>
    <mergeCell ref="TQ97:TT97"/>
    <mergeCell ref="TU97:TZ97"/>
    <mergeCell ref="SO79:SS79"/>
    <mergeCell ref="TF79:TH79"/>
    <mergeCell ref="RY84:SB84"/>
    <mergeCell ref="YC137:YD138"/>
    <mergeCell ref="XO120:XO122"/>
    <mergeCell ref="XR111:XS111"/>
    <mergeCell ref="XD137:XE138"/>
    <mergeCell ref="WW49:WX50"/>
    <mergeCell ref="WO51:WP52"/>
    <mergeCell ref="YC121:YD122"/>
    <mergeCell ref="YE113:YF113"/>
    <mergeCell ref="YE114:YF115"/>
    <mergeCell ref="YE107:YF107"/>
    <mergeCell ref="YC71:YD71"/>
    <mergeCell ref="XR44:XR46"/>
    <mergeCell ref="YD44:YE44"/>
    <mergeCell ref="XS45:YE46"/>
    <mergeCell ref="YF44:YG44"/>
    <mergeCell ref="WY64:WY65"/>
    <mergeCell ref="WY88:WY89"/>
    <mergeCell ref="WZ92:XE93"/>
    <mergeCell ref="WV87:WY87"/>
    <mergeCell ref="WV83:WY83"/>
    <mergeCell ref="XC47:XD48"/>
    <mergeCell ref="XC53:XD54"/>
    <mergeCell ref="XC49:XD50"/>
    <mergeCell ref="XA43:XB44"/>
    <mergeCell ref="WO57:WP58"/>
    <mergeCell ref="WS49:WT50"/>
    <mergeCell ref="YC56:YD56"/>
    <mergeCell ref="XR40:XR42"/>
    <mergeCell ref="YC77:YD77"/>
    <mergeCell ref="WP87:WQ87"/>
    <mergeCell ref="XE55:XH56"/>
    <mergeCell ref="WS47:WT48"/>
    <mergeCell ref="XC59:XD60"/>
    <mergeCell ref="WR88:WS89"/>
    <mergeCell ref="WP136:WP138"/>
    <mergeCell ref="XB136:XC136"/>
    <mergeCell ref="WQ137:XC138"/>
    <mergeCell ref="YC57:YD58"/>
    <mergeCell ref="YE84:YF85"/>
    <mergeCell ref="XU111:YE111"/>
    <mergeCell ref="XH136:XK136"/>
    <mergeCell ref="XP58:XQ58"/>
    <mergeCell ref="XR58:XS58"/>
    <mergeCell ref="XP59:XQ59"/>
    <mergeCell ref="XT57:YB59"/>
    <mergeCell ref="YE57:YF58"/>
    <mergeCell ref="YG67:YG68"/>
    <mergeCell ref="YE71:YF71"/>
    <mergeCell ref="XR48:XS48"/>
    <mergeCell ref="XO67:XO69"/>
    <mergeCell ref="WY43:WZ44"/>
    <mergeCell ref="WQ59:WR60"/>
    <mergeCell ref="AAI60:AAJ60"/>
    <mergeCell ref="AAK60:AAL60"/>
    <mergeCell ref="AAM60:AAN60"/>
    <mergeCell ref="AAI65:AAJ65"/>
    <mergeCell ref="AAK65:AAL65"/>
    <mergeCell ref="AAK70:AAL70"/>
    <mergeCell ref="AAM70:AAN70"/>
    <mergeCell ref="ABS52:ABT52"/>
    <mergeCell ref="ABU52:ABV52"/>
    <mergeCell ref="ABS53:ABT53"/>
    <mergeCell ref="ABU53:ABV53"/>
    <mergeCell ref="ABS54:ABT54"/>
    <mergeCell ref="ABU54:ABV54"/>
    <mergeCell ref="ABS55:ABT55"/>
    <mergeCell ref="ABU55:ABV55"/>
    <mergeCell ref="ABU49:ABV49"/>
    <mergeCell ref="AAX89:AAY89"/>
    <mergeCell ref="AAZ89:ABA89"/>
    <mergeCell ref="AAI49:AAJ49"/>
    <mergeCell ref="AAK49:AAL49"/>
    <mergeCell ref="AAM49:AAN49"/>
    <mergeCell ref="ABB68:ABC68"/>
    <mergeCell ref="ABB69:ABC69"/>
    <mergeCell ref="ABB70:ABC70"/>
    <mergeCell ref="AAR50:AAS50"/>
    <mergeCell ref="AAP51:AAQ51"/>
    <mergeCell ref="ABG60:ABH60"/>
    <mergeCell ref="ABI60:ABJ60"/>
    <mergeCell ref="ABE90:ABF90"/>
    <mergeCell ref="ABC91:ABD91"/>
    <mergeCell ref="ABU50:ABV50"/>
    <mergeCell ref="AAM55:AAN55"/>
    <mergeCell ref="AAI56:AAJ56"/>
    <mergeCell ref="AAK56:AAL56"/>
    <mergeCell ref="AAI57:AAJ57"/>
    <mergeCell ref="AAK57:AAL57"/>
    <mergeCell ref="AAI58:AAJ58"/>
    <mergeCell ref="AAR61:AAS61"/>
    <mergeCell ref="AAR69:AAS69"/>
    <mergeCell ref="AAU59:AAV59"/>
    <mergeCell ref="AAI83:AAJ83"/>
    <mergeCell ref="AAK87:AAL87"/>
    <mergeCell ref="AAZ87:ABA87"/>
    <mergeCell ref="ABC87:ABD87"/>
    <mergeCell ref="AJA64:AJB64"/>
    <mergeCell ref="YG66:YJ66"/>
    <mergeCell ref="YG71:YJ71"/>
    <mergeCell ref="YG72:YG73"/>
    <mergeCell ref="YH72:YI73"/>
    <mergeCell ref="AJA102:AJB102"/>
    <mergeCell ref="AIY102:AIZ102"/>
    <mergeCell ref="AJB118:AJC118"/>
    <mergeCell ref="AJD118:AJE118"/>
    <mergeCell ref="AJE88:AJE89"/>
    <mergeCell ref="AJE102:AJH102"/>
    <mergeCell ref="AJF68:AJI68"/>
    <mergeCell ref="AJC69:AJE70"/>
    <mergeCell ref="AJF69:AJF70"/>
    <mergeCell ref="AJH73:AJH74"/>
    <mergeCell ref="AJB76:AJC76"/>
    <mergeCell ref="AJD76:AJE76"/>
    <mergeCell ref="AIN99:AIZ100"/>
    <mergeCell ref="AJF110:AJG110"/>
    <mergeCell ref="AJC107:AJD108"/>
    <mergeCell ref="AJH72:AJK72"/>
    <mergeCell ref="AJF83:AJG84"/>
    <mergeCell ref="AJI82:AJT82"/>
    <mergeCell ref="AJI83:AJT85"/>
    <mergeCell ref="AIY98:AIZ98"/>
    <mergeCell ref="AJA98:AJB98"/>
    <mergeCell ref="AJC106:AJD106"/>
    <mergeCell ref="AJE106:AJH106"/>
    <mergeCell ref="AJE107:AJE108"/>
    <mergeCell ref="AJF107:AJG108"/>
    <mergeCell ref="AJH107:AJH108"/>
    <mergeCell ref="AJC87:AJD87"/>
    <mergeCell ref="AIM87:AIM89"/>
    <mergeCell ref="AIY87:AIZ87"/>
    <mergeCell ref="AAK61:AAL61"/>
    <mergeCell ref="AAM61:AAN61"/>
    <mergeCell ref="AAF85:AAG85"/>
    <mergeCell ref="YG84:YG85"/>
    <mergeCell ref="ADT73:ADU76"/>
    <mergeCell ref="AJF64:AJI64"/>
    <mergeCell ref="YJ78:YJ79"/>
    <mergeCell ref="YG114:YG115"/>
    <mergeCell ref="ABI66:ABJ66"/>
    <mergeCell ref="ABK66:ABL66"/>
    <mergeCell ref="ABG67:ABH67"/>
    <mergeCell ref="AJA82:AJB82"/>
    <mergeCell ref="AJC83:AJD84"/>
    <mergeCell ref="AJH77:AJH78"/>
    <mergeCell ref="AJI77:AJJ78"/>
    <mergeCell ref="AIY68:AIZ68"/>
    <mergeCell ref="AIP76:AIP78"/>
    <mergeCell ref="ADT87:ADU88"/>
    <mergeCell ref="ADB107:ADC110"/>
    <mergeCell ref="ADB111:ADC114"/>
    <mergeCell ref="ADH114:ADI114"/>
    <mergeCell ref="ADE73:ADF73"/>
    <mergeCell ref="ADH73:ADI73"/>
    <mergeCell ref="ADE74:ADF74"/>
    <mergeCell ref="ADH74:ADI74"/>
    <mergeCell ref="AIN107:AIZ108"/>
    <mergeCell ref="YH93:YJ94"/>
    <mergeCell ref="AJE82:AJH82"/>
    <mergeCell ref="AJF76:AJG76"/>
    <mergeCell ref="AJH76:AJK76"/>
    <mergeCell ref="ZP4:ZQ5"/>
    <mergeCell ref="ZP6:ZQ7"/>
    <mergeCell ref="ZR4:ZS5"/>
    <mergeCell ref="AJI65:AJI66"/>
    <mergeCell ref="AJC64:AJE64"/>
    <mergeCell ref="ADY67:AEF69"/>
    <mergeCell ref="ADX67:ADX69"/>
    <mergeCell ref="AIY150:AIZ150"/>
    <mergeCell ref="AIM158:AIM160"/>
    <mergeCell ref="AJA130:AJB130"/>
    <mergeCell ref="AIN127:AIZ128"/>
    <mergeCell ref="AJA127:AJB128"/>
    <mergeCell ref="YH67:YI68"/>
    <mergeCell ref="YJ67:YJ68"/>
    <mergeCell ref="ADJ67:ADW69"/>
    <mergeCell ref="AIN151:AIZ152"/>
    <mergeCell ref="AIN159:AIZ160"/>
    <mergeCell ref="AJE150:AJH150"/>
    <mergeCell ref="AIP118:AIP120"/>
    <mergeCell ref="AIS121:AJC121"/>
    <mergeCell ref="AIY64:AIZ64"/>
    <mergeCell ref="AJC65:AJE66"/>
    <mergeCell ref="AJA51:AJB51"/>
    <mergeCell ref="AJC51:AJD51"/>
    <mergeCell ref="AIN52:AIZ53"/>
    <mergeCell ref="AJA52:AJB53"/>
    <mergeCell ref="AJC52:AJD53"/>
    <mergeCell ref="AJC61:AJD62"/>
    <mergeCell ref="AJA45:AJB46"/>
    <mergeCell ref="AJC45:AJD46"/>
    <mergeCell ref="ADF67:ADG69"/>
    <mergeCell ref="YN61:YW61"/>
    <mergeCell ref="YN62:YW64"/>
    <mergeCell ref="YJ41:YJ42"/>
    <mergeCell ref="YG61:YJ61"/>
    <mergeCell ref="YJ44:YM44"/>
    <mergeCell ref="ADB67:ADD69"/>
    <mergeCell ref="AIP49:AIQ49"/>
    <mergeCell ref="AIS49:AJC49"/>
    <mergeCell ref="YH45:YI46"/>
    <mergeCell ref="ADT46:ADU47"/>
    <mergeCell ref="ADR44:ADS45"/>
    <mergeCell ref="ADN95:ADO98"/>
    <mergeCell ref="AAS81:AAT81"/>
    <mergeCell ref="AAU81:AAV81"/>
    <mergeCell ref="AAN82:AAO82"/>
    <mergeCell ref="AAP82:AAQ82"/>
    <mergeCell ref="AAS82:AAT82"/>
    <mergeCell ref="AAU82:AAV82"/>
    <mergeCell ref="AAN83:AAO83"/>
    <mergeCell ref="AAP83:AAQ83"/>
    <mergeCell ref="ABH85:ABI85"/>
    <mergeCell ref="ADB105:ADC106"/>
    <mergeCell ref="AIN61:AIZ62"/>
    <mergeCell ref="AJA61:AJB62"/>
    <mergeCell ref="AJC60:AJD60"/>
    <mergeCell ref="ADH120:ADI120"/>
    <mergeCell ref="ADD120:ADG120"/>
    <mergeCell ref="ADH76:ADI76"/>
    <mergeCell ref="ADD76:ADG76"/>
    <mergeCell ref="AAK99:AAL99"/>
    <mergeCell ref="ADD129:ADI131"/>
    <mergeCell ref="ADD132:ADI134"/>
    <mergeCell ref="ADN132:ADO134"/>
    <mergeCell ref="AJH61:AJH62"/>
    <mergeCell ref="YG56:YJ56"/>
    <mergeCell ref="ACG68:ACH68"/>
    <mergeCell ref="XR317:XS318"/>
    <mergeCell ref="XU317:YE318"/>
    <mergeCell ref="YH300:YJ301"/>
    <mergeCell ref="YG299:YK299"/>
    <mergeCell ref="XU157:XV159"/>
    <mergeCell ref="XW157:XX159"/>
    <mergeCell ref="XT157:XT159"/>
    <mergeCell ref="YK140:YS140"/>
    <mergeCell ref="YK141:YS143"/>
    <mergeCell ref="AJA159:AJB160"/>
    <mergeCell ref="YC125:YD126"/>
    <mergeCell ref="YE249:YF249"/>
    <mergeCell ref="YG217:YK217"/>
    <mergeCell ref="YH218:YJ219"/>
    <mergeCell ref="XX250:YB252"/>
    <mergeCell ref="YK273:YU273"/>
    <mergeCell ref="YG273:YJ273"/>
    <mergeCell ref="YA299:YB299"/>
    <mergeCell ref="YA304:YB304"/>
    <mergeCell ref="YJ305:YJ306"/>
    <mergeCell ref="YA277:YB277"/>
    <mergeCell ref="YC277:YD277"/>
    <mergeCell ref="YE277:YF277"/>
    <mergeCell ref="YF317:YF318"/>
    <mergeCell ref="YK212:YK213"/>
    <mergeCell ref="AIM126:AIM128"/>
    <mergeCell ref="AIY126:AIZ126"/>
    <mergeCell ref="XT317:XT318"/>
    <mergeCell ref="XR172:XS172"/>
    <mergeCell ref="XT299:XU299"/>
    <mergeCell ref="XT167:XU167"/>
    <mergeCell ref="YC300:YD301"/>
    <mergeCell ref="YE300:YF301"/>
    <mergeCell ref="YG256:YJ256"/>
    <mergeCell ref="YE278:YF279"/>
    <mergeCell ref="YE256:YF256"/>
    <mergeCell ref="YC273:YD273"/>
    <mergeCell ref="YC243:YD243"/>
    <mergeCell ref="YL249:YW249"/>
    <mergeCell ref="YL250:YW252"/>
    <mergeCell ref="YC302:YK302"/>
    <mergeCell ref="YM162:YM163"/>
    <mergeCell ref="YJ161:YM161"/>
    <mergeCell ref="YJ162:YJ163"/>
    <mergeCell ref="YK162:YL163"/>
    <mergeCell ref="YE179:YF179"/>
    <mergeCell ref="YG179:YJ179"/>
    <mergeCell ref="YG305:YG306"/>
    <mergeCell ref="YH305:YI306"/>
    <mergeCell ref="YG274:YG275"/>
    <mergeCell ref="YH274:YI275"/>
    <mergeCell ref="YK269:YK270"/>
    <mergeCell ref="YG244:YG245"/>
    <mergeCell ref="YK277:YS277"/>
    <mergeCell ref="YE243:YF243"/>
    <mergeCell ref="YJ175:YJ176"/>
    <mergeCell ref="YE174:YF174"/>
    <mergeCell ref="YJ257:YJ258"/>
    <mergeCell ref="YE233:YF234"/>
    <mergeCell ref="YE237:YF238"/>
    <mergeCell ref="YE236:YF236"/>
    <mergeCell ref="AJH103:AJH104"/>
    <mergeCell ref="AJD72:AJE72"/>
    <mergeCell ref="AIP80:AIQ80"/>
    <mergeCell ref="AIS80:AJC80"/>
    <mergeCell ref="AIQ77:AJC78"/>
    <mergeCell ref="AJA83:AJB84"/>
    <mergeCell ref="ADX91:AEH94"/>
    <mergeCell ref="ADX95:AEH98"/>
    <mergeCell ref="ADL91:ADM94"/>
    <mergeCell ref="ADN91:ADO94"/>
    <mergeCell ref="ADP91:ADQ94"/>
    <mergeCell ref="ADR91:ADS94"/>
    <mergeCell ref="ADT91:ADU94"/>
    <mergeCell ref="ADV91:ADW94"/>
    <mergeCell ref="ADL95:ADM98"/>
    <mergeCell ref="ADV82:ADW82"/>
    <mergeCell ref="ADJ83:ADK83"/>
    <mergeCell ref="ADL83:ADM83"/>
    <mergeCell ref="ADN83:ADO83"/>
    <mergeCell ref="ADP83:ADQ83"/>
    <mergeCell ref="YK151:YT153"/>
    <mergeCell ref="ADD107:ADG107"/>
    <mergeCell ref="ADD108:ADG108"/>
    <mergeCell ref="ADD109:ADG109"/>
    <mergeCell ref="AAW68:AAX68"/>
    <mergeCell ref="AAY68:AAZ68"/>
    <mergeCell ref="ADE67:ADE69"/>
    <mergeCell ref="ADH93:ADI93"/>
    <mergeCell ref="ADH107:ADI107"/>
    <mergeCell ref="ADH108:ADI108"/>
    <mergeCell ref="ADH109:ADI109"/>
    <mergeCell ref="AJA87:AJB87"/>
    <mergeCell ref="AJH88:AJH89"/>
    <mergeCell ref="AJE134:AJH134"/>
    <mergeCell ref="AJE98:AJH98"/>
    <mergeCell ref="AJE99:AJE100"/>
    <mergeCell ref="AJF99:AJG100"/>
    <mergeCell ref="AJH99:AJH100"/>
    <mergeCell ref="AJE103:AJE104"/>
    <mergeCell ref="AIM102:AIM104"/>
    <mergeCell ref="AJH114:AJK114"/>
    <mergeCell ref="AJH115:AJH116"/>
    <mergeCell ref="AJI115:AJJ116"/>
    <mergeCell ref="AIY106:AIZ106"/>
    <mergeCell ref="AJA106:AJB106"/>
    <mergeCell ref="AIP91:AIQ91"/>
    <mergeCell ref="AIS91:AJC91"/>
    <mergeCell ref="AIN103:AIZ104"/>
    <mergeCell ref="AJA103:AJB104"/>
    <mergeCell ref="AJC103:AJD104"/>
    <mergeCell ref="AJA107:AJB108"/>
    <mergeCell ref="AIQ111:AJC112"/>
    <mergeCell ref="AJD111:AJE112"/>
    <mergeCell ref="AJF111:AJG112"/>
    <mergeCell ref="AIQ115:AJC116"/>
    <mergeCell ref="AJA99:AJB100"/>
    <mergeCell ref="AJC99:AJD100"/>
    <mergeCell ref="AJD114:AJE114"/>
    <mergeCell ref="AJH110:AJK110"/>
    <mergeCell ref="AJC102:AJD102"/>
    <mergeCell ref="AJC98:AJD98"/>
    <mergeCell ref="ABM99:ABN99"/>
    <mergeCell ref="ADD93:ADG93"/>
    <mergeCell ref="ADJ129:ADK131"/>
    <mergeCell ref="AJK77:AJK78"/>
    <mergeCell ref="AJH83:AJH84"/>
    <mergeCell ref="AJE87:AJH87"/>
    <mergeCell ref="AAI67:AAJ67"/>
    <mergeCell ref="AAK67:AAL67"/>
    <mergeCell ref="AJB72:AJC72"/>
    <mergeCell ref="YK93:YK94"/>
    <mergeCell ref="AJI119:AJJ120"/>
    <mergeCell ref="YK121:YK122"/>
    <mergeCell ref="ABI67:ABJ67"/>
    <mergeCell ref="ABK67:ABL67"/>
    <mergeCell ref="ABW69:ABX69"/>
    <mergeCell ref="ADV87:ADW88"/>
    <mergeCell ref="ABO99:ABP99"/>
    <mergeCell ref="ABH100:ABI100"/>
    <mergeCell ref="ABJ100:ABK100"/>
    <mergeCell ref="ABM100:ABN100"/>
    <mergeCell ref="ABO100:ABP100"/>
    <mergeCell ref="AAF92:AAG92"/>
    <mergeCell ref="AAI84:AAJ84"/>
    <mergeCell ref="AAI85:AAJ85"/>
    <mergeCell ref="AAI86:AAJ86"/>
    <mergeCell ref="AAI87:AAJ87"/>
    <mergeCell ref="ABM89:ABN89"/>
    <mergeCell ref="ABO89:ABP89"/>
    <mergeCell ref="ABH90:ABI90"/>
    <mergeCell ref="ABJ90:ABK90"/>
    <mergeCell ref="ABM90:ABN90"/>
    <mergeCell ref="AAI68:AAJ68"/>
    <mergeCell ref="AAF93:AAG93"/>
    <mergeCell ref="AAK83:AAL83"/>
    <mergeCell ref="AAK84:AAL84"/>
    <mergeCell ref="AAK85:AAL85"/>
    <mergeCell ref="AAK86:AAL86"/>
    <mergeCell ref="AAI93:AAJ93"/>
    <mergeCell ref="AAI94:AAJ94"/>
    <mergeCell ref="AAI95:AAJ95"/>
    <mergeCell ref="AAI96:AAJ96"/>
    <mergeCell ref="ADJ87:ADK88"/>
    <mergeCell ref="ADB103:ADC104"/>
    <mergeCell ref="ADN99:ADO100"/>
    <mergeCell ref="ADP99:ADQ100"/>
    <mergeCell ref="ADR99:ADS100"/>
    <mergeCell ref="ADT99:ADU100"/>
    <mergeCell ref="ADV99:ADW100"/>
    <mergeCell ref="ADL101:ADM102"/>
    <mergeCell ref="ADN101:ADO102"/>
    <mergeCell ref="ADP101:ADQ102"/>
    <mergeCell ref="ADR101:ADS102"/>
    <mergeCell ref="ADJ99:ADK100"/>
    <mergeCell ref="AJH119:AJH120"/>
    <mergeCell ref="AAK95:AAL95"/>
    <mergeCell ref="AAK96:AAL96"/>
    <mergeCell ref="AAK97:AAL97"/>
    <mergeCell ref="ABJ86:ABK86"/>
    <mergeCell ref="ABM86:ABN86"/>
    <mergeCell ref="ABO86:ABP86"/>
    <mergeCell ref="ABH88:ABI88"/>
    <mergeCell ref="ABJ88:ABK88"/>
    <mergeCell ref="ABM88:ABN88"/>
    <mergeCell ref="ABO88:ABP88"/>
    <mergeCell ref="ABH89:ABI89"/>
    <mergeCell ref="AAF97:AAG97"/>
    <mergeCell ref="AAF98:AAG98"/>
    <mergeCell ref="AJC174:AJD175"/>
    <mergeCell ref="AIN131:AIZ132"/>
    <mergeCell ref="AJA151:AJB152"/>
    <mergeCell ref="YD103:YE103"/>
    <mergeCell ref="AAM56:AAN56"/>
    <mergeCell ref="AAM57:AAN57"/>
    <mergeCell ref="AIN65:AIZ66"/>
    <mergeCell ref="AJA68:AJB68"/>
    <mergeCell ref="AIN69:AIZ70"/>
    <mergeCell ref="AJA69:AJB70"/>
    <mergeCell ref="AIM65:AIM66"/>
    <mergeCell ref="AIM69:AIM70"/>
    <mergeCell ref="AJC82:AJD82"/>
    <mergeCell ref="YE132:YF133"/>
    <mergeCell ref="AIM60:AIM62"/>
    <mergeCell ref="AIY60:AIZ60"/>
    <mergeCell ref="AJA60:AJB60"/>
    <mergeCell ref="ABO90:ABP90"/>
    <mergeCell ref="AAX85:AAY85"/>
    <mergeCell ref="AAZ85:ABA85"/>
    <mergeCell ref="ABC85:ABD85"/>
    <mergeCell ref="ABE85:ABF85"/>
    <mergeCell ref="AAX86:AAY86"/>
    <mergeCell ref="AAZ86:ABA86"/>
    <mergeCell ref="YG92:YK92"/>
    <mergeCell ref="YJ103:YM103"/>
    <mergeCell ref="YC93:YD94"/>
    <mergeCell ref="XU96:YE97"/>
    <mergeCell ref="YF96:YF97"/>
    <mergeCell ref="ADJ101:ADK102"/>
    <mergeCell ref="ADJ103:ADK104"/>
    <mergeCell ref="ADJ105:ADK106"/>
    <mergeCell ref="ADJ115:ADK117"/>
    <mergeCell ref="ADL115:ADM117"/>
    <mergeCell ref="AAD88:AAE88"/>
    <mergeCell ref="AAD89:AAE89"/>
    <mergeCell ref="AAD90:AAE90"/>
    <mergeCell ref="AAD91:AAE91"/>
    <mergeCell ref="AAD85:AAE85"/>
    <mergeCell ref="AAD86:AAE86"/>
    <mergeCell ref="AAD87:AAE87"/>
    <mergeCell ref="AAD84:AAE84"/>
    <mergeCell ref="AAF69:AAG69"/>
    <mergeCell ref="AAD70:AAE70"/>
    <mergeCell ref="AAF70:AAG70"/>
    <mergeCell ref="ABJ79:ABK79"/>
    <mergeCell ref="ABM79:ABN79"/>
    <mergeCell ref="ABS70:ABT70"/>
    <mergeCell ref="ABU70:ABV70"/>
    <mergeCell ref="YC168:YD169"/>
    <mergeCell ref="AJA147:AJB148"/>
    <mergeCell ref="AJC143:AJD144"/>
    <mergeCell ref="AJA123:AJB124"/>
    <mergeCell ref="AJC123:AJD124"/>
    <mergeCell ref="AIY146:AIZ146"/>
    <mergeCell ref="AJA146:AJB146"/>
    <mergeCell ref="AJC146:AJD146"/>
    <mergeCell ref="ABW131:ABX131"/>
    <mergeCell ref="YM157:YM159"/>
    <mergeCell ref="AJA150:AJB150"/>
    <mergeCell ref="AJC150:AJD150"/>
    <mergeCell ref="AIY154:AIZ154"/>
    <mergeCell ref="AJA155:AJB156"/>
    <mergeCell ref="YC175:YD176"/>
    <mergeCell ref="AJC239:AJD240"/>
    <mergeCell ref="AIM232:AIM234"/>
    <mergeCell ref="AIY232:AIZ232"/>
    <mergeCell ref="AJA232:AJB232"/>
    <mergeCell ref="AJC232:AJD232"/>
    <mergeCell ref="AIP236:AIQ236"/>
    <mergeCell ref="AIS236:AJC236"/>
    <mergeCell ref="AIM228:AIM230"/>
    <mergeCell ref="AIY228:AIZ228"/>
    <mergeCell ref="AJA228:AJB228"/>
    <mergeCell ref="AIM220:AIM222"/>
    <mergeCell ref="YE168:YF169"/>
    <mergeCell ref="AJC225:AJD226"/>
    <mergeCell ref="AJC221:AJD222"/>
    <mergeCell ref="AIM178:AIM180"/>
    <mergeCell ref="AIM173:AIM175"/>
    <mergeCell ref="AIY173:AIZ173"/>
    <mergeCell ref="AIS157:AJC157"/>
    <mergeCell ref="AIN166:AIZ167"/>
    <mergeCell ref="AJA166:AJB167"/>
    <mergeCell ref="AJC165:AJD165"/>
    <mergeCell ref="AJA187:AJB188"/>
    <mergeCell ref="AJC187:AJD188"/>
    <mergeCell ref="AJA193:AJB194"/>
    <mergeCell ref="AIM166:AIM167"/>
    <mergeCell ref="AIM182:AIO184"/>
    <mergeCell ref="AAK101:AAL101"/>
    <mergeCell ref="AAK78:AAL78"/>
    <mergeCell ref="ABC89:ABD89"/>
    <mergeCell ref="ABE89:ABF89"/>
    <mergeCell ref="YG108:YG109"/>
    <mergeCell ref="YH121:YJ122"/>
    <mergeCell ref="YL107:YS107"/>
    <mergeCell ref="ABE98:ABF98"/>
    <mergeCell ref="AAX99:AAY99"/>
    <mergeCell ref="AAZ99:ABA99"/>
    <mergeCell ref="ABC99:ABD99"/>
    <mergeCell ref="ADH87:ADI87"/>
    <mergeCell ref="ADH89:ADI89"/>
    <mergeCell ref="ADD87:ADG87"/>
    <mergeCell ref="ADD89:ADG89"/>
    <mergeCell ref="AAI88:AAJ88"/>
    <mergeCell ref="AAI89:AAJ89"/>
    <mergeCell ref="YE125:YF126"/>
    <mergeCell ref="AAK88:AAL88"/>
    <mergeCell ref="AAI98:AAJ98"/>
    <mergeCell ref="AAI99:AAJ99"/>
    <mergeCell ref="AAI100:AAJ100"/>
    <mergeCell ref="AAI101:AAJ101"/>
    <mergeCell ref="AAI102:AAJ102"/>
    <mergeCell ref="AAI103:AAJ103"/>
    <mergeCell ref="AAI104:AAJ104"/>
    <mergeCell ref="AAI105:AAJ105"/>
    <mergeCell ref="AAI106:AAJ106"/>
    <mergeCell ref="AAI107:AAJ107"/>
    <mergeCell ref="AAI108:AAJ108"/>
    <mergeCell ref="AAI109:AAJ109"/>
    <mergeCell ref="AJC159:AJD160"/>
    <mergeCell ref="AIN187:AIZ188"/>
    <mergeCell ref="AIN239:AIZ240"/>
    <mergeCell ref="AJC135:AJD136"/>
    <mergeCell ref="AJA143:AJB144"/>
    <mergeCell ref="AIQ119:AJC120"/>
    <mergeCell ref="AJD119:AJE120"/>
    <mergeCell ref="AJE165:AJH165"/>
    <mergeCell ref="AIY169:AIZ169"/>
    <mergeCell ref="AJE170:AJE171"/>
    <mergeCell ref="AJF170:AJG171"/>
    <mergeCell ref="YC107:YD107"/>
    <mergeCell ref="AIP125:AIQ125"/>
    <mergeCell ref="AJE122:AJH122"/>
    <mergeCell ref="AIP157:AIQ157"/>
    <mergeCell ref="XS278:XT278"/>
    <mergeCell ref="XP279:XR279"/>
    <mergeCell ref="XS279:XT279"/>
    <mergeCell ref="YA226:YB226"/>
    <mergeCell ref="YC244:YD245"/>
    <mergeCell ref="YL124:YQ124"/>
    <mergeCell ref="YC120:YD120"/>
    <mergeCell ref="YE120:YF120"/>
    <mergeCell ref="AJE123:AJE124"/>
    <mergeCell ref="AJF123:AJG124"/>
    <mergeCell ref="AJD115:AJE116"/>
    <mergeCell ref="AJF115:AJG116"/>
    <mergeCell ref="AJA131:AJB132"/>
    <mergeCell ref="AJC131:AJD132"/>
    <mergeCell ref="AJA135:AJB136"/>
    <mergeCell ref="AJE169:AJH169"/>
    <mergeCell ref="AAN127:AAO127"/>
    <mergeCell ref="AAP127:AAQ127"/>
    <mergeCell ref="YE217:YF217"/>
    <mergeCell ref="AAK110:AAL110"/>
    <mergeCell ref="AAK111:AAL111"/>
    <mergeCell ref="AAK112:AAL112"/>
    <mergeCell ref="AAK113:AAL113"/>
    <mergeCell ref="ADJ107:ADK110"/>
    <mergeCell ref="ADP115:ADQ117"/>
    <mergeCell ref="ADR115:ADS117"/>
    <mergeCell ref="ADT115:ADU117"/>
    <mergeCell ref="ADV115:ADW117"/>
    <mergeCell ref="ADP107:ADQ110"/>
    <mergeCell ref="ADR107:ADS110"/>
    <mergeCell ref="ADT107:ADU110"/>
    <mergeCell ref="ADV107:ADW110"/>
    <mergeCell ref="ADX123:AEC125"/>
    <mergeCell ref="AJA154:AJB154"/>
    <mergeCell ref="AJC154:AJD154"/>
    <mergeCell ref="AIM122:AIM124"/>
    <mergeCell ref="XQ180:XR180"/>
    <mergeCell ref="ADL111:ADM114"/>
    <mergeCell ref="YE257:YF258"/>
    <mergeCell ref="YC261:YD261"/>
    <mergeCell ref="XV136:XW136"/>
    <mergeCell ref="XV273:XW273"/>
    <mergeCell ref="XT198:YB200"/>
    <mergeCell ref="XP198:XQ198"/>
    <mergeCell ref="XR198:XS198"/>
    <mergeCell ref="XP199:XQ199"/>
    <mergeCell ref="XR199:XS199"/>
    <mergeCell ref="XP133:XR133"/>
    <mergeCell ref="XS133:XT133"/>
    <mergeCell ref="XS132:XT132"/>
    <mergeCell ref="XU132:YB134"/>
    <mergeCell ref="XP132:XR132"/>
    <mergeCell ref="AAI110:AAJ110"/>
    <mergeCell ref="AAI111:AAJ111"/>
    <mergeCell ref="AJE178:AJF179"/>
    <mergeCell ref="AJF193:AJG194"/>
    <mergeCell ref="XO289:XO291"/>
    <mergeCell ref="YA289:YB289"/>
    <mergeCell ref="YC262:YD263"/>
    <mergeCell ref="YE262:YF263"/>
    <mergeCell ref="YG290:YG291"/>
    <mergeCell ref="YH290:YI291"/>
    <mergeCell ref="YJ290:YJ291"/>
    <mergeCell ref="YE290:YF291"/>
    <mergeCell ref="XU169:XV169"/>
    <mergeCell ref="XP169:XQ169"/>
    <mergeCell ref="XR169:XS169"/>
    <mergeCell ref="XO218:XO220"/>
    <mergeCell ref="AIY158:AIZ158"/>
    <mergeCell ref="AIY177:AIZ177"/>
    <mergeCell ref="AJD177:AJG177"/>
    <mergeCell ref="AIN178:AIZ180"/>
    <mergeCell ref="AJD178:AJD179"/>
    <mergeCell ref="AIY192:AIZ192"/>
    <mergeCell ref="AIP182:AIP184"/>
    <mergeCell ref="YD170:YE170"/>
    <mergeCell ref="XO273:XO275"/>
    <mergeCell ref="YJ278:YJ279"/>
    <mergeCell ref="AJA238:AJB238"/>
    <mergeCell ref="YK250:YK251"/>
    <mergeCell ref="AJE192:AJH192"/>
    <mergeCell ref="AJA177:AJC180"/>
    <mergeCell ref="AJH159:AJH160"/>
    <mergeCell ref="AJH166:AJH167"/>
    <mergeCell ref="XU168:XV168"/>
    <mergeCell ref="XU269:YB271"/>
    <mergeCell ref="XT197:XU197"/>
    <mergeCell ref="XP223:YB224"/>
    <mergeCell ref="YJ227:YJ228"/>
    <mergeCell ref="AJF166:AJG167"/>
    <mergeCell ref="YA261:YB261"/>
    <mergeCell ref="YA268:YB268"/>
    <mergeCell ref="YA243:YB243"/>
    <mergeCell ref="XR187:XR189"/>
    <mergeCell ref="YA217:YB217"/>
    <mergeCell ref="XU172:YE172"/>
    <mergeCell ref="XS162:YE163"/>
    <mergeCell ref="YA167:YB167"/>
    <mergeCell ref="AJA158:AJB158"/>
    <mergeCell ref="YE244:YF245"/>
    <mergeCell ref="YH262:YI263"/>
    <mergeCell ref="XO226:XO228"/>
    <mergeCell ref="XO222:XO224"/>
    <mergeCell ref="AJA239:AJB240"/>
    <mergeCell ref="AJE159:AJE160"/>
    <mergeCell ref="AJF174:AJG175"/>
    <mergeCell ref="AJH174:AJH175"/>
    <mergeCell ref="YC257:YD258"/>
    <mergeCell ref="YK290:YN291"/>
    <mergeCell ref="XP291:XQ291"/>
    <mergeCell ref="XT290:YB291"/>
    <mergeCell ref="XP280:XR280"/>
    <mergeCell ref="XS273:XU273"/>
    <mergeCell ref="YE232:YF232"/>
    <mergeCell ref="AIM238:AIM240"/>
    <mergeCell ref="YG233:YG234"/>
    <mergeCell ref="YG237:YG238"/>
    <mergeCell ref="AJC158:AJD158"/>
    <mergeCell ref="AIM212:AIM214"/>
    <mergeCell ref="AJC169:AJD169"/>
    <mergeCell ref="AJX221:AKJ222"/>
    <mergeCell ref="AKK221:AKL222"/>
    <mergeCell ref="AKM221:AKN222"/>
    <mergeCell ref="AKI220:AKJ220"/>
    <mergeCell ref="AKK220:AKL220"/>
    <mergeCell ref="AKM220:AKN220"/>
    <mergeCell ref="AKI224:AKJ224"/>
    <mergeCell ref="AKK224:AKL224"/>
    <mergeCell ref="AKM224:AKN224"/>
    <mergeCell ref="AIM208:AIM210"/>
    <mergeCell ref="AIY208:AIZ208"/>
    <mergeCell ref="AJF216:AJG216"/>
    <mergeCell ref="AJH216:AJK216"/>
    <mergeCell ref="AJH217:AJH218"/>
    <mergeCell ref="AJI217:AJJ218"/>
    <mergeCell ref="AJK217:AJK218"/>
    <mergeCell ref="AJC205:AJD206"/>
    <mergeCell ref="AIN209:AIZ210"/>
    <mergeCell ref="AJC212:AJD212"/>
    <mergeCell ref="AJA221:AJB222"/>
    <mergeCell ref="AIQ217:AJC218"/>
    <mergeCell ref="AJD217:AJE218"/>
    <mergeCell ref="AJF221:AJG222"/>
    <mergeCell ref="AJH221:AJH222"/>
    <mergeCell ref="AJF183:AJG184"/>
    <mergeCell ref="AIP190:AIQ190"/>
    <mergeCell ref="AJD183:AJE184"/>
    <mergeCell ref="AJD182:AJE182"/>
    <mergeCell ref="YE212:YF213"/>
    <mergeCell ref="AJA186:AJB186"/>
    <mergeCell ref="AIY186:AIZ186"/>
    <mergeCell ref="AJC192:AJD192"/>
    <mergeCell ref="AJF205:AJG206"/>
    <mergeCell ref="AJF209:AJG210"/>
    <mergeCell ref="AJH209:AJH210"/>
    <mergeCell ref="AJC201:AJD202"/>
    <mergeCell ref="AJF213:AJG214"/>
    <mergeCell ref="AJE201:AJE202"/>
    <mergeCell ref="AJE205:AJE206"/>
    <mergeCell ref="AJI200:AJK200"/>
    <mergeCell ref="AJI201:AJK202"/>
    <mergeCell ref="AJL182:AJN182"/>
    <mergeCell ref="AJL183:AJN184"/>
    <mergeCell ref="YE197:YF197"/>
    <mergeCell ref="YE211:YF211"/>
    <mergeCell ref="YE198:YF199"/>
    <mergeCell ref="YL218:YV220"/>
    <mergeCell ref="YL217:YV217"/>
    <mergeCell ref="AIN205:AIZ206"/>
    <mergeCell ref="AIN193:AIZ194"/>
    <mergeCell ref="AJH183:AJH184"/>
    <mergeCell ref="AJE220:AJH220"/>
    <mergeCell ref="AJA209:AJB210"/>
    <mergeCell ref="AIY220:AIZ220"/>
    <mergeCell ref="AIY224:AIZ224"/>
    <mergeCell ref="AJA224:AJB224"/>
    <mergeCell ref="AJC224:AJD224"/>
    <mergeCell ref="AIM224:AIM226"/>
    <mergeCell ref="AIN225:AIZ226"/>
    <mergeCell ref="YG218:YG219"/>
    <mergeCell ref="XU209:YE209"/>
    <mergeCell ref="YC198:YD199"/>
    <mergeCell ref="AIY212:AIZ212"/>
    <mergeCell ref="AJA212:AJB212"/>
    <mergeCell ref="YA320:YB320"/>
    <mergeCell ref="YC320:YD320"/>
    <mergeCell ref="YE320:YF320"/>
    <mergeCell ref="YG320:YJ320"/>
    <mergeCell ref="YG321:YG322"/>
    <mergeCell ref="YH321:YI322"/>
    <mergeCell ref="YJ321:YJ322"/>
    <mergeCell ref="AJC186:AJD186"/>
    <mergeCell ref="AJE186:AJH186"/>
    <mergeCell ref="AJE187:AJE188"/>
    <mergeCell ref="AJF187:AJG188"/>
    <mergeCell ref="AJH187:AJH188"/>
    <mergeCell ref="YC289:YD289"/>
    <mergeCell ref="YE289:YF289"/>
    <mergeCell ref="YG289:YJ289"/>
    <mergeCell ref="YJ274:YJ275"/>
    <mergeCell ref="AJC197:AJD198"/>
    <mergeCell ref="AJA205:AJB206"/>
    <mergeCell ref="AJE212:AJH212"/>
    <mergeCell ref="AJE213:AJE214"/>
    <mergeCell ref="YA256:YB256"/>
    <mergeCell ref="YC299:YD299"/>
    <mergeCell ref="YE299:YF299"/>
    <mergeCell ref="YC227:YD228"/>
    <mergeCell ref="YC226:YD226"/>
    <mergeCell ref="YE273:YF273"/>
    <mergeCell ref="YK300:YK301"/>
    <mergeCell ref="AJF217:AJG218"/>
    <mergeCell ref="AJE208:AJH208"/>
    <mergeCell ref="AJA220:AJB220"/>
    <mergeCell ref="YG269:YG270"/>
    <mergeCell ref="YH257:YI258"/>
    <mergeCell ref="YC321:YD322"/>
    <mergeCell ref="AJA208:AJB208"/>
    <mergeCell ref="AJC208:AJD208"/>
    <mergeCell ref="AIY196:AIZ196"/>
    <mergeCell ref="AJA196:AJB196"/>
    <mergeCell ref="AJC196:AJD196"/>
    <mergeCell ref="AIN197:AIZ198"/>
    <mergeCell ref="AIY200:AIZ200"/>
    <mergeCell ref="AJA200:AJB200"/>
    <mergeCell ref="AJF239:AJG240"/>
    <mergeCell ref="YA197:YB197"/>
    <mergeCell ref="YC197:YD197"/>
    <mergeCell ref="XP212:YB213"/>
    <mergeCell ref="YC212:YD213"/>
    <mergeCell ref="YC305:YD306"/>
    <mergeCell ref="YE305:YF306"/>
    <mergeCell ref="XR284:XS284"/>
    <mergeCell ref="YK282:YN282"/>
    <mergeCell ref="XP283:XQ283"/>
    <mergeCell ref="XR283:XS283"/>
    <mergeCell ref="XP284:XQ284"/>
    <mergeCell ref="YA282:YB282"/>
    <mergeCell ref="YE261:YF261"/>
    <mergeCell ref="YG261:YJ261"/>
    <mergeCell ref="YJ262:YJ263"/>
    <mergeCell ref="YG257:YG258"/>
    <mergeCell ref="XQ317:XQ318"/>
    <mergeCell ref="XT293:XU293"/>
    <mergeCell ref="XR291:XS291"/>
    <mergeCell ref="XR290:XS290"/>
    <mergeCell ref="XP290:XQ290"/>
    <mergeCell ref="YK289:YN289"/>
    <mergeCell ref="AKO220:AKR220"/>
    <mergeCell ref="AJE225:AJE226"/>
    <mergeCell ref="AJF225:AJG226"/>
    <mergeCell ref="AJH225:AJH226"/>
    <mergeCell ref="AJA225:AJB226"/>
    <mergeCell ref="AJF182:AJG182"/>
    <mergeCell ref="AJE204:AJH204"/>
    <mergeCell ref="YK218:YK219"/>
    <mergeCell ref="YC269:YD270"/>
    <mergeCell ref="YE269:YF270"/>
    <mergeCell ref="YC274:YD275"/>
    <mergeCell ref="YE274:YF275"/>
    <mergeCell ref="YC268:YD268"/>
    <mergeCell ref="YE268:YF268"/>
    <mergeCell ref="AJH229:AJH230"/>
    <mergeCell ref="AJE232:AJH232"/>
    <mergeCell ref="AJE233:AJE234"/>
    <mergeCell ref="AJF233:AJG234"/>
    <mergeCell ref="AJH233:AJH234"/>
    <mergeCell ref="AJW225:AJW226"/>
    <mergeCell ref="AJW221:AJW222"/>
    <mergeCell ref="AJE221:AJE222"/>
    <mergeCell ref="AIN221:AIZ222"/>
    <mergeCell ref="AKR225:AKR226"/>
    <mergeCell ref="AJH213:AJH214"/>
    <mergeCell ref="AIP216:AIP218"/>
    <mergeCell ref="AJB216:AJC216"/>
    <mergeCell ref="AJC193:AJD194"/>
    <mergeCell ref="AJC209:AJD210"/>
    <mergeCell ref="YG262:YG263"/>
    <mergeCell ref="YC223:YD224"/>
    <mergeCell ref="AKO224:AKR224"/>
    <mergeCell ref="YC218:YD219"/>
    <mergeCell ref="YE218:YF219"/>
    <mergeCell ref="YC222:YD222"/>
    <mergeCell ref="YE222:YF222"/>
    <mergeCell ref="AJX225:AKJ226"/>
    <mergeCell ref="AKK225:AKL226"/>
    <mergeCell ref="AJC238:AJD238"/>
    <mergeCell ref="AJE238:AJH238"/>
    <mergeCell ref="AKP225:AKQ226"/>
    <mergeCell ref="AKM225:AKN226"/>
    <mergeCell ref="AKO225:AKO226"/>
    <mergeCell ref="YC250:YD251"/>
    <mergeCell ref="YE250:YF251"/>
    <mergeCell ref="AKO221:AKO222"/>
    <mergeCell ref="AKP221:AKQ222"/>
    <mergeCell ref="AKR221:AKR222"/>
    <mergeCell ref="AJE224:AJH224"/>
    <mergeCell ref="AJE229:AJE230"/>
    <mergeCell ref="AJF229:AJG230"/>
    <mergeCell ref="YE227:YF228"/>
    <mergeCell ref="YC237:YD238"/>
    <mergeCell ref="AJE196:AJH196"/>
    <mergeCell ref="AIM204:AIM206"/>
    <mergeCell ref="AIY238:AIZ238"/>
    <mergeCell ref="AJF197:AJG198"/>
    <mergeCell ref="AJH201:AJH202"/>
    <mergeCell ref="AJH205:AJH206"/>
    <mergeCell ref="AJH197:AJH198"/>
    <mergeCell ref="AJE209:AJE210"/>
    <mergeCell ref="AJN244:AJP245"/>
    <mergeCell ref="AIM197:AIM198"/>
    <mergeCell ref="AJH239:AJH240"/>
    <mergeCell ref="XG190:XG191"/>
    <mergeCell ref="XJ166:XJ167"/>
    <mergeCell ref="XJ190:XJ191"/>
    <mergeCell ref="WO181:WO183"/>
    <mergeCell ref="XC181:XD181"/>
    <mergeCell ref="XE181:XF181"/>
    <mergeCell ref="XG181:XJ181"/>
    <mergeCell ref="WP182:XB183"/>
    <mergeCell ref="XA181:XB181"/>
    <mergeCell ref="QG112:QN112"/>
    <mergeCell ref="QG113:QN115"/>
    <mergeCell ref="TU116:TZ116"/>
    <mergeCell ref="UO114:UR114"/>
    <mergeCell ref="UK114:UN114"/>
    <mergeCell ref="XW167:XX167"/>
    <mergeCell ref="AAI116:AAJ116"/>
    <mergeCell ref="AAI117:AAJ117"/>
    <mergeCell ref="AAK123:AAL123"/>
    <mergeCell ref="AAK124:AAL124"/>
    <mergeCell ref="AAK125:AAL125"/>
    <mergeCell ref="AAK126:AAL126"/>
    <mergeCell ref="AAK127:AAL127"/>
    <mergeCell ref="AAK128:AAL128"/>
    <mergeCell ref="AAK129:AAL129"/>
    <mergeCell ref="AAK130:AAL130"/>
    <mergeCell ref="AAK131:AAL131"/>
    <mergeCell ref="AAK132:AAL132"/>
    <mergeCell ref="AAK133:AAL133"/>
    <mergeCell ref="XO140:XO143"/>
    <mergeCell ref="WO153:WO155"/>
    <mergeCell ref="WP166:XB167"/>
    <mergeCell ref="UO116:UR116"/>
    <mergeCell ref="YC179:YD179"/>
    <mergeCell ref="XC190:XD191"/>
    <mergeCell ref="YJ168:YJ169"/>
    <mergeCell ref="YC151:YD152"/>
    <mergeCell ref="YE151:YF152"/>
    <mergeCell ref="YG151:YG152"/>
    <mergeCell ref="YH114:YI115"/>
    <mergeCell ref="YJ114:YJ115"/>
    <mergeCell ref="XO174:XO177"/>
    <mergeCell ref="YG170:YH170"/>
    <mergeCell ref="YA174:YB174"/>
    <mergeCell ref="YC174:YD174"/>
    <mergeCell ref="YH175:YI176"/>
    <mergeCell ref="XE157:XF157"/>
    <mergeCell ref="XG162:XG163"/>
    <mergeCell ref="YC146:YD147"/>
    <mergeCell ref="YG125:YG126"/>
    <mergeCell ref="YK125:YK126"/>
    <mergeCell ref="YE140:YF140"/>
    <mergeCell ref="XR118:XS118"/>
    <mergeCell ref="XE182:XF183"/>
    <mergeCell ref="XG182:XG183"/>
    <mergeCell ref="XH182:XI183"/>
    <mergeCell ref="XC174:XD175"/>
    <mergeCell ref="XG173:XJ173"/>
    <mergeCell ref="WP174:XB175"/>
    <mergeCell ref="XY157:YL159"/>
    <mergeCell ref="XP167:XQ167"/>
    <mergeCell ref="XP174:XQ174"/>
    <mergeCell ref="XP179:XQ179"/>
    <mergeCell ref="QJ131:QK131"/>
    <mergeCell ref="WO148:WP149"/>
    <mergeCell ref="AJE239:AJE240"/>
    <mergeCell ref="AJF159:AJG160"/>
    <mergeCell ref="AJC228:AJD228"/>
    <mergeCell ref="AJA229:AJB230"/>
    <mergeCell ref="AIN229:AIZ230"/>
    <mergeCell ref="YG226:YJ226"/>
    <mergeCell ref="AJC155:AJD156"/>
    <mergeCell ref="AIN233:AIZ234"/>
    <mergeCell ref="AJC173:AJD173"/>
    <mergeCell ref="AJA192:AJB192"/>
    <mergeCell ref="YA140:YB140"/>
    <mergeCell ref="AJC204:AJD204"/>
    <mergeCell ref="AJA197:AJB198"/>
    <mergeCell ref="AIM186:AIM188"/>
    <mergeCell ref="AJA201:AJB202"/>
    <mergeCell ref="AJF201:AJG202"/>
    <mergeCell ref="AJE166:AJE167"/>
    <mergeCell ref="AJA165:AJB165"/>
    <mergeCell ref="AJE174:AJE175"/>
    <mergeCell ref="AJE193:AJE194"/>
    <mergeCell ref="AJA126:AJB126"/>
    <mergeCell ref="AIN143:AIZ144"/>
    <mergeCell ref="AIN147:AIZ148"/>
    <mergeCell ref="AIN135:AIZ136"/>
    <mergeCell ref="AJC147:AJD148"/>
    <mergeCell ref="AIS125:AJC125"/>
    <mergeCell ref="AJF143:AJG144"/>
    <mergeCell ref="ABY105:ABZ105"/>
    <mergeCell ref="ABR106:ABS106"/>
    <mergeCell ref="ABT106:ABU106"/>
    <mergeCell ref="ABW106:ABX106"/>
    <mergeCell ref="WO150:WV150"/>
    <mergeCell ref="SK106:SN106"/>
    <mergeCell ref="SO106:SS106"/>
    <mergeCell ref="XA169:XB169"/>
    <mergeCell ref="XP192:YB193"/>
    <mergeCell ref="TI114:TL114"/>
    <mergeCell ref="AJF155:AJG156"/>
    <mergeCell ref="AIY165:AIZ165"/>
    <mergeCell ref="AJF118:AJG118"/>
    <mergeCell ref="XA165:XB165"/>
    <mergeCell ref="XJ154:XJ155"/>
    <mergeCell ref="XV150:XW150"/>
    <mergeCell ref="YC150:YD150"/>
    <mergeCell ref="YE150:YF150"/>
    <mergeCell ref="XJ170:XJ171"/>
    <mergeCell ref="AJA169:AJB169"/>
    <mergeCell ref="WT148:WU149"/>
    <mergeCell ref="UO115:UR115"/>
    <mergeCell ref="TU117:TZ117"/>
    <mergeCell ref="UA114:UB114"/>
    <mergeCell ref="UA115:UB115"/>
    <mergeCell ref="US116:UW116"/>
    <mergeCell ref="US117:UW117"/>
    <mergeCell ref="US118:UW118"/>
    <mergeCell ref="AIY122:AIZ122"/>
    <mergeCell ref="AJA122:AJB122"/>
    <mergeCell ref="AJC122:AJD122"/>
    <mergeCell ref="TF108:TH108"/>
    <mergeCell ref="TQ108:TT108"/>
    <mergeCell ref="TU108:TZ108"/>
    <mergeCell ref="SO107:SS107"/>
    <mergeCell ref="WT132:WV133"/>
    <mergeCell ref="UO118:UR118"/>
    <mergeCell ref="AJE154:AJH154"/>
    <mergeCell ref="AJC151:AJD152"/>
    <mergeCell ref="XD136:XE136"/>
    <mergeCell ref="WS132:WS133"/>
    <mergeCell ref="XC131:XE133"/>
    <mergeCell ref="UK117:UN117"/>
    <mergeCell ref="UO112:UR112"/>
    <mergeCell ref="SO113:SS113"/>
    <mergeCell ref="AAI112:AAJ112"/>
    <mergeCell ref="AAI126:AAJ126"/>
    <mergeCell ref="AAI127:AAJ127"/>
    <mergeCell ref="AAI128:AAJ128"/>
    <mergeCell ref="AAI129:AAJ129"/>
    <mergeCell ref="AAI130:AAJ130"/>
    <mergeCell ref="AAI131:AAJ131"/>
    <mergeCell ref="AAF124:AAG124"/>
    <mergeCell ref="AAK107:AAL107"/>
    <mergeCell ref="AAK108:AAL108"/>
    <mergeCell ref="AAD120:AAE120"/>
    <mergeCell ref="AAD121:AAE121"/>
    <mergeCell ref="AAD122:AAE122"/>
    <mergeCell ref="AAD123:AAE123"/>
    <mergeCell ref="AAF112:AAG112"/>
    <mergeCell ref="AAF113:AAG113"/>
    <mergeCell ref="AAF114:AAG114"/>
    <mergeCell ref="AAF115:AAG115"/>
    <mergeCell ref="YC232:YD232"/>
    <mergeCell ref="XJ182:XJ183"/>
    <mergeCell ref="TI108:TL108"/>
    <mergeCell ref="TM108:TP108"/>
    <mergeCell ref="XJ198:XJ199"/>
    <mergeCell ref="WO197:WO199"/>
    <mergeCell ref="TF110:TH110"/>
    <mergeCell ref="UK110:UN110"/>
    <mergeCell ref="UO113:UR113"/>
    <mergeCell ref="UK113:UN113"/>
    <mergeCell ref="UK111:UN111"/>
    <mergeCell ref="UK115:UN115"/>
    <mergeCell ref="UK118:UN118"/>
    <mergeCell ref="UA118:UB118"/>
    <mergeCell ref="SO117:SS117"/>
    <mergeCell ref="WO147:WP147"/>
    <mergeCell ref="WQ147:WR147"/>
    <mergeCell ref="WS147:WV147"/>
    <mergeCell ref="WR142:WS142"/>
    <mergeCell ref="UO117:UR117"/>
    <mergeCell ref="XC194:XD195"/>
    <mergeCell ref="XF141:XG142"/>
    <mergeCell ref="XH141:XH142"/>
    <mergeCell ref="XG198:XG199"/>
    <mergeCell ref="XH198:XI199"/>
    <mergeCell ref="XA189:XB189"/>
    <mergeCell ref="XF136:XG136"/>
    <mergeCell ref="WP194:XB195"/>
    <mergeCell ref="XC189:XD189"/>
    <mergeCell ref="XH194:XI195"/>
    <mergeCell ref="WO193:WO195"/>
    <mergeCell ref="XC193:XD193"/>
    <mergeCell ref="WO189:WO191"/>
    <mergeCell ref="XE173:XF173"/>
    <mergeCell ref="UK116:UN116"/>
    <mergeCell ref="TM114:TP114"/>
    <mergeCell ref="TQ114:TT114"/>
    <mergeCell ref="TU114:TZ114"/>
    <mergeCell ref="XG174:XG175"/>
    <mergeCell ref="XH174:XI175"/>
    <mergeCell ref="US109:UW109"/>
    <mergeCell ref="US110:UW110"/>
    <mergeCell ref="US111:UW111"/>
    <mergeCell ref="US112:UW112"/>
    <mergeCell ref="US113:UW113"/>
    <mergeCell ref="US114:UW114"/>
    <mergeCell ref="US115:UW115"/>
    <mergeCell ref="VB124:VX151"/>
    <mergeCell ref="XF140:XG140"/>
    <mergeCell ref="WB148:WN150"/>
    <mergeCell ref="XH140:XK140"/>
    <mergeCell ref="XD140:XE140"/>
    <mergeCell ref="WT131:WV131"/>
    <mergeCell ref="XS136:XU136"/>
    <mergeCell ref="UK109:UN109"/>
    <mergeCell ref="XT108:YB109"/>
    <mergeCell ref="WS148:WS149"/>
    <mergeCell ref="YE321:YF322"/>
    <mergeCell ref="PM64:PM66"/>
    <mergeCell ref="PY64:PZ64"/>
    <mergeCell ref="YC278:YD279"/>
    <mergeCell ref="QC45:QC46"/>
    <mergeCell ref="QD45:QE46"/>
    <mergeCell ref="QH37:QH38"/>
    <mergeCell ref="PM40:PM42"/>
    <mergeCell ref="UK37:UN37"/>
    <mergeCell ref="RD60:RE60"/>
    <mergeCell ref="RF75:RI75"/>
    <mergeCell ref="RF76:RI76"/>
    <mergeCell ref="WS53:WT54"/>
    <mergeCell ref="WS55:WT56"/>
    <mergeCell ref="XA55:XB56"/>
    <mergeCell ref="WO43:WP44"/>
    <mergeCell ref="WQ47:WR48"/>
    <mergeCell ref="XA45:XB46"/>
    <mergeCell ref="XC45:XD46"/>
    <mergeCell ref="WW57:WX58"/>
    <mergeCell ref="WY57:WZ58"/>
    <mergeCell ref="XA57:XB58"/>
    <mergeCell ref="XC57:XD58"/>
    <mergeCell ref="XO113:XO116"/>
    <mergeCell ref="WO173:WO175"/>
    <mergeCell ref="WO165:WO167"/>
    <mergeCell ref="XO150:XO153"/>
    <mergeCell ref="XO131:XO134"/>
    <mergeCell ref="WV148:WV149"/>
    <mergeCell ref="XG161:XJ161"/>
    <mergeCell ref="XC158:XD159"/>
    <mergeCell ref="XH162:XI163"/>
    <mergeCell ref="XJ162:XJ163"/>
    <mergeCell ref="XA161:XB161"/>
    <mergeCell ref="WP154:XB155"/>
    <mergeCell ref="XC154:XD155"/>
    <mergeCell ref="XG165:XJ165"/>
    <mergeCell ref="XC162:XD163"/>
    <mergeCell ref="XE162:XF163"/>
    <mergeCell ref="YA191:YB191"/>
    <mergeCell ref="YC191:YD191"/>
    <mergeCell ref="WS41:WT42"/>
    <mergeCell ref="XC43:XD44"/>
    <mergeCell ref="YC236:YD236"/>
    <mergeCell ref="YD187:YE187"/>
    <mergeCell ref="YC217:YD217"/>
    <mergeCell ref="YC180:YD181"/>
    <mergeCell ref="YA236:YB236"/>
    <mergeCell ref="YC233:YD234"/>
    <mergeCell ref="YA249:YB249"/>
    <mergeCell ref="YC249:YD249"/>
    <mergeCell ref="XO243:XO245"/>
    <mergeCell ref="YF187:YG187"/>
    <mergeCell ref="YA179:YB179"/>
    <mergeCell ref="YG212:YG213"/>
    <mergeCell ref="YG198:YG199"/>
    <mergeCell ref="YG300:YG301"/>
    <mergeCell ref="XH137:XH138"/>
    <mergeCell ref="XI137:XJ138"/>
    <mergeCell ref="WS59:WT60"/>
    <mergeCell ref="XO167:XO170"/>
    <mergeCell ref="PX195:PY196"/>
    <mergeCell ref="PV188:PW188"/>
    <mergeCell ref="XG189:XJ189"/>
    <mergeCell ref="XE190:XF191"/>
    <mergeCell ref="AIN88:AIZ89"/>
    <mergeCell ref="AIM142:AIM144"/>
    <mergeCell ref="AIY142:AIZ142"/>
    <mergeCell ref="AJA142:AJB142"/>
    <mergeCell ref="YJ72:YJ73"/>
    <mergeCell ref="AJE151:AJE152"/>
    <mergeCell ref="AJF151:AJG152"/>
    <mergeCell ref="AJH151:AJH152"/>
    <mergeCell ref="AJE158:AJH158"/>
    <mergeCell ref="XG177:XJ177"/>
    <mergeCell ref="XA177:XB177"/>
    <mergeCell ref="AJE197:AJE198"/>
    <mergeCell ref="XS188:YE189"/>
    <mergeCell ref="AJC68:AJE68"/>
    <mergeCell ref="AIM170:AIM171"/>
    <mergeCell ref="AIM193:AIM194"/>
    <mergeCell ref="AJA88:AJB89"/>
    <mergeCell ref="AIN123:AIZ124"/>
    <mergeCell ref="AJF127:AJG128"/>
    <mergeCell ref="AJH127:AJH128"/>
    <mergeCell ref="YG120:YK120"/>
    <mergeCell ref="YG140:YJ140"/>
    <mergeCell ref="YG145:YJ145"/>
    <mergeCell ref="XU165:YE165"/>
    <mergeCell ref="XP121:XQ121"/>
    <mergeCell ref="XC182:XD183"/>
    <mergeCell ref="XE178:XF179"/>
    <mergeCell ref="XG166:XG167"/>
    <mergeCell ref="XC166:XD167"/>
    <mergeCell ref="XR195:XS195"/>
    <mergeCell ref="XU195:YE195"/>
    <mergeCell ref="YJ188:YJ189"/>
    <mergeCell ref="YK188:YL189"/>
    <mergeCell ref="YM188:YM189"/>
    <mergeCell ref="XH158:XI159"/>
    <mergeCell ref="XG153:XJ153"/>
    <mergeCell ref="ABG68:ABH68"/>
    <mergeCell ref="ABI68:ABJ68"/>
    <mergeCell ref="ABK64:ABL64"/>
    <mergeCell ref="ABG65:ABH65"/>
    <mergeCell ref="ABI65:ABJ65"/>
    <mergeCell ref="ABK65:ABL65"/>
    <mergeCell ref="ABG66:ABH66"/>
    <mergeCell ref="AJH143:AJH144"/>
    <mergeCell ref="AJH155:AJH156"/>
    <mergeCell ref="AJA174:AJB175"/>
    <mergeCell ref="WP158:XB159"/>
    <mergeCell ref="WP91:WQ91"/>
    <mergeCell ref="AJE127:AJE128"/>
    <mergeCell ref="AJA85:AJH85"/>
    <mergeCell ref="XC161:XD161"/>
    <mergeCell ref="AJH118:AJK118"/>
    <mergeCell ref="AIM131:AIM132"/>
    <mergeCell ref="AJC130:AJD130"/>
    <mergeCell ref="ABY106:ABZ106"/>
    <mergeCell ref="ABR107:ABS107"/>
    <mergeCell ref="ABT107:ABU107"/>
    <mergeCell ref="ABW107:ABX107"/>
    <mergeCell ref="ABY107:ABZ107"/>
    <mergeCell ref="ABR108:ABS108"/>
    <mergeCell ref="ABT108:ABU108"/>
    <mergeCell ref="ABW108:ABX108"/>
    <mergeCell ref="UK45:UN45"/>
    <mergeCell ref="TI47:TL47"/>
    <mergeCell ref="TM47:TP47"/>
    <mergeCell ref="TQ47:TT47"/>
    <mergeCell ref="TU47:TZ47"/>
    <mergeCell ref="UK47:UN47"/>
    <mergeCell ref="TU48:TZ48"/>
    <mergeCell ref="UK48:UN48"/>
    <mergeCell ref="SZ48:TE48"/>
    <mergeCell ref="SK55:SN55"/>
    <mergeCell ref="SO55:SS55"/>
    <mergeCell ref="SO103:SS103"/>
    <mergeCell ref="TU40:TZ40"/>
    <mergeCell ref="WQ39:WR40"/>
    <mergeCell ref="ADT44:ADU45"/>
    <mergeCell ref="XE154:XF155"/>
    <mergeCell ref="XG154:XG155"/>
    <mergeCell ref="AAK58:AAL58"/>
    <mergeCell ref="AAI59:AAJ59"/>
    <mergeCell ref="AAK59:AAL59"/>
    <mergeCell ref="ABS51:ABT51"/>
    <mergeCell ref="WE145:WF145"/>
    <mergeCell ref="WH145:WR145"/>
    <mergeCell ref="AAI51:AAJ51"/>
    <mergeCell ref="AAK51:AAL51"/>
    <mergeCell ref="AAM51:AAN51"/>
    <mergeCell ref="AAI52:AAJ52"/>
    <mergeCell ref="AAK52:AAL52"/>
    <mergeCell ref="AAM52:AAN52"/>
    <mergeCell ref="YW41:YX41"/>
    <mergeCell ref="YY41:YZ41"/>
    <mergeCell ref="YG50:YJ50"/>
    <mergeCell ref="ADR59:ADS60"/>
    <mergeCell ref="ADT59:ADU60"/>
    <mergeCell ref="ADJ64:ADK66"/>
    <mergeCell ref="ADL44:ADM45"/>
    <mergeCell ref="ADL59:ADM60"/>
    <mergeCell ref="ADN59:ADO60"/>
    <mergeCell ref="YA92:YB92"/>
    <mergeCell ref="YC108:YD109"/>
    <mergeCell ref="AAU65:AAV65"/>
    <mergeCell ref="AAW65:AAX65"/>
    <mergeCell ref="AAY65:AAZ65"/>
    <mergeCell ref="AAU63:AAV63"/>
    <mergeCell ref="AAK93:AAL93"/>
    <mergeCell ref="AAK94:AAL94"/>
    <mergeCell ref="AAM58:AAN58"/>
    <mergeCell ref="TI103:TL103"/>
    <mergeCell ref="TM103:TP103"/>
    <mergeCell ref="ABY108:ABZ108"/>
    <mergeCell ref="ABR109:ABS109"/>
    <mergeCell ref="ABT109:ABU109"/>
    <mergeCell ref="ABW109:ABX109"/>
    <mergeCell ref="ABY109:ABZ109"/>
    <mergeCell ref="AAD110:AAE110"/>
    <mergeCell ref="XR165:XS165"/>
    <mergeCell ref="WP63:WQ63"/>
    <mergeCell ref="XC153:XD153"/>
    <mergeCell ref="XE153:XF153"/>
    <mergeCell ref="WU59:WV60"/>
    <mergeCell ref="WP162:XB163"/>
    <mergeCell ref="XE169:XF169"/>
    <mergeCell ref="WR67:WS67"/>
    <mergeCell ref="AIM106:AIM108"/>
    <mergeCell ref="XO92:XO94"/>
    <mergeCell ref="AER104:AES104"/>
    <mergeCell ref="AER73:AES73"/>
    <mergeCell ref="AER74:AES74"/>
    <mergeCell ref="ABS50:ABT50"/>
    <mergeCell ref="YE61:YF61"/>
    <mergeCell ref="AAI62:AAJ62"/>
    <mergeCell ref="AAK62:AAL62"/>
    <mergeCell ref="AAM62:AAN62"/>
    <mergeCell ref="AAI63:AAJ63"/>
    <mergeCell ref="AAK63:AAL63"/>
    <mergeCell ref="AAM63:AAN63"/>
    <mergeCell ref="AAI64:AAJ64"/>
    <mergeCell ref="AAK64:AAL64"/>
    <mergeCell ref="AAM64:AAN64"/>
    <mergeCell ref="ADL126:ADM128"/>
    <mergeCell ref="ADN126:ADO128"/>
    <mergeCell ref="ADP126:ADQ128"/>
    <mergeCell ref="YE121:YF122"/>
    <mergeCell ref="YE131:YF131"/>
    <mergeCell ref="YC132:YD133"/>
    <mergeCell ref="XR54:XS54"/>
    <mergeCell ref="XO50:XO52"/>
    <mergeCell ref="YC50:YD50"/>
    <mergeCell ref="AAU55:AAV55"/>
    <mergeCell ref="ADN51:ADO52"/>
    <mergeCell ref="ADP51:ADQ52"/>
    <mergeCell ref="AAN102:AAO102"/>
    <mergeCell ref="AAP102:AAQ102"/>
    <mergeCell ref="AAS102:AAT102"/>
    <mergeCell ref="AAU102:AAV102"/>
    <mergeCell ref="AAU94:AAV94"/>
    <mergeCell ref="AAN95:AAO95"/>
    <mergeCell ref="AAP95:AAQ95"/>
    <mergeCell ref="AAS95:AAT95"/>
    <mergeCell ref="ABK62:ABL62"/>
    <mergeCell ref="ABJ85:ABK85"/>
    <mergeCell ref="ABM85:ABN85"/>
    <mergeCell ref="ABO85:ABP85"/>
    <mergeCell ref="ABH86:ABI86"/>
    <mergeCell ref="ABD55:ABE55"/>
    <mergeCell ref="ABD56:ABE56"/>
    <mergeCell ref="ABD57:ABE57"/>
    <mergeCell ref="ABD58:ABE58"/>
    <mergeCell ref="ABD59:ABE59"/>
    <mergeCell ref="ABD60:ABE60"/>
    <mergeCell ref="ABR131:ABS131"/>
    <mergeCell ref="ABT131:ABU131"/>
    <mergeCell ref="WD91:WD93"/>
    <mergeCell ref="XC170:XD171"/>
    <mergeCell ref="ABJ89:ABK89"/>
    <mergeCell ref="ABB60:ABC60"/>
    <mergeCell ref="YA113:YB113"/>
    <mergeCell ref="AAI61:AAJ61"/>
    <mergeCell ref="ADR89:ADS90"/>
    <mergeCell ref="ADT89:ADU90"/>
    <mergeCell ref="ADV89:ADW90"/>
    <mergeCell ref="ADJ89:ADK90"/>
    <mergeCell ref="XT114:YB116"/>
    <mergeCell ref="YG99:YK99"/>
    <mergeCell ref="YH100:YJ101"/>
    <mergeCell ref="ADL99:ADM100"/>
    <mergeCell ref="AAK89:AAL89"/>
    <mergeCell ref="AAK90:AAL90"/>
    <mergeCell ref="AAK91:AAL91"/>
    <mergeCell ref="AAK92:AAL92"/>
    <mergeCell ref="YE77:YF77"/>
    <mergeCell ref="YG77:YJ77"/>
    <mergeCell ref="AAK102:AAL102"/>
    <mergeCell ref="AAF111:AAG111"/>
    <mergeCell ref="AAD109:AAE109"/>
    <mergeCell ref="ADP87:ADQ88"/>
    <mergeCell ref="ADR87:ADS88"/>
    <mergeCell ref="ADD111:ADG111"/>
    <mergeCell ref="XR161:XR163"/>
    <mergeCell ref="YD161:YE161"/>
    <mergeCell ref="XE170:XF171"/>
    <mergeCell ref="XG170:XG171"/>
    <mergeCell ref="XH170:XI171"/>
    <mergeCell ref="XK137:XK138"/>
    <mergeCell ref="XT67:YB69"/>
    <mergeCell ref="ADP95:ADQ98"/>
    <mergeCell ref="ADR95:ADS98"/>
    <mergeCell ref="ADT95:ADU98"/>
    <mergeCell ref="ABE92:ABF92"/>
    <mergeCell ref="AAX93:AAY93"/>
    <mergeCell ref="AAZ93:ABA93"/>
    <mergeCell ref="XQ86:XR86"/>
    <mergeCell ref="AAU64:AAV64"/>
    <mergeCell ref="AAW64:AAX64"/>
    <mergeCell ref="AAY64:AAZ64"/>
    <mergeCell ref="WT84:WU85"/>
    <mergeCell ref="AAM67:AAN67"/>
    <mergeCell ref="AAU69:AAV69"/>
    <mergeCell ref="AAW69:AAX69"/>
    <mergeCell ref="AAY69:AAZ69"/>
    <mergeCell ref="XT124:XU124"/>
    <mergeCell ref="AAF100:AAG100"/>
    <mergeCell ref="AAF101:AAG101"/>
    <mergeCell ref="AAF102:AAG102"/>
    <mergeCell ref="AAF103:AAG103"/>
    <mergeCell ref="AAF104:AAG104"/>
    <mergeCell ref="AAF94:AAG94"/>
    <mergeCell ref="AAF95:AAG95"/>
    <mergeCell ref="AAF96:AAG96"/>
    <mergeCell ref="YC140:YD140"/>
    <mergeCell ref="WW59:WX60"/>
    <mergeCell ref="WY59:WZ60"/>
    <mergeCell ref="ABB61:ABC61"/>
    <mergeCell ref="AAK98:AAL98"/>
    <mergeCell ref="ABW50:ABX50"/>
    <mergeCell ref="ABW49:ABX49"/>
    <mergeCell ref="ABP65:ABQ65"/>
    <mergeCell ref="ABM73:ABN73"/>
    <mergeCell ref="ABW52:ABX52"/>
    <mergeCell ref="ABW53:ABX53"/>
    <mergeCell ref="ABW54:ABX54"/>
    <mergeCell ref="ABW55:ABX55"/>
    <mergeCell ref="AJK183:AJK184"/>
    <mergeCell ref="AIM138:AIM140"/>
    <mergeCell ref="AIY138:AIZ138"/>
    <mergeCell ref="AJA138:AJB138"/>
    <mergeCell ref="AJC138:AJD138"/>
    <mergeCell ref="AJE138:AJH138"/>
    <mergeCell ref="AJI138:AJK138"/>
    <mergeCell ref="AIN139:AIZ140"/>
    <mergeCell ref="AJA139:AJB140"/>
    <mergeCell ref="AJC139:AJD140"/>
    <mergeCell ref="AJE139:AJE140"/>
    <mergeCell ref="AJF139:AJG140"/>
    <mergeCell ref="AJH139:AJH140"/>
    <mergeCell ref="AJI139:AJK140"/>
    <mergeCell ref="AJC162:AJC163"/>
    <mergeCell ref="AJI130:AJS130"/>
    <mergeCell ref="AJF135:AJG136"/>
    <mergeCell ref="ABH129:ABI129"/>
    <mergeCell ref="ABJ129:ABK129"/>
    <mergeCell ref="ABM129:ABN129"/>
    <mergeCell ref="ABO129:ABP129"/>
    <mergeCell ref="ABH130:ABI130"/>
    <mergeCell ref="ABJ130:ABK130"/>
    <mergeCell ref="ABM130:ABN130"/>
    <mergeCell ref="ABO130:ABP130"/>
    <mergeCell ref="ABH131:ABI131"/>
    <mergeCell ref="ABJ131:ABK131"/>
    <mergeCell ref="ABM131:ABN131"/>
    <mergeCell ref="ABO131:ABP131"/>
    <mergeCell ref="ABH132:ABI132"/>
    <mergeCell ref="ABJ132:ABK132"/>
    <mergeCell ref="ABM132:ABN132"/>
    <mergeCell ref="AIM135:AIM136"/>
    <mergeCell ref="AIM147:AIM148"/>
    <mergeCell ref="AIM151:AIM152"/>
    <mergeCell ref="AIQ183:AJC184"/>
    <mergeCell ref="ADJ132:ADK134"/>
    <mergeCell ref="ADR132:ADS134"/>
    <mergeCell ref="ADT132:ADU134"/>
    <mergeCell ref="ABR130:ABS130"/>
    <mergeCell ref="ABT130:ABU130"/>
    <mergeCell ref="AJE60:AJH60"/>
    <mergeCell ref="AJE61:AJE62"/>
    <mergeCell ref="AJF61:AJG62"/>
    <mergeCell ref="AJE143:AJE144"/>
    <mergeCell ref="AJF103:AJG104"/>
    <mergeCell ref="AJD110:AJE110"/>
    <mergeCell ref="ADV59:ADW60"/>
    <mergeCell ref="AJC170:AJD171"/>
    <mergeCell ref="AJC166:AJD167"/>
    <mergeCell ref="AIN170:AIZ171"/>
    <mergeCell ref="AJA170:AJB171"/>
    <mergeCell ref="ABI61:ABJ61"/>
    <mergeCell ref="ABK61:ABL61"/>
    <mergeCell ref="ABW130:ABX130"/>
    <mergeCell ref="ABY130:ABZ130"/>
    <mergeCell ref="AJG178:AJG179"/>
    <mergeCell ref="AJA173:AJB173"/>
    <mergeCell ref="ACI68:ACJ68"/>
    <mergeCell ref="ADX87:AEE88"/>
    <mergeCell ref="YG167:YJ167"/>
    <mergeCell ref="AIY130:AIZ130"/>
    <mergeCell ref="AJN243:AJP243"/>
    <mergeCell ref="AIM216:AIO218"/>
    <mergeCell ref="AIM200:AIM202"/>
    <mergeCell ref="AJC200:AJD200"/>
    <mergeCell ref="AJE200:AJH200"/>
    <mergeCell ref="AIN201:AIZ202"/>
    <mergeCell ref="AJE228:AJH228"/>
    <mergeCell ref="AJC229:AJD230"/>
    <mergeCell ref="AJH193:AJH194"/>
    <mergeCell ref="AJC220:AJD220"/>
    <mergeCell ref="AJA213:AJB214"/>
    <mergeCell ref="AJC213:AJD214"/>
    <mergeCell ref="AIN213:AIZ214"/>
    <mergeCell ref="AJH182:AJK182"/>
    <mergeCell ref="AJE135:AJE136"/>
    <mergeCell ref="AIY204:AIZ204"/>
    <mergeCell ref="AJA204:AJB204"/>
    <mergeCell ref="AJD216:AJE216"/>
    <mergeCell ref="AJB182:AJC182"/>
    <mergeCell ref="AJE142:AJH142"/>
    <mergeCell ref="AIS190:AJC190"/>
    <mergeCell ref="AJH170:AJH171"/>
    <mergeCell ref="AIN155:AIZ156"/>
    <mergeCell ref="AJE155:AJE156"/>
    <mergeCell ref="AJC142:AJD142"/>
    <mergeCell ref="AJI174:AJK175"/>
    <mergeCell ref="AJI154:AJK154"/>
    <mergeCell ref="AJI155:AJK156"/>
    <mergeCell ref="AIM154:AIM156"/>
    <mergeCell ref="YG197:YK197"/>
    <mergeCell ref="YH198:YJ199"/>
    <mergeCell ref="ABJ133:ABK133"/>
    <mergeCell ref="ABM133:ABN133"/>
    <mergeCell ref="AAD130:AAE130"/>
    <mergeCell ref="AAD131:AAE131"/>
    <mergeCell ref="AAD132:AAE132"/>
    <mergeCell ref="AAD133:AAE133"/>
    <mergeCell ref="AAF130:AAG130"/>
    <mergeCell ref="AAF131:AAG131"/>
    <mergeCell ref="AAF132:AAG132"/>
    <mergeCell ref="AAF133:AAG133"/>
    <mergeCell ref="AJA233:AJB234"/>
    <mergeCell ref="AJC233:AJD234"/>
    <mergeCell ref="YG227:YG228"/>
    <mergeCell ref="AAN133:AAO133"/>
    <mergeCell ref="AAP133:AAQ133"/>
    <mergeCell ref="AAS133:AAT133"/>
    <mergeCell ref="AAU133:AAV133"/>
    <mergeCell ref="AJI111:AJJ112"/>
    <mergeCell ref="AJF114:AJG114"/>
    <mergeCell ref="AJK111:AJK112"/>
    <mergeCell ref="AJE126:AJH126"/>
    <mergeCell ref="AJE131:AJE132"/>
    <mergeCell ref="AJF131:AJG132"/>
    <mergeCell ref="AJH131:AJH132"/>
    <mergeCell ref="AIY134:AIZ134"/>
    <mergeCell ref="AJA134:AJB134"/>
    <mergeCell ref="AJC134:AJD134"/>
    <mergeCell ref="AJI126:AJL126"/>
    <mergeCell ref="AJH123:AJH124"/>
    <mergeCell ref="AJH135:AJH136"/>
    <mergeCell ref="AJC127:AJD128"/>
    <mergeCell ref="AJC126:AJD126"/>
    <mergeCell ref="AIP121:AIQ121"/>
    <mergeCell ref="AJI183:AJJ184"/>
    <mergeCell ref="AJI134:AJT134"/>
    <mergeCell ref="AJI135:AJT136"/>
    <mergeCell ref="AJE146:AJH146"/>
    <mergeCell ref="AJE147:AJE148"/>
    <mergeCell ref="AJF147:AJG148"/>
    <mergeCell ref="AJH147:AJH148"/>
    <mergeCell ref="AJK115:AJK116"/>
    <mergeCell ref="AJK119:AJK120"/>
    <mergeCell ref="AJF119:AJG120"/>
    <mergeCell ref="AJI127:AJL128"/>
    <mergeCell ref="AJI131:AJS132"/>
    <mergeCell ref="AJE130:AJH130"/>
    <mergeCell ref="AIP110:AIP112"/>
    <mergeCell ref="AIP114:AIP116"/>
    <mergeCell ref="AJB114:AJC114"/>
    <mergeCell ref="AJB110:AJC110"/>
    <mergeCell ref="AJE173:AJH173"/>
    <mergeCell ref="AJI173:AJK173"/>
    <mergeCell ref="AIN174:AIZ175"/>
    <mergeCell ref="AIO162:AIP163"/>
    <mergeCell ref="AIQ162:AIQ163"/>
    <mergeCell ref="AIN162:AIN163"/>
    <mergeCell ref="AIR162:AJB163"/>
    <mergeCell ref="AJD55:AJG55"/>
    <mergeCell ref="AIM56:AIM58"/>
    <mergeCell ref="AIN56:AIZ58"/>
    <mergeCell ref="AJD56:AJD57"/>
    <mergeCell ref="AJE56:AJF57"/>
    <mergeCell ref="AJG56:AJG57"/>
    <mergeCell ref="AJF73:AJG74"/>
    <mergeCell ref="AJD77:AJE78"/>
    <mergeCell ref="AJF77:AJG78"/>
    <mergeCell ref="AIQ73:AJC74"/>
    <mergeCell ref="AJD73:AJE74"/>
    <mergeCell ref="AIM72:AIO74"/>
    <mergeCell ref="AJL72:AJN72"/>
    <mergeCell ref="AJL73:AJN74"/>
    <mergeCell ref="AIM82:AIM85"/>
    <mergeCell ref="AIN83:AIZ85"/>
    <mergeCell ref="AIY82:AIZ82"/>
    <mergeCell ref="AIM76:AIO78"/>
    <mergeCell ref="AIP72:AIP74"/>
    <mergeCell ref="AJI69:AJI70"/>
    <mergeCell ref="AJI73:AJJ74"/>
    <mergeCell ref="AIM114:AIO116"/>
    <mergeCell ref="AIM110:AIO112"/>
    <mergeCell ref="AIM118:AIO120"/>
    <mergeCell ref="AJK73:AJK74"/>
    <mergeCell ref="AJG69:AJH70"/>
    <mergeCell ref="AJF72:AJG72"/>
    <mergeCell ref="AJA65:AJB66"/>
    <mergeCell ref="AJE83:AJE84"/>
    <mergeCell ref="AJF65:AJF66"/>
    <mergeCell ref="AJG65:AJH66"/>
    <mergeCell ref="AJF88:AJG89"/>
    <mergeCell ref="AIM98:AIM100"/>
    <mergeCell ref="AJH111:AJH112"/>
    <mergeCell ref="AIY55:AIZ55"/>
    <mergeCell ref="AJA55:AJC58"/>
    <mergeCell ref="AJC88:AJD89"/>
    <mergeCell ref="TF97:TH97"/>
    <mergeCell ref="TI97:TL97"/>
    <mergeCell ref="TM97:TP97"/>
    <mergeCell ref="TF37:TH37"/>
    <mergeCell ref="TI37:TL37"/>
    <mergeCell ref="RJ62:RL62"/>
    <mergeCell ref="RF66:RI66"/>
    <mergeCell ref="TF66:TH66"/>
    <mergeCell ref="TI66:TL66"/>
    <mergeCell ref="TM66:TP66"/>
    <mergeCell ref="TQ66:TT66"/>
    <mergeCell ref="TU66:TZ66"/>
    <mergeCell ref="RF67:RI67"/>
    <mergeCell ref="TM70:TP70"/>
    <mergeCell ref="RJ69:RL69"/>
    <mergeCell ref="TQ70:TT70"/>
    <mergeCell ref="TU70:TZ70"/>
    <mergeCell ref="SZ71:TE71"/>
    <mergeCell ref="RF70:RI70"/>
    <mergeCell ref="RY70:SB70"/>
    <mergeCell ref="RF72:RI72"/>
    <mergeCell ref="RF69:RI69"/>
    <mergeCell ref="RY69:SB69"/>
    <mergeCell ref="RY63:SB63"/>
    <mergeCell ref="SC63:SF63"/>
    <mergeCell ref="SO60:SS60"/>
    <mergeCell ref="TU92:TZ92"/>
    <mergeCell ref="RY92:SB92"/>
    <mergeCell ref="SC92:SF92"/>
    <mergeCell ref="SG92:SJ92"/>
    <mergeCell ref="SG90:SJ90"/>
    <mergeCell ref="TI49:TL49"/>
    <mergeCell ref="TM42:TP42"/>
    <mergeCell ref="TF55:TH55"/>
    <mergeCell ref="TI55:TL55"/>
    <mergeCell ref="TM55:TP55"/>
    <mergeCell ref="SG54:SJ54"/>
    <mergeCell ref="SK54:SN54"/>
    <mergeCell ref="SK84:SN84"/>
    <mergeCell ref="SO84:SS84"/>
    <mergeCell ref="TF84:TH84"/>
    <mergeCell ref="RJ84:RL84"/>
    <mergeCell ref="RY85:SB85"/>
    <mergeCell ref="SC85:SF85"/>
    <mergeCell ref="SG85:SJ85"/>
    <mergeCell ref="SK85:SN85"/>
    <mergeCell ref="SO85:SS85"/>
    <mergeCell ref="TF85:TH85"/>
    <mergeCell ref="TF39:TH39"/>
    <mergeCell ref="TI39:TL39"/>
    <mergeCell ref="TQ43:TT43"/>
    <mergeCell ref="TQ42:TT42"/>
    <mergeCell ref="TU42:TZ42"/>
    <mergeCell ref="TU46:TZ46"/>
    <mergeCell ref="TM38:TP38"/>
    <mergeCell ref="TU37:TZ37"/>
    <mergeCell ref="SC42:SF42"/>
    <mergeCell ref="SG42:SJ42"/>
    <mergeCell ref="SK42:SN42"/>
    <mergeCell ref="SO42:SS42"/>
    <mergeCell ref="TF42:TH42"/>
    <mergeCell ref="TM76:TP76"/>
    <mergeCell ref="TQ76:TT76"/>
    <mergeCell ref="TI79:TL79"/>
    <mergeCell ref="TM79:TP79"/>
    <mergeCell ref="RY36:SB36"/>
    <mergeCell ref="SC36:SF36"/>
    <mergeCell ref="TI43:TL43"/>
    <mergeCell ref="RY40:SB40"/>
    <mergeCell ref="SC40:SF40"/>
    <mergeCell ref="TF41:TH41"/>
    <mergeCell ref="SG97:SJ97"/>
    <mergeCell ref="SO97:SS97"/>
    <mergeCell ref="QC65:QD66"/>
    <mergeCell ref="QE64:QH64"/>
    <mergeCell ref="MU69:MU70"/>
    <mergeCell ref="SK36:SN36"/>
    <mergeCell ref="LZ97:LZ102"/>
    <mergeCell ref="JN83:JS84"/>
    <mergeCell ref="ME78:MG78"/>
    <mergeCell ref="MC74:MC76"/>
    <mergeCell ref="MD91:ME91"/>
    <mergeCell ref="MR73:MS73"/>
    <mergeCell ref="JF41:JG42"/>
    <mergeCell ref="IW40:IX40"/>
    <mergeCell ref="IT41:IU41"/>
    <mergeCell ref="JF40:JG40"/>
    <mergeCell ref="JH40:JI40"/>
    <mergeCell ref="IT48:IU48"/>
    <mergeCell ref="IV47:JE48"/>
    <mergeCell ref="RF44:RI44"/>
    <mergeCell ref="LZ85:LZ87"/>
    <mergeCell ref="MP86:MQ87"/>
    <mergeCell ref="MN92:MO93"/>
    <mergeCell ref="JJ82:JM82"/>
    <mergeCell ref="MI101:MU102"/>
    <mergeCell ref="MQ79:MR80"/>
    <mergeCell ref="MU92:MU93"/>
    <mergeCell ref="JJ100:JJ101"/>
    <mergeCell ref="SG68:SJ68"/>
    <mergeCell ref="SK68:SN68"/>
    <mergeCell ref="SO68:SS68"/>
    <mergeCell ref="TF68:TH68"/>
    <mergeCell ref="SG72:SJ72"/>
    <mergeCell ref="SK72:SN72"/>
    <mergeCell ref="SO72:SS72"/>
    <mergeCell ref="TF72:TH72"/>
    <mergeCell ref="SG73:SJ73"/>
    <mergeCell ref="SK73:SN73"/>
    <mergeCell ref="SO73:SS73"/>
    <mergeCell ref="TF73:TH73"/>
    <mergeCell ref="SG76:SJ76"/>
    <mergeCell ref="SK76:SN76"/>
    <mergeCell ref="SO76:SS76"/>
    <mergeCell ref="TF76:TH76"/>
    <mergeCell ref="SG79:SJ79"/>
    <mergeCell ref="SK79:SN79"/>
    <mergeCell ref="ME100:MH102"/>
    <mergeCell ref="JF86:JG86"/>
    <mergeCell ref="JD99:JE99"/>
    <mergeCell ref="IV91:JE93"/>
    <mergeCell ref="IW95:IX95"/>
    <mergeCell ref="RD62:RE62"/>
    <mergeCell ref="QA61:QB62"/>
    <mergeCell ref="RD70:RE70"/>
    <mergeCell ref="RF25:RI25"/>
    <mergeCell ref="RF19:RI19"/>
    <mergeCell ref="RF17:RI18"/>
    <mergeCell ref="SO30:SS30"/>
    <mergeCell ref="ST17:SY18"/>
    <mergeCell ref="IV41:JE42"/>
    <mergeCell ref="MT19:MU20"/>
    <mergeCell ref="MC23:MD23"/>
    <mergeCell ref="MC24:MD24"/>
    <mergeCell ref="TI54:TL54"/>
    <mergeCell ref="TM54:TP54"/>
    <mergeCell ref="SG36:SJ36"/>
    <mergeCell ref="TF45:TH45"/>
    <mergeCell ref="TI45:TL45"/>
    <mergeCell ref="IR40:IR42"/>
    <mergeCell ref="JH41:JI42"/>
    <mergeCell ref="MB59:MC59"/>
    <mergeCell ref="MC64:MC66"/>
    <mergeCell ref="JN62:JO63"/>
    <mergeCell ref="PJ64:PL66"/>
    <mergeCell ref="PN65:PZ66"/>
    <mergeCell ref="JH30:JI30"/>
    <mergeCell ref="MN53:MO54"/>
    <mergeCell ref="MR59:MR60"/>
    <mergeCell ref="QF24:QF25"/>
    <mergeCell ref="QA56:QB56"/>
    <mergeCell ref="QC56:QD56"/>
    <mergeCell ref="PZ24:QA25"/>
    <mergeCell ref="QB24:QB25"/>
    <mergeCell ref="JK51:JL52"/>
    <mergeCell ref="MD53:MM54"/>
    <mergeCell ref="MB54:MC54"/>
    <mergeCell ref="MB53:MC53"/>
    <mergeCell ref="JN51:JR53"/>
    <mergeCell ref="MV59:MY60"/>
    <mergeCell ref="MT65:MU66"/>
    <mergeCell ref="MV65:MV66"/>
    <mergeCell ref="MQ65:MS66"/>
    <mergeCell ref="IT28:IU28"/>
    <mergeCell ref="IR26:IR28"/>
    <mergeCell ref="JH36:JI36"/>
    <mergeCell ref="JM37:JM38"/>
    <mergeCell ref="JJ40:JM40"/>
    <mergeCell ref="JM41:JM42"/>
    <mergeCell ref="JJ66:JJ67"/>
    <mergeCell ref="JK66:JL67"/>
    <mergeCell ref="IV51:JE53"/>
    <mergeCell ref="IU66:IV66"/>
    <mergeCell ref="IT52:IU52"/>
    <mergeCell ref="IT59:IU59"/>
    <mergeCell ref="JH57:JI57"/>
    <mergeCell ref="IT58:IU58"/>
    <mergeCell ref="JJ51:JJ52"/>
    <mergeCell ref="JJ57:JM57"/>
    <mergeCell ref="IV58:JE59"/>
    <mergeCell ref="PN56:PO56"/>
    <mergeCell ref="MV58:MY58"/>
    <mergeCell ref="QA57:QB58"/>
    <mergeCell ref="PY56:PZ56"/>
    <mergeCell ref="JN41:JQ42"/>
    <mergeCell ref="JF46:JG46"/>
    <mergeCell ref="IX44:JH44"/>
    <mergeCell ref="MF56:MP56"/>
    <mergeCell ref="ME42:MF42"/>
    <mergeCell ref="SC12:SF13"/>
    <mergeCell ref="SG12:SJ13"/>
    <mergeCell ref="SK12:SN13"/>
    <mergeCell ref="SO17:SS18"/>
    <mergeCell ref="SE14:SF14"/>
    <mergeCell ref="RY26:SB26"/>
    <mergeCell ref="SC26:SF26"/>
    <mergeCell ref="SG26:SJ26"/>
    <mergeCell ref="RY24:SB24"/>
    <mergeCell ref="QF37:QG38"/>
    <mergeCell ref="QG16:QX16"/>
    <mergeCell ref="OJ25:OL27"/>
    <mergeCell ref="RD98:RE98"/>
    <mergeCell ref="PN57:PZ58"/>
    <mergeCell ref="QC17:QE18"/>
    <mergeCell ref="PZ16:QA16"/>
    <mergeCell ref="MF24:MG24"/>
    <mergeCell ref="MH23:MM24"/>
    <mergeCell ref="MN23:MO24"/>
    <mergeCell ref="MH22:MI22"/>
    <mergeCell ref="ML22:MM22"/>
    <mergeCell ref="PK20:PL20"/>
    <mergeCell ref="PM20:PN20"/>
    <mergeCell ref="PK24:PL24"/>
    <mergeCell ref="PM24:PN24"/>
    <mergeCell ref="JH50:JI50"/>
    <mergeCell ref="JJ50:JM50"/>
    <mergeCell ref="JH47:JI48"/>
    <mergeCell ref="JF50:JG50"/>
    <mergeCell ref="GW73:GX74"/>
    <mergeCell ref="RF21:RI21"/>
    <mergeCell ref="SK31:SN31"/>
    <mergeCell ref="SO31:SS31"/>
    <mergeCell ref="RF26:RI26"/>
    <mergeCell ref="RF45:RI45"/>
    <mergeCell ref="RY25:SB25"/>
    <mergeCell ref="RF28:RI28"/>
    <mergeCell ref="RF34:RI34"/>
    <mergeCell ref="RY29:SB29"/>
    <mergeCell ref="SC29:SF29"/>
    <mergeCell ref="SG29:SJ29"/>
    <mergeCell ref="QE92:QH92"/>
    <mergeCell ref="JF95:JG95"/>
    <mergeCell ref="JF82:JG82"/>
    <mergeCell ref="PV98:PW98"/>
    <mergeCell ref="PX98:PY98"/>
    <mergeCell ref="PZ98:QA98"/>
    <mergeCell ref="GX89:HB89"/>
    <mergeCell ref="IR76:IR78"/>
    <mergeCell ref="JD76:JE76"/>
    <mergeCell ref="JH86:JI86"/>
    <mergeCell ref="JK70:JL71"/>
    <mergeCell ref="JJ83:JJ84"/>
    <mergeCell ref="MD69:MM70"/>
    <mergeCell ref="MB70:MC70"/>
    <mergeCell ref="MB69:MC69"/>
    <mergeCell ref="MC79:MD79"/>
    <mergeCell ref="MC80:MD80"/>
    <mergeCell ref="JF53:JM53"/>
    <mergeCell ref="SG17:SJ18"/>
    <mergeCell ref="SK19:SN19"/>
    <mergeCell ref="SO19:SS19"/>
    <mergeCell ref="RY21:SB21"/>
    <mergeCell ref="SC19:SF19"/>
    <mergeCell ref="AJ77:AK77"/>
    <mergeCell ref="AU77:AV77"/>
    <mergeCell ref="AW77:AX77"/>
    <mergeCell ref="AZ85:BA85"/>
    <mergeCell ref="BE86:BF87"/>
    <mergeCell ref="BG86:BG87"/>
    <mergeCell ref="AJ89:AK89"/>
    <mergeCell ref="AU89:AV89"/>
    <mergeCell ref="ED58:EP59"/>
    <mergeCell ref="ED67:EP68"/>
    <mergeCell ref="CL76:CM77"/>
    <mergeCell ref="SX14:SY14"/>
    <mergeCell ref="ST11:SY11"/>
    <mergeCell ref="ST12:SY13"/>
    <mergeCell ref="ST14:SW14"/>
    <mergeCell ref="SO11:SS11"/>
    <mergeCell ref="NU39:NX39"/>
    <mergeCell ref="NU40:NU41"/>
    <mergeCell ref="QC40:QD40"/>
    <mergeCell ref="QE40:QH40"/>
    <mergeCell ref="RM11:RR11"/>
    <mergeCell ref="TI35:TL35"/>
    <mergeCell ref="SG37:SJ37"/>
    <mergeCell ref="SK37:SN37"/>
    <mergeCell ref="SO37:SS37"/>
    <mergeCell ref="RF36:RI36"/>
    <mergeCell ref="RD19:RE19"/>
    <mergeCell ref="RD20:RE20"/>
    <mergeCell ref="RD21:RE21"/>
    <mergeCell ref="RD22:RE22"/>
    <mergeCell ref="RD23:RE23"/>
    <mergeCell ref="RD24:RE24"/>
    <mergeCell ref="RD25:RE25"/>
    <mergeCell ref="RD26:RE26"/>
    <mergeCell ref="RD27:RE27"/>
    <mergeCell ref="RD28:RE28"/>
    <mergeCell ref="RD29:RE29"/>
    <mergeCell ref="RD30:RE30"/>
    <mergeCell ref="RD31:RE31"/>
    <mergeCell ref="RD32:RE32"/>
    <mergeCell ref="RF27:RI27"/>
    <mergeCell ref="RF33:RI33"/>
    <mergeCell ref="RY33:SB33"/>
    <mergeCell ref="SC33:SF33"/>
    <mergeCell ref="SG33:SJ33"/>
    <mergeCell ref="SK32:SN32"/>
    <mergeCell ref="SO32:SS32"/>
    <mergeCell ref="TF32:TH32"/>
    <mergeCell ref="TI32:TL32"/>
    <mergeCell ref="SO34:SS34"/>
    <mergeCell ref="TF34:TH34"/>
    <mergeCell ref="SZ12:TE13"/>
    <mergeCell ref="SZ11:TE11"/>
    <mergeCell ref="SZ19:TE19"/>
    <mergeCell ref="SZ20:TE20"/>
    <mergeCell ref="SZ21:TE21"/>
    <mergeCell ref="SK23:SN23"/>
    <mergeCell ref="SO23:SS23"/>
    <mergeCell ref="TF23:TH23"/>
    <mergeCell ref="TI23:TL23"/>
    <mergeCell ref="SC24:SF24"/>
    <mergeCell ref="QB16:QF16"/>
    <mergeCell ref="SK21:SN21"/>
    <mergeCell ref="SO21:SS21"/>
    <mergeCell ref="UD15:UH15"/>
    <mergeCell ref="UD19:UJ19"/>
    <mergeCell ref="TF11:TH11"/>
    <mergeCell ref="TI11:TL11"/>
    <mergeCell ref="TF17:TH18"/>
    <mergeCell ref="TF21:TH21"/>
    <mergeCell ref="TI21:TL21"/>
    <mergeCell ref="TM21:TP21"/>
    <mergeCell ref="TQ21:TT21"/>
    <mergeCell ref="TU15:TV15"/>
    <mergeCell ref="TM14:TN14"/>
    <mergeCell ref="C52:C54"/>
    <mergeCell ref="O52:P52"/>
    <mergeCell ref="Q52:R52"/>
    <mergeCell ref="D53:P54"/>
    <mergeCell ref="Q53:R54"/>
    <mergeCell ref="EC58:EC59"/>
    <mergeCell ref="EC54:EC55"/>
    <mergeCell ref="CT75:CW75"/>
    <mergeCell ref="CT76:CW77"/>
    <mergeCell ref="BX87:BX89"/>
    <mergeCell ref="CJ87:CK87"/>
    <mergeCell ref="CL87:CM87"/>
    <mergeCell ref="CN87:CO87"/>
    <mergeCell ref="CP87:CS87"/>
    <mergeCell ref="BY88:CK89"/>
    <mergeCell ref="CP88:CP89"/>
    <mergeCell ref="DZ62:DZ64"/>
    <mergeCell ref="CQ88:CR89"/>
    <mergeCell ref="CS88:CS89"/>
    <mergeCell ref="CA55:CA57"/>
    <mergeCell ref="AI89:AI91"/>
    <mergeCell ref="CN88:CO89"/>
    <mergeCell ref="CO55:CP55"/>
    <mergeCell ref="CJ67:CK67"/>
    <mergeCell ref="MO64:MP64"/>
    <mergeCell ref="MV69:MX70"/>
    <mergeCell ref="MV64:MY64"/>
    <mergeCell ref="MR63:MS63"/>
    <mergeCell ref="PJ68:PJ71"/>
    <mergeCell ref="QB68:QF68"/>
    <mergeCell ref="MN68:MO68"/>
    <mergeCell ref="MV68:MX68"/>
    <mergeCell ref="MW75:MX76"/>
    <mergeCell ref="MT75:MU76"/>
    <mergeCell ref="PZ85:QA86"/>
    <mergeCell ref="MT74:MU74"/>
    <mergeCell ref="MU86:MU87"/>
    <mergeCell ref="MD65:MP66"/>
    <mergeCell ref="JP62:JP63"/>
    <mergeCell ref="JM66:JM67"/>
    <mergeCell ref="JK62:JL63"/>
    <mergeCell ref="NC64:NG66"/>
    <mergeCell ref="HB80:HG80"/>
    <mergeCell ref="LZ58:LZ60"/>
    <mergeCell ref="ME58:MF58"/>
    <mergeCell ref="IR61:IT63"/>
    <mergeCell ref="IW76:IX76"/>
    <mergeCell ref="QA64:QB64"/>
    <mergeCell ref="PZ79:QA79"/>
    <mergeCell ref="IR69:IR72"/>
    <mergeCell ref="AI82:AI83"/>
    <mergeCell ref="AL68:AL71"/>
    <mergeCell ref="AI77:AI79"/>
    <mergeCell ref="SC60:SF60"/>
    <mergeCell ref="SG60:SJ60"/>
    <mergeCell ref="TF60:TH60"/>
    <mergeCell ref="TI60:TL60"/>
    <mergeCell ref="TM60:TP60"/>
    <mergeCell ref="TQ60:TT60"/>
    <mergeCell ref="TF59:TH59"/>
    <mergeCell ref="TI59:TL59"/>
    <mergeCell ref="TM59:TP59"/>
    <mergeCell ref="TQ59:TT59"/>
    <mergeCell ref="TU55:TZ55"/>
    <mergeCell ref="TF40:TH40"/>
    <mergeCell ref="TM49:TP49"/>
    <mergeCell ref="TM30:TP30"/>
    <mergeCell ref="TU53:TZ53"/>
    <mergeCell ref="SZ55:TE55"/>
    <mergeCell ref="SZ56:TE56"/>
    <mergeCell ref="SG21:SJ21"/>
    <mergeCell ref="UO11:UR11"/>
    <mergeCell ref="TI12:TL13"/>
    <mergeCell ref="TM12:TP13"/>
    <mergeCell ref="TI17:TL18"/>
    <mergeCell ref="TQ12:TT13"/>
    <mergeCell ref="TU12:TZ13"/>
    <mergeCell ref="UK12:UN13"/>
    <mergeCell ref="UO12:UR13"/>
    <mergeCell ref="TI19:TL19"/>
    <mergeCell ref="TU17:TZ18"/>
    <mergeCell ref="UK17:UN18"/>
    <mergeCell ref="UO17:UR18"/>
    <mergeCell ref="UK19:UN19"/>
    <mergeCell ref="UO19:UR19"/>
    <mergeCell ref="UO20:UR20"/>
    <mergeCell ref="TM19:TP19"/>
    <mergeCell ref="TQ19:TT19"/>
    <mergeCell ref="TU19:TZ19"/>
    <mergeCell ref="UO22:UR22"/>
    <mergeCell ref="TF20:TH20"/>
    <mergeCell ref="TI20:TL20"/>
    <mergeCell ref="TM20:TP20"/>
    <mergeCell ref="TQ20:TT20"/>
    <mergeCell ref="TU20:TZ20"/>
    <mergeCell ref="UK20:UN20"/>
    <mergeCell ref="TU21:TZ21"/>
    <mergeCell ref="UK21:UN21"/>
    <mergeCell ref="TF22:TH22"/>
    <mergeCell ref="TI22:TL22"/>
    <mergeCell ref="TM22:TP22"/>
    <mergeCell ref="TQ22:TT22"/>
    <mergeCell ref="TU22:TZ22"/>
    <mergeCell ref="UK22:UN22"/>
    <mergeCell ref="TO14:TP14"/>
    <mergeCell ref="TQ14:TR14"/>
    <mergeCell ref="TS14:TT14"/>
    <mergeCell ref="TF19:TH19"/>
    <mergeCell ref="TM17:TP18"/>
    <mergeCell ref="TU11:TZ11"/>
    <mergeCell ref="UK11:UN11"/>
    <mergeCell ref="TW15:TX15"/>
    <mergeCell ref="TU14:TV14"/>
    <mergeCell ref="TW14:TX14"/>
    <mergeCell ref="UA12:UB13"/>
    <mergeCell ref="UO21:UR21"/>
    <mergeCell ref="UD14:UH14"/>
    <mergeCell ref="TU54:TZ54"/>
    <mergeCell ref="TM45:TP45"/>
    <mergeCell ref="TQ45:TT45"/>
    <mergeCell ref="RY46:SB46"/>
    <mergeCell ref="SC46:SF46"/>
    <mergeCell ref="TI46:TL46"/>
    <mergeCell ref="TM46:TP46"/>
    <mergeCell ref="RY48:SB48"/>
    <mergeCell ref="SC21:SF21"/>
    <mergeCell ref="TI58:TL58"/>
    <mergeCell ref="TM58:TP58"/>
    <mergeCell ref="TQ58:TT58"/>
    <mergeCell ref="RY57:SB57"/>
    <mergeCell ref="SC57:SF57"/>
    <mergeCell ref="SG57:SJ57"/>
    <mergeCell ref="TF57:TH57"/>
    <mergeCell ref="TI57:TL57"/>
    <mergeCell ref="TM57:TP57"/>
    <mergeCell ref="RM57:RR57"/>
    <mergeCell ref="RM58:RR58"/>
    <mergeCell ref="TM23:TP23"/>
    <mergeCell ref="SG24:SJ24"/>
    <mergeCell ref="SK26:SN26"/>
    <mergeCell ref="SO26:SS26"/>
    <mergeCell ref="TF26:TH26"/>
    <mergeCell ref="TI26:TL26"/>
    <mergeCell ref="TM26:TP26"/>
    <mergeCell ref="TQ26:TT26"/>
    <mergeCell ref="TU26:TZ26"/>
    <mergeCell ref="SK17:SN18"/>
    <mergeCell ref="SC17:SF18"/>
    <mergeCell ref="SO14:SQ14"/>
    <mergeCell ref="SC14:SD14"/>
    <mergeCell ref="SC56:SF56"/>
    <mergeCell ref="SG56:SJ56"/>
    <mergeCell ref="SK56:SN56"/>
    <mergeCell ref="SO56:SS56"/>
    <mergeCell ref="TF56:TH56"/>
    <mergeCell ref="TI56:TL56"/>
    <mergeCell ref="TM56:TP56"/>
    <mergeCell ref="TQ57:TT57"/>
    <mergeCell ref="TQ30:TT30"/>
    <mergeCell ref="TU43:TZ43"/>
    <mergeCell ref="TU45:TZ45"/>
    <mergeCell ref="TU36:TZ36"/>
    <mergeCell ref="TQ56:TT56"/>
    <mergeCell ref="TU56:TZ56"/>
    <mergeCell ref="ST24:SY24"/>
    <mergeCell ref="ST25:SY25"/>
    <mergeCell ref="TU58:TZ58"/>
    <mergeCell ref="SK22:SN22"/>
    <mergeCell ref="RS50:RX50"/>
    <mergeCell ref="RS51:RX51"/>
    <mergeCell ref="TF47:TH47"/>
    <mergeCell ref="TQ39:TT39"/>
    <mergeCell ref="SG40:SJ40"/>
    <mergeCell ref="RS42:RX42"/>
    <mergeCell ref="SC23:SF23"/>
    <mergeCell ref="RY22:SB22"/>
    <mergeCell ref="SC22:SF22"/>
    <mergeCell ref="RJ18:RL18"/>
    <mergeCell ref="TQ55:TT55"/>
    <mergeCell ref="RY28:SB28"/>
    <mergeCell ref="SC28:SF28"/>
    <mergeCell ref="SG28:SJ28"/>
    <mergeCell ref="RY56:SB56"/>
    <mergeCell ref="ST19:SY19"/>
    <mergeCell ref="ST20:SY20"/>
    <mergeCell ref="ST21:SY21"/>
    <mergeCell ref="ST22:SY22"/>
    <mergeCell ref="ST23:SY23"/>
    <mergeCell ref="SK28:SN28"/>
    <mergeCell ref="TF28:TH28"/>
    <mergeCell ref="TI28:TL28"/>
    <mergeCell ref="TM28:TP28"/>
    <mergeCell ref="SO28:SS28"/>
    <mergeCell ref="SC25:SF25"/>
    <mergeCell ref="SG25:SJ25"/>
    <mergeCell ref="SK25:SN25"/>
    <mergeCell ref="SO25:SS25"/>
    <mergeCell ref="TF25:TH25"/>
    <mergeCell ref="TI25:TL25"/>
    <mergeCell ref="TM25:TP25"/>
    <mergeCell ref="RY27:SB27"/>
    <mergeCell ref="TM48:TP48"/>
    <mergeCell ref="RY47:SB47"/>
    <mergeCell ref="SC47:SF47"/>
    <mergeCell ref="SG47:SJ47"/>
    <mergeCell ref="SK47:SN47"/>
    <mergeCell ref="SO47:SS47"/>
    <mergeCell ref="SK40:SN40"/>
    <mergeCell ref="SO40:SS40"/>
    <mergeCell ref="RJ22:RL22"/>
    <mergeCell ref="RJ23:RL23"/>
    <mergeCell ref="RJ24:RL24"/>
    <mergeCell ref="TQ54:TT54"/>
    <mergeCell ref="UD63:UJ63"/>
    <mergeCell ref="UD64:UJ64"/>
    <mergeCell ref="UD65:UJ65"/>
    <mergeCell ref="UD66:UJ66"/>
    <mergeCell ref="UD67:UJ67"/>
    <mergeCell ref="SZ61:TE61"/>
    <mergeCell ref="SZ62:TE62"/>
    <mergeCell ref="SZ63:TE63"/>
    <mergeCell ref="SZ64:TE64"/>
    <mergeCell ref="SZ65:TE65"/>
    <mergeCell ref="SZ66:TE66"/>
    <mergeCell ref="SZ67:TE67"/>
    <mergeCell ref="RJ63:RL63"/>
    <mergeCell ref="RJ64:RL64"/>
    <mergeCell ref="RJ65:RL65"/>
    <mergeCell ref="UA67:UB67"/>
    <mergeCell ref="RF61:RI61"/>
    <mergeCell ref="RF63:RI63"/>
    <mergeCell ref="RF65:RI65"/>
    <mergeCell ref="RJ66:RL66"/>
    <mergeCell ref="RJ67:RL67"/>
    <mergeCell ref="TU67:TZ67"/>
    <mergeCell ref="UK65:UN65"/>
    <mergeCell ref="TF64:TH64"/>
    <mergeCell ref="TI64:TL64"/>
    <mergeCell ref="TM64:TP64"/>
    <mergeCell ref="TQ64:TT64"/>
    <mergeCell ref="TU64:TZ64"/>
    <mergeCell ref="UK64:UN64"/>
    <mergeCell ref="RM61:RR61"/>
    <mergeCell ref="RM62:RR62"/>
    <mergeCell ref="RS61:RX61"/>
    <mergeCell ref="UD61:UJ61"/>
    <mergeCell ref="UD62:UJ62"/>
    <mergeCell ref="RY61:SB61"/>
    <mergeCell ref="SC61:SF61"/>
    <mergeCell ref="SG61:SJ61"/>
    <mergeCell ref="TU65:TZ65"/>
    <mergeCell ref="RY66:SB66"/>
    <mergeCell ref="SC66:SF66"/>
    <mergeCell ref="SG66:SJ66"/>
    <mergeCell ref="SK66:SN66"/>
    <mergeCell ref="SO66:SS66"/>
    <mergeCell ref="UA63:UB63"/>
    <mergeCell ref="UA66:UB66"/>
    <mergeCell ref="SK61:SN61"/>
    <mergeCell ref="SO61:SS61"/>
    <mergeCell ref="TF61:TH61"/>
    <mergeCell ref="TI61:TL61"/>
    <mergeCell ref="TM61:TP61"/>
    <mergeCell ref="RY83:SB83"/>
    <mergeCell ref="SC83:SF83"/>
    <mergeCell ref="SG83:SJ83"/>
    <mergeCell ref="SK83:SN83"/>
    <mergeCell ref="SO83:SS83"/>
    <mergeCell ref="TF83:TH83"/>
    <mergeCell ref="TI83:TL83"/>
    <mergeCell ref="TM83:TP83"/>
    <mergeCell ref="TQ83:TT83"/>
    <mergeCell ref="TU83:TZ83"/>
    <mergeCell ref="ST79:SY79"/>
    <mergeCell ref="ST80:SY80"/>
    <mergeCell ref="UA79:UB79"/>
    <mergeCell ref="UA80:UB80"/>
    <mergeCell ref="TI74:TL74"/>
    <mergeCell ref="TM74:TP74"/>
    <mergeCell ref="TQ74:TT74"/>
    <mergeCell ref="TU74:TZ74"/>
    <mergeCell ref="UK74:UN74"/>
    <mergeCell ref="RY75:SB75"/>
    <mergeCell ref="SC75:SF75"/>
    <mergeCell ref="SG75:SJ75"/>
    <mergeCell ref="SK75:SN75"/>
    <mergeCell ref="SO75:SS75"/>
    <mergeCell ref="TF75:TH75"/>
    <mergeCell ref="TI75:TL75"/>
    <mergeCell ref="TM75:TP75"/>
    <mergeCell ref="TQ75:TT75"/>
    <mergeCell ref="TU75:TZ75"/>
    <mergeCell ref="UK75:UN75"/>
    <mergeCell ref="UA75:UB75"/>
    <mergeCell ref="RJ73:RL73"/>
    <mergeCell ref="RJ74:RL74"/>
    <mergeCell ref="RJ75:RL75"/>
    <mergeCell ref="UA73:UB73"/>
    <mergeCell ref="UA74:UB74"/>
    <mergeCell ref="ST73:SY73"/>
    <mergeCell ref="ST74:SY74"/>
    <mergeCell ref="ST75:SY75"/>
    <mergeCell ref="UD73:UJ73"/>
    <mergeCell ref="UD74:UJ74"/>
    <mergeCell ref="UD75:UJ75"/>
    <mergeCell ref="RY81:SB81"/>
    <mergeCell ref="SC81:SF81"/>
    <mergeCell ref="SG81:SJ81"/>
    <mergeCell ref="SK81:SN81"/>
    <mergeCell ref="SO81:SS81"/>
    <mergeCell ref="TF81:TH81"/>
    <mergeCell ref="TI81:TL81"/>
    <mergeCell ref="TM81:TP81"/>
    <mergeCell ref="TQ81:TT81"/>
    <mergeCell ref="RY78:SB78"/>
    <mergeCell ref="SC78:SF78"/>
    <mergeCell ref="TI78:TL78"/>
    <mergeCell ref="TM78:TP78"/>
    <mergeCell ref="TQ78:TT78"/>
    <mergeCell ref="TU78:TZ78"/>
    <mergeCell ref="UK78:UN78"/>
    <mergeCell ref="RJ81:RL81"/>
    <mergeCell ref="TU73:TZ73"/>
    <mergeCell ref="UK73:UN73"/>
    <mergeCell ref="TM73:TP73"/>
    <mergeCell ref="TQ73:TT73"/>
    <mergeCell ref="TI76:TL76"/>
    <mergeCell ref="TF86:TH86"/>
    <mergeCell ref="RF80:RI80"/>
    <mergeCell ref="RY80:SB80"/>
    <mergeCell ref="SC80:SF80"/>
    <mergeCell ref="SG80:SJ80"/>
    <mergeCell ref="SK80:SN80"/>
    <mergeCell ref="SO80:SS80"/>
    <mergeCell ref="TF80:TH80"/>
    <mergeCell ref="TI80:TL80"/>
    <mergeCell ref="TM80:TP80"/>
    <mergeCell ref="TQ80:TT80"/>
    <mergeCell ref="TU80:TZ80"/>
    <mergeCell ref="UK83:UN83"/>
    <mergeCell ref="RF82:RI82"/>
    <mergeCell ref="RY82:SB82"/>
    <mergeCell ref="UK80:UN80"/>
    <mergeCell ref="SG82:SJ82"/>
    <mergeCell ref="SK82:SN82"/>
    <mergeCell ref="SO82:SS82"/>
    <mergeCell ref="TF82:TH82"/>
    <mergeCell ref="TI82:TL82"/>
    <mergeCell ref="TM82:TP82"/>
    <mergeCell ref="TQ82:TT82"/>
    <mergeCell ref="TU82:TZ82"/>
    <mergeCell ref="UK82:UN82"/>
    <mergeCell ref="RS84:RX84"/>
    <mergeCell ref="RS85:RX85"/>
    <mergeCell ref="RM84:RR84"/>
    <mergeCell ref="RM85:RR85"/>
    <mergeCell ref="RS83:RX83"/>
    <mergeCell ref="RJ83:RL83"/>
    <mergeCell ref="UO76:UR76"/>
    <mergeCell ref="RF77:RI77"/>
    <mergeCell ref="RY77:SB77"/>
    <mergeCell ref="SC77:SF77"/>
    <mergeCell ref="SG77:SJ77"/>
    <mergeCell ref="SK77:SN77"/>
    <mergeCell ref="SO77:SS77"/>
    <mergeCell ref="TF77:TH77"/>
    <mergeCell ref="TI77:TL77"/>
    <mergeCell ref="TM77:TP77"/>
    <mergeCell ref="TQ77:TT77"/>
    <mergeCell ref="TU77:TZ77"/>
    <mergeCell ref="UK77:UN77"/>
    <mergeCell ref="UO77:UR77"/>
    <mergeCell ref="UA76:UB76"/>
    <mergeCell ref="UA77:UB77"/>
    <mergeCell ref="UA78:UB78"/>
    <mergeCell ref="UO78:UR78"/>
    <mergeCell ref="RF78:RI78"/>
    <mergeCell ref="RJ76:RL76"/>
    <mergeCell ref="RJ77:RL77"/>
    <mergeCell ref="RJ78:RL78"/>
    <mergeCell ref="TF78:TH78"/>
    <mergeCell ref="ST76:SY76"/>
    <mergeCell ref="ST77:SY77"/>
    <mergeCell ref="ST78:SY78"/>
    <mergeCell ref="RM77:RR77"/>
    <mergeCell ref="RM78:RR78"/>
    <mergeCell ref="UD76:UJ76"/>
    <mergeCell ref="UD77:UJ77"/>
    <mergeCell ref="UD78:UJ78"/>
    <mergeCell ref="UA83:UB83"/>
    <mergeCell ref="UK81:UN81"/>
    <mergeCell ref="TI89:TL89"/>
    <mergeCell ref="TM89:TP89"/>
    <mergeCell ref="UO86:UR86"/>
    <mergeCell ref="TM86:TP86"/>
    <mergeCell ref="TQ86:TT86"/>
    <mergeCell ref="TU86:TZ86"/>
    <mergeCell ref="UK86:UN86"/>
    <mergeCell ref="UO88:UR88"/>
    <mergeCell ref="RY88:SB88"/>
    <mergeCell ref="SC88:SF88"/>
    <mergeCell ref="ST89:SY89"/>
    <mergeCell ref="TI88:TL88"/>
    <mergeCell ref="TU89:TZ89"/>
    <mergeCell ref="RJ88:RL88"/>
    <mergeCell ref="US89:UW89"/>
    <mergeCell ref="US90:UW90"/>
    <mergeCell ref="US91:UW91"/>
    <mergeCell ref="US92:UW92"/>
    <mergeCell ref="RF89:RI89"/>
    <mergeCell ref="UD89:UJ89"/>
    <mergeCell ref="UD90:UJ90"/>
    <mergeCell ref="UD91:UJ91"/>
    <mergeCell ref="UD92:UJ92"/>
    <mergeCell ref="ST90:SY90"/>
    <mergeCell ref="ST91:SY91"/>
    <mergeCell ref="ST92:SY92"/>
    <mergeCell ref="TM88:TP88"/>
    <mergeCell ref="RJ89:RL89"/>
    <mergeCell ref="RJ90:RL90"/>
    <mergeCell ref="RJ91:RL91"/>
    <mergeCell ref="RJ92:RL92"/>
    <mergeCell ref="SZ89:TE89"/>
    <mergeCell ref="SZ90:TE90"/>
    <mergeCell ref="SZ91:TE91"/>
    <mergeCell ref="SZ92:TE92"/>
    <mergeCell ref="UO90:UR90"/>
    <mergeCell ref="UK89:UN89"/>
    <mergeCell ref="UO89:UR89"/>
    <mergeCell ref="SK92:SN92"/>
    <mergeCell ref="SO92:SS92"/>
    <mergeCell ref="TF92:TH92"/>
    <mergeCell ref="TI92:TL92"/>
    <mergeCell ref="TM92:TP92"/>
    <mergeCell ref="TQ92:TT92"/>
    <mergeCell ref="UK92:UN92"/>
    <mergeCell ref="UA89:UB89"/>
    <mergeCell ref="RY91:SB91"/>
    <mergeCell ref="SC91:SF91"/>
    <mergeCell ref="SG91:SJ91"/>
    <mergeCell ref="SK91:SN91"/>
    <mergeCell ref="SO91:SS91"/>
    <mergeCell ref="SO87:SS87"/>
    <mergeCell ref="TF87:TH87"/>
    <mergeCell ref="TI87:TL87"/>
    <mergeCell ref="TM87:TP87"/>
    <mergeCell ref="TQ87:TT87"/>
    <mergeCell ref="TU87:TZ87"/>
    <mergeCell ref="UK87:UN87"/>
    <mergeCell ref="RF86:RI86"/>
    <mergeCell ref="RY86:SB86"/>
    <mergeCell ref="SC86:SF86"/>
    <mergeCell ref="SG86:SJ86"/>
    <mergeCell ref="SK86:SN86"/>
    <mergeCell ref="SO86:SS86"/>
    <mergeCell ref="TF91:TH91"/>
    <mergeCell ref="TF93:TH93"/>
    <mergeCell ref="US93:UW93"/>
    <mergeCell ref="US94:UW94"/>
    <mergeCell ref="UO91:UR91"/>
    <mergeCell ref="RF90:RI90"/>
    <mergeCell ref="SK90:SN90"/>
    <mergeCell ref="SO90:SS90"/>
    <mergeCell ref="TF90:TH90"/>
    <mergeCell ref="TI90:TL90"/>
    <mergeCell ref="TM90:TP90"/>
    <mergeCell ref="TQ90:TT90"/>
    <mergeCell ref="TU90:TZ90"/>
    <mergeCell ref="UK90:UN90"/>
    <mergeCell ref="UO92:UR92"/>
    <mergeCell ref="RY90:SB90"/>
    <mergeCell ref="SC90:SF90"/>
    <mergeCell ref="RY99:SB99"/>
    <mergeCell ref="SC99:SF99"/>
    <mergeCell ref="SG99:SJ99"/>
    <mergeCell ref="SK99:SN99"/>
    <mergeCell ref="SO99:SS99"/>
    <mergeCell ref="SG102:SJ102"/>
    <mergeCell ref="SK102:SN102"/>
    <mergeCell ref="TI93:TL93"/>
    <mergeCell ref="TM93:TP93"/>
    <mergeCell ref="TQ93:TT93"/>
    <mergeCell ref="TU93:TZ93"/>
    <mergeCell ref="UK93:UN93"/>
    <mergeCell ref="UO93:UR93"/>
    <mergeCell ref="RF92:RI92"/>
    <mergeCell ref="UA92:UB92"/>
    <mergeCell ref="UK96:UN96"/>
    <mergeCell ref="UO94:UR94"/>
    <mergeCell ref="RF95:RI95"/>
    <mergeCell ref="RY95:SB95"/>
    <mergeCell ref="SC95:SF95"/>
    <mergeCell ref="UO100:UR100"/>
    <mergeCell ref="SZ101:TE101"/>
    <mergeCell ref="SZ102:TE102"/>
    <mergeCell ref="RS98:RX98"/>
    <mergeCell ref="RS99:RX99"/>
    <mergeCell ref="RS100:RX100"/>
    <mergeCell ref="RS101:RX101"/>
    <mergeCell ref="RS102:RX102"/>
    <mergeCell ref="TI95:TL95"/>
    <mergeCell ref="TM95:TP95"/>
    <mergeCell ref="TQ95:TT95"/>
    <mergeCell ref="TU95:TZ95"/>
    <mergeCell ref="UK95:UN95"/>
    <mergeCell ref="UO95:UR95"/>
    <mergeCell ref="RF94:RI94"/>
    <mergeCell ref="RY94:SB94"/>
    <mergeCell ref="SC94:SF94"/>
    <mergeCell ref="SG94:SJ94"/>
    <mergeCell ref="SK94:SN94"/>
    <mergeCell ref="SO94:SS94"/>
    <mergeCell ref="UD95:UJ95"/>
    <mergeCell ref="UD96:UJ96"/>
    <mergeCell ref="TM96:TP96"/>
    <mergeCell ref="TQ96:TT96"/>
    <mergeCell ref="ST97:SY97"/>
    <mergeCell ref="ST98:SY98"/>
    <mergeCell ref="UA95:UB95"/>
    <mergeCell ref="UA96:UB96"/>
    <mergeCell ref="TI96:TL96"/>
    <mergeCell ref="RY112:SB112"/>
    <mergeCell ref="SC112:SF112"/>
    <mergeCell ref="SG112:SJ112"/>
    <mergeCell ref="SK112:SN112"/>
    <mergeCell ref="TQ105:TT105"/>
    <mergeCell ref="TU105:TZ105"/>
    <mergeCell ref="SK108:SN108"/>
    <mergeCell ref="TF106:TH106"/>
    <mergeCell ref="RY102:SB102"/>
    <mergeCell ref="SC102:SF102"/>
    <mergeCell ref="RY103:SB103"/>
    <mergeCell ref="UK108:UN108"/>
    <mergeCell ref="UO108:UR108"/>
    <mergeCell ref="SO101:SS101"/>
    <mergeCell ref="RY100:SB100"/>
    <mergeCell ref="TQ106:TT106"/>
    <mergeCell ref="TU106:TZ106"/>
    <mergeCell ref="UA107:UB107"/>
    <mergeCell ref="UA108:UB108"/>
    <mergeCell ref="RY101:SB101"/>
    <mergeCell ref="SZ109:TE109"/>
    <mergeCell ref="TU113:TZ113"/>
    <mergeCell ref="ST109:SY109"/>
    <mergeCell ref="ST110:SY110"/>
    <mergeCell ref="UK100:UN100"/>
    <mergeCell ref="ST105:SY105"/>
    <mergeCell ref="ST106:SY106"/>
    <mergeCell ref="ST107:SY107"/>
    <mergeCell ref="ST108:SY108"/>
    <mergeCell ref="UD101:UJ101"/>
    <mergeCell ref="UD102:UJ102"/>
    <mergeCell ref="UD103:UJ103"/>
    <mergeCell ref="UD104:UJ104"/>
    <mergeCell ref="UD105:UJ105"/>
    <mergeCell ref="UD106:UJ106"/>
    <mergeCell ref="UD107:UJ107"/>
    <mergeCell ref="UD108:UJ108"/>
    <mergeCell ref="UK105:UN105"/>
    <mergeCell ref="UA105:UB105"/>
    <mergeCell ref="SC103:SF103"/>
    <mergeCell ref="SC100:SF100"/>
    <mergeCell ref="SG100:SJ100"/>
    <mergeCell ref="SK100:SN100"/>
    <mergeCell ref="SO100:SS100"/>
    <mergeCell ref="TF100:TH100"/>
    <mergeCell ref="TI100:TL100"/>
    <mergeCell ref="TM100:TP100"/>
    <mergeCell ref="TQ100:TT100"/>
    <mergeCell ref="TU100:TZ100"/>
    <mergeCell ref="SC101:SF101"/>
    <mergeCell ref="UO111:UR111"/>
    <mergeCell ref="RY110:SB110"/>
    <mergeCell ref="TU110:TZ110"/>
    <mergeCell ref="UA110:UB110"/>
    <mergeCell ref="UA111:UB111"/>
    <mergeCell ref="UK97:UN97"/>
    <mergeCell ref="UA112:UB112"/>
    <mergeCell ref="UA113:UB113"/>
    <mergeCell ref="ST111:SY111"/>
    <mergeCell ref="ST112:SY112"/>
    <mergeCell ref="UO110:UR110"/>
    <mergeCell ref="UK107:UN107"/>
    <mergeCell ref="UO107:UR107"/>
    <mergeCell ref="UK106:UN106"/>
    <mergeCell ref="UK101:UN101"/>
    <mergeCell ref="UO101:UR101"/>
    <mergeCell ref="UK104:UN104"/>
    <mergeCell ref="UO102:UR102"/>
    <mergeCell ref="RJ102:RL102"/>
    <mergeCell ref="RJ103:RL103"/>
    <mergeCell ref="RJ104:RL104"/>
    <mergeCell ref="RJ105:RL105"/>
    <mergeCell ref="RJ106:RL106"/>
    <mergeCell ref="RJ107:RL107"/>
    <mergeCell ref="RJ108:RL108"/>
    <mergeCell ref="RJ109:RL109"/>
    <mergeCell ref="RJ110:RL110"/>
    <mergeCell ref="RJ111:RL111"/>
    <mergeCell ref="RJ112:RL112"/>
    <mergeCell ref="RS117:RX117"/>
    <mergeCell ref="RM113:RR113"/>
    <mergeCell ref="SZ106:TE106"/>
    <mergeCell ref="SZ107:TE107"/>
    <mergeCell ref="SZ108:TE108"/>
    <mergeCell ref="UA102:UB102"/>
    <mergeCell ref="TM106:TP106"/>
    <mergeCell ref="TF113:TH113"/>
    <mergeCell ref="TI113:TL113"/>
    <mergeCell ref="SK110:SN110"/>
    <mergeCell ref="SK107:SN107"/>
    <mergeCell ref="ST100:SY100"/>
    <mergeCell ref="SZ98:TE98"/>
    <mergeCell ref="RY115:SB115"/>
    <mergeCell ref="TM116:TP116"/>
    <mergeCell ref="SK111:SN111"/>
    <mergeCell ref="SC109:SF109"/>
    <mergeCell ref="SG109:SJ109"/>
    <mergeCell ref="SK109:SN109"/>
    <mergeCell ref="SO109:SS109"/>
    <mergeCell ref="SZ105:TE105"/>
    <mergeCell ref="RY113:SB113"/>
    <mergeCell ref="TQ111:TT111"/>
    <mergeCell ref="TU111:TZ111"/>
    <mergeCell ref="ST113:SY113"/>
    <mergeCell ref="ST103:SY103"/>
    <mergeCell ref="ST104:SY104"/>
    <mergeCell ref="SK104:SN104"/>
    <mergeCell ref="RJ113:RL113"/>
    <mergeCell ref="RJ114:RL114"/>
    <mergeCell ref="RJ115:RL115"/>
    <mergeCell ref="RJ116:RL116"/>
    <mergeCell ref="TI112:TL112"/>
    <mergeCell ref="TM112:TP112"/>
    <mergeCell ref="TQ112:TT112"/>
    <mergeCell ref="TU101:TZ101"/>
    <mergeCell ref="TF102:TH102"/>
    <mergeCell ref="TI102:TL102"/>
    <mergeCell ref="TM102:TP102"/>
    <mergeCell ref="TF109:TH109"/>
    <mergeCell ref="TI109:TL109"/>
    <mergeCell ref="TM109:TP109"/>
    <mergeCell ref="RJ117:RL117"/>
    <mergeCell ref="UD115:UJ115"/>
    <mergeCell ref="UD116:UJ116"/>
    <mergeCell ref="UD117:UJ117"/>
    <mergeCell ref="UA104:UB104"/>
    <mergeCell ref="TF103:TH103"/>
    <mergeCell ref="SO88:SS88"/>
    <mergeCell ref="TF88:TH88"/>
    <mergeCell ref="SG95:SJ95"/>
    <mergeCell ref="SK95:SN95"/>
    <mergeCell ref="SO95:SS95"/>
    <mergeCell ref="TF95:TH95"/>
    <mergeCell ref="JG109:JI109"/>
    <mergeCell ref="JN146:JU146"/>
    <mergeCell ref="JN147:JU148"/>
    <mergeCell ref="SO111:SS111"/>
    <mergeCell ref="MR119:MR120"/>
    <mergeCell ref="JK147:JL148"/>
    <mergeCell ref="NA132:NB132"/>
    <mergeCell ref="TM113:TP113"/>
    <mergeCell ref="TF111:TH111"/>
    <mergeCell ref="TM117:TP117"/>
    <mergeCell ref="TQ117:TT117"/>
    <mergeCell ref="ST114:SY114"/>
    <mergeCell ref="ST115:SY115"/>
    <mergeCell ref="RY114:SB114"/>
    <mergeCell ref="SC114:SF114"/>
    <mergeCell ref="SC98:SF98"/>
    <mergeCell ref="SG98:SJ98"/>
    <mergeCell ref="SK98:SN98"/>
    <mergeCell ref="SO98:SS98"/>
    <mergeCell ref="SZ114:TE114"/>
    <mergeCell ref="SZ115:TE115"/>
    <mergeCell ref="SK116:SN116"/>
    <mergeCell ref="SO116:SS116"/>
    <mergeCell ref="TF116:TH116"/>
    <mergeCell ref="RY117:SB117"/>
    <mergeCell ref="SC117:SF117"/>
    <mergeCell ref="SG117:SJ117"/>
    <mergeCell ref="UA117:UB117"/>
    <mergeCell ref="SC116:SF116"/>
    <mergeCell ref="SG116:SJ116"/>
    <mergeCell ref="UA98:UB98"/>
    <mergeCell ref="UA99:UB99"/>
    <mergeCell ref="UA100:UB100"/>
    <mergeCell ref="UA101:UB101"/>
    <mergeCell ref="TM111:TP111"/>
    <mergeCell ref="TI111:TL111"/>
    <mergeCell ref="TI104:TL104"/>
    <mergeCell ref="SK115:SN115"/>
    <mergeCell ref="SO115:SS115"/>
    <mergeCell ref="TU104:TZ104"/>
    <mergeCell ref="UA109:UB109"/>
    <mergeCell ref="TI105:TL105"/>
    <mergeCell ref="TM105:TP105"/>
    <mergeCell ref="SG114:SJ114"/>
    <mergeCell ref="SK114:SN114"/>
    <mergeCell ref="SO114:SS114"/>
    <mergeCell ref="SC113:SF113"/>
    <mergeCell ref="SG113:SJ113"/>
    <mergeCell ref="SZ110:TE110"/>
    <mergeCell ref="SZ111:TE111"/>
    <mergeCell ref="SZ112:TE112"/>
    <mergeCell ref="SZ113:TE113"/>
    <mergeCell ref="JF90:JG90"/>
    <mergeCell ref="MB92:MC92"/>
    <mergeCell ref="MB93:MC93"/>
    <mergeCell ref="TU96:TZ96"/>
    <mergeCell ref="EE126:EF126"/>
    <mergeCell ref="TU112:TZ112"/>
    <mergeCell ref="RY111:SB111"/>
    <mergeCell ref="SO110:SS110"/>
    <mergeCell ref="TQ113:TT113"/>
    <mergeCell ref="RF115:RI115"/>
    <mergeCell ref="RY105:SB105"/>
    <mergeCell ref="SC105:SF105"/>
    <mergeCell ref="SG105:SJ105"/>
    <mergeCell ref="SK105:SN105"/>
    <mergeCell ref="SO105:SS105"/>
    <mergeCell ref="TF105:TH105"/>
    <mergeCell ref="LW107:LX108"/>
    <mergeCell ref="LY107:LZ108"/>
    <mergeCell ref="JM135:JP135"/>
    <mergeCell ref="JN106:JR107"/>
    <mergeCell ref="JK87:JL88"/>
    <mergeCell ref="JM87:JM88"/>
    <mergeCell ref="JJ90:JM90"/>
    <mergeCell ref="JJ99:JM99"/>
    <mergeCell ref="JI131:JJ132"/>
    <mergeCell ref="JK131:JL132"/>
    <mergeCell ref="RF114:RI114"/>
    <mergeCell ref="RY96:SB96"/>
    <mergeCell ref="SC96:SF96"/>
    <mergeCell ref="SG96:SJ96"/>
    <mergeCell ref="SK96:SN96"/>
    <mergeCell ref="SO96:SS96"/>
    <mergeCell ref="TF96:TH96"/>
    <mergeCell ref="MB123:MC124"/>
    <mergeCell ref="MA123:MA124"/>
    <mergeCell ref="MD123:MM124"/>
    <mergeCell ref="RF113:RI113"/>
    <mergeCell ref="RM111:RR111"/>
    <mergeCell ref="RM112:RR112"/>
    <mergeCell ref="MC132:MD132"/>
    <mergeCell ref="ME132:MF132"/>
    <mergeCell ref="MA119:MM120"/>
    <mergeCell ref="MS98:MT99"/>
    <mergeCell ref="RY116:SB116"/>
    <mergeCell ref="RY109:SB109"/>
    <mergeCell ref="RF108:RI108"/>
    <mergeCell ref="SZ99:TE99"/>
    <mergeCell ref="SZ100:TE100"/>
    <mergeCell ref="TF94:TH94"/>
    <mergeCell ref="RY89:SB89"/>
    <mergeCell ref="SC89:SF89"/>
    <mergeCell ref="SG89:SJ89"/>
    <mergeCell ref="RD105:RE105"/>
    <mergeCell ref="RD106:RE106"/>
    <mergeCell ref="TF98:TH98"/>
    <mergeCell ref="TI98:TL98"/>
    <mergeCell ref="TM98:TP98"/>
    <mergeCell ref="TQ98:TT98"/>
    <mergeCell ref="TU98:TZ98"/>
    <mergeCell ref="SG118:SJ118"/>
    <mergeCell ref="SK118:SN118"/>
    <mergeCell ref="SO118:SS118"/>
    <mergeCell ref="TF118:TH118"/>
    <mergeCell ref="TI118:TL118"/>
    <mergeCell ref="TM118:TP118"/>
    <mergeCell ref="TF115:TH115"/>
    <mergeCell ref="TQ109:TT109"/>
    <mergeCell ref="SO93:SS93"/>
    <mergeCell ref="JF139:JG139"/>
    <mergeCell ref="LW106:LX106"/>
    <mergeCell ref="MP119:MQ120"/>
    <mergeCell ref="JM153:JM154"/>
    <mergeCell ref="JN153:JP154"/>
    <mergeCell ref="JJ153:JJ154"/>
    <mergeCell ref="LZ163:MB165"/>
    <mergeCell ref="MD164:MP165"/>
    <mergeCell ref="MS142:MT143"/>
    <mergeCell ref="MO139:MV139"/>
    <mergeCell ref="JF153:JG154"/>
    <mergeCell ref="JM140:JM141"/>
    <mergeCell ref="MO149:MW149"/>
    <mergeCell ref="MS136:MV136"/>
    <mergeCell ref="LZ157:LZ159"/>
    <mergeCell ref="MV153:MV154"/>
    <mergeCell ref="JJ117:JM117"/>
    <mergeCell ref="CF67:CG67"/>
    <mergeCell ref="CC67:CD67"/>
    <mergeCell ref="GX100:HB100"/>
    <mergeCell ref="GJ110:GK110"/>
    <mergeCell ref="MO38:MP38"/>
    <mergeCell ref="MQ74:MS74"/>
    <mergeCell ref="MA101:MB101"/>
    <mergeCell ref="MA102:MB102"/>
    <mergeCell ref="MA79:MB79"/>
    <mergeCell ref="MA80:MB80"/>
    <mergeCell ref="LZ119:LZ120"/>
    <mergeCell ref="MO74:MP74"/>
    <mergeCell ref="JJ76:JM76"/>
    <mergeCell ref="JJ77:JJ78"/>
    <mergeCell ref="MC110:MC112"/>
    <mergeCell ref="GI92:GJ92"/>
    <mergeCell ref="GI90:GJ90"/>
    <mergeCell ref="EU127:EU128"/>
    <mergeCell ref="EV127:EW128"/>
    <mergeCell ref="EX127:EX128"/>
    <mergeCell ref="EQ127:ER129"/>
    <mergeCell ref="EN119:EO120"/>
    <mergeCell ref="GF90:GF93"/>
    <mergeCell ref="GI98:GJ98"/>
    <mergeCell ref="GF101:GF103"/>
    <mergeCell ref="EU129:EX129"/>
    <mergeCell ref="ES127:ET129"/>
    <mergeCell ref="ES126:ET126"/>
    <mergeCell ref="JF127:JM127"/>
    <mergeCell ref="JK136:JL137"/>
    <mergeCell ref="JH125:JI126"/>
    <mergeCell ref="JH114:JI115"/>
    <mergeCell ref="JH100:JI101"/>
    <mergeCell ref="JH46:JI46"/>
    <mergeCell ref="JJ87:JJ88"/>
    <mergeCell ref="JH90:JI90"/>
    <mergeCell ref="GF118:GF120"/>
    <mergeCell ref="EO126:EP126"/>
    <mergeCell ref="EQ126:ER126"/>
    <mergeCell ref="GT89:GU89"/>
    <mergeCell ref="GV89:GW89"/>
    <mergeCell ref="GJ103:GK103"/>
    <mergeCell ref="GG89:GH89"/>
    <mergeCell ref="GV90:GW91"/>
    <mergeCell ref="GT103:HB103"/>
    <mergeCell ref="GR110:GS110"/>
    <mergeCell ref="GK106:GS108"/>
    <mergeCell ref="MX200:MX201"/>
    <mergeCell ref="MW216:NF216"/>
    <mergeCell ref="MD217:MM219"/>
    <mergeCell ref="MP208:MQ208"/>
    <mergeCell ref="MU194:MU195"/>
    <mergeCell ref="MG178:MH178"/>
    <mergeCell ref="MC191:MD191"/>
    <mergeCell ref="MR187:MV187"/>
    <mergeCell ref="MC200:MC201"/>
    <mergeCell ref="MI198:MN198"/>
    <mergeCell ref="LZ181:MB183"/>
    <mergeCell ref="LZ187:LZ189"/>
    <mergeCell ref="MD178:MF178"/>
    <mergeCell ref="LZ209:LZ210"/>
    <mergeCell ref="MP213:MQ214"/>
    <mergeCell ref="MR213:MR214"/>
    <mergeCell ref="MS213:MT214"/>
    <mergeCell ref="MB138:MC138"/>
    <mergeCell ref="MC153:MD153"/>
    <mergeCell ref="LZ153:LZ155"/>
    <mergeCell ref="JF167:JM167"/>
    <mergeCell ref="JN165:JQ167"/>
    <mergeCell ref="JN164:JQ164"/>
    <mergeCell ref="MW157:MY157"/>
    <mergeCell ref="MW158:MY159"/>
    <mergeCell ref="JM159:JM160"/>
    <mergeCell ref="MS106:MT106"/>
    <mergeCell ref="MU106:MV106"/>
    <mergeCell ref="NC132:ND132"/>
    <mergeCell ref="MR141:MU141"/>
    <mergeCell ref="MO129:NA130"/>
    <mergeCell ref="MN118:MO118"/>
    <mergeCell ref="JM110:JN111"/>
    <mergeCell ref="MQ136:MR136"/>
    <mergeCell ref="JF146:JG146"/>
    <mergeCell ref="MQ147:MR148"/>
    <mergeCell ref="MR152:MV152"/>
    <mergeCell ref="MB158:MC158"/>
    <mergeCell ref="JF159:JG160"/>
    <mergeCell ref="MB161:MH162"/>
    <mergeCell ref="MA155:MB155"/>
    <mergeCell ref="NC162:ND162"/>
    <mergeCell ref="MC146:MD146"/>
    <mergeCell ref="ME148:MH149"/>
    <mergeCell ref="MY132:MZ132"/>
    <mergeCell ref="MX123:MY124"/>
    <mergeCell ref="ML118:MM118"/>
    <mergeCell ref="NA108:NF109"/>
    <mergeCell ref="JK153:JL154"/>
    <mergeCell ref="JN114:JQ115"/>
    <mergeCell ref="MA118:MB118"/>
    <mergeCell ref="ME116:MF116"/>
    <mergeCell ref="JI136:JJ137"/>
    <mergeCell ref="IV131:JH132"/>
    <mergeCell ref="JM125:JM126"/>
    <mergeCell ref="IW140:JE142"/>
    <mergeCell ref="IW118:JE120"/>
    <mergeCell ref="JF124:JG124"/>
    <mergeCell ref="JD158:JE158"/>
    <mergeCell ref="JN136:JO137"/>
    <mergeCell ref="JJ152:JM152"/>
    <mergeCell ref="JF147:JG148"/>
    <mergeCell ref="JH147:JI148"/>
    <mergeCell ref="JD139:JE139"/>
    <mergeCell ref="LZ235:LZ237"/>
    <mergeCell ref="ML235:MM235"/>
    <mergeCell ref="MN235:MO235"/>
    <mergeCell ref="LZ228:LZ231"/>
    <mergeCell ref="MD229:MM231"/>
    <mergeCell ref="MV158:MV159"/>
    <mergeCell ref="MU163:MX163"/>
    <mergeCell ref="MU164:MU165"/>
    <mergeCell ref="MB159:MC159"/>
    <mergeCell ref="LZ161:MA162"/>
    <mergeCell ref="MR158:MR159"/>
    <mergeCell ref="LZ193:LZ195"/>
    <mergeCell ref="ML193:MM193"/>
    <mergeCell ref="MN193:MO193"/>
    <mergeCell ref="MP194:MQ195"/>
    <mergeCell ref="MR193:MU193"/>
    <mergeCell ref="MR194:MR195"/>
    <mergeCell ref="MV236:MZ237"/>
    <mergeCell ref="MV235:MZ235"/>
    <mergeCell ref="MF235:MG235"/>
    <mergeCell ref="MD235:ME235"/>
    <mergeCell ref="MB222:MC222"/>
    <mergeCell ref="MF222:MG222"/>
    <mergeCell ref="MF223:MG223"/>
    <mergeCell ref="MD223:ME223"/>
    <mergeCell ref="MD222:ME222"/>
    <mergeCell ref="MG177:MI177"/>
    <mergeCell ref="MS200:MT201"/>
    <mergeCell ref="MN203:MO203"/>
    <mergeCell ref="MP216:MQ216"/>
    <mergeCell ref="MR217:MR218"/>
    <mergeCell ref="MV217:MV218"/>
    <mergeCell ref="MN187:MO187"/>
    <mergeCell ref="ML228:MM228"/>
    <mergeCell ref="MU222:MU223"/>
    <mergeCell ref="MD188:MM189"/>
    <mergeCell ref="MN217:MO218"/>
    <mergeCell ref="MP217:MQ218"/>
    <mergeCell ref="MS217:MU218"/>
    <mergeCell ref="MR216:MV216"/>
    <mergeCell ref="MH174:MP175"/>
    <mergeCell ref="MS173:MT173"/>
    <mergeCell ref="MU177:MX177"/>
    <mergeCell ref="MU178:MU179"/>
    <mergeCell ref="MV178:MW179"/>
    <mergeCell ref="MX178:MX179"/>
    <mergeCell ref="MU173:MX173"/>
    <mergeCell ref="MU174:MU175"/>
    <mergeCell ref="MV174:MW175"/>
    <mergeCell ref="MW217:NF219"/>
    <mergeCell ref="MF168:MH168"/>
    <mergeCell ref="MB217:MC217"/>
    <mergeCell ref="MU170:MU171"/>
    <mergeCell ref="MV170:MW171"/>
    <mergeCell ref="MA209:MB209"/>
    <mergeCell ref="MH228:MI228"/>
    <mergeCell ref="MV193:NE193"/>
    <mergeCell ref="MX167:MX168"/>
    <mergeCell ref="MV222:ND224"/>
    <mergeCell ref="MN222:MO223"/>
    <mergeCell ref="ML203:MM203"/>
    <mergeCell ref="MV228:ND228"/>
    <mergeCell ref="MS182:MT183"/>
    <mergeCell ref="MN188:MO189"/>
    <mergeCell ref="XP203:XQ203"/>
    <mergeCell ref="XR203:XS203"/>
    <mergeCell ref="YA202:YB202"/>
    <mergeCell ref="QF49:QF50"/>
    <mergeCell ref="WH64:WQ65"/>
    <mergeCell ref="WF68:WG68"/>
    <mergeCell ref="WH68:WQ69"/>
    <mergeCell ref="WF69:WG69"/>
    <mergeCell ref="WF72:WG72"/>
    <mergeCell ref="WH72:WQ73"/>
    <mergeCell ref="WF76:WG76"/>
    <mergeCell ref="WH76:WQ77"/>
    <mergeCell ref="WF77:WG77"/>
    <mergeCell ref="VB123:VV123"/>
    <mergeCell ref="VW123:VX123"/>
    <mergeCell ref="MB38:MC38"/>
    <mergeCell ref="MA30:MB30"/>
    <mergeCell ref="MA26:MB26"/>
    <mergeCell ref="MA22:MB22"/>
    <mergeCell ref="RD97:RE97"/>
    <mergeCell ref="RF56:RI56"/>
    <mergeCell ref="RF57:RI57"/>
    <mergeCell ref="RJ101:RL101"/>
    <mergeCell ref="ML157:MM157"/>
    <mergeCell ref="MN157:MO157"/>
    <mergeCell ref="MP157:MQ157"/>
    <mergeCell ref="MR209:MR210"/>
    <mergeCell ref="ME152:MF152"/>
    <mergeCell ref="MA153:MB153"/>
    <mergeCell ref="MB205:MC205"/>
    <mergeCell ref="MN194:MO195"/>
    <mergeCell ref="MO167:MQ167"/>
    <mergeCell ref="LZ197:MA198"/>
    <mergeCell ref="MG182:MP183"/>
    <mergeCell ref="MP193:MQ193"/>
    <mergeCell ref="MR203:MU203"/>
    <mergeCell ref="MB204:MC204"/>
    <mergeCell ref="NG132:NH132"/>
    <mergeCell ref="LZ167:MB168"/>
    <mergeCell ref="MA154:MB154"/>
    <mergeCell ref="MN209:MO210"/>
    <mergeCell ref="MD175:ME175"/>
    <mergeCell ref="MS188:MU189"/>
    <mergeCell ref="MN208:MO208"/>
    <mergeCell ref="MV204:NB206"/>
    <mergeCell ref="MQ199:MR199"/>
    <mergeCell ref="MD193:ME193"/>
    <mergeCell ref="MI178:MP179"/>
    <mergeCell ref="MF194:MG194"/>
    <mergeCell ref="MD195:ME195"/>
    <mergeCell ref="MS177:MT177"/>
    <mergeCell ref="ME187:MF187"/>
    <mergeCell ref="MI168:MK168"/>
    <mergeCell ref="MS194:MT195"/>
    <mergeCell ref="LZ169:MB171"/>
    <mergeCell ref="MB195:MC195"/>
    <mergeCell ref="MB194:MC194"/>
    <mergeCell ref="MH194:MM195"/>
    <mergeCell ref="MD174:ME174"/>
    <mergeCell ref="MF174:MG174"/>
    <mergeCell ref="MC185:MD185"/>
    <mergeCell ref="MP209:MQ210"/>
    <mergeCell ref="MV194:NE195"/>
    <mergeCell ref="MD179:MF179"/>
    <mergeCell ref="LZ212:LZ214"/>
    <mergeCell ref="ML212:MM212"/>
    <mergeCell ref="MN212:MO212"/>
    <mergeCell ref="MN213:MO214"/>
    <mergeCell ref="ND164:NE164"/>
    <mergeCell ref="ND165:NE165"/>
    <mergeCell ref="MU168:MW168"/>
    <mergeCell ref="MB189:MC189"/>
    <mergeCell ref="MC154:MD154"/>
    <mergeCell ref="MC155:MD155"/>
    <mergeCell ref="MS199:MT199"/>
    <mergeCell ref="NC160:ND160"/>
    <mergeCell ref="MY164:NA165"/>
    <mergeCell ref="MX164:MX165"/>
    <mergeCell ref="MY200:NA201"/>
    <mergeCell ref="MY163:NA163"/>
    <mergeCell ref="MJ177:MK177"/>
    <mergeCell ref="MS181:MT181"/>
    <mergeCell ref="MF185:MP185"/>
    <mergeCell ref="MF191:MP191"/>
    <mergeCell ref="MU181:MX181"/>
    <mergeCell ref="MU182:MU183"/>
    <mergeCell ref="MV182:MW183"/>
    <mergeCell ref="MX182:MX183"/>
    <mergeCell ref="MN158:MO159"/>
    <mergeCell ref="MS169:MT169"/>
    <mergeCell ref="MU169:MX169"/>
    <mergeCell ref="MB230:MC230"/>
    <mergeCell ref="MB229:MC229"/>
    <mergeCell ref="MB231:MC231"/>
    <mergeCell ref="MQ163:MR163"/>
    <mergeCell ref="MV203:NB203"/>
    <mergeCell ref="MG179:MH179"/>
    <mergeCell ref="MQ200:MR201"/>
    <mergeCell ref="MH222:MM224"/>
    <mergeCell ref="MD224:MG224"/>
    <mergeCell ref="MA210:MB210"/>
    <mergeCell ref="ME209:MM210"/>
    <mergeCell ref="MS178:MT179"/>
    <mergeCell ref="MO199:MP199"/>
    <mergeCell ref="MP203:MQ203"/>
    <mergeCell ref="ML187:MM187"/>
    <mergeCell ref="MU200:MU201"/>
    <mergeCell ref="MR204:MR205"/>
    <mergeCell ref="MS204:MT205"/>
    <mergeCell ref="MV188:MV189"/>
    <mergeCell ref="ML216:MM216"/>
    <mergeCell ref="MV221:ND221"/>
    <mergeCell ref="LZ199:MB201"/>
    <mergeCell ref="ML208:MM208"/>
    <mergeCell ref="MU209:MU210"/>
    <mergeCell ref="MN216:MO216"/>
    <mergeCell ref="MR221:MU221"/>
    <mergeCell ref="MS174:MT175"/>
    <mergeCell ref="MQ177:MR177"/>
    <mergeCell ref="LZ203:LZ206"/>
    <mergeCell ref="MD204:MM206"/>
    <mergeCell ref="MQ170:MR171"/>
    <mergeCell ref="MN206:MU206"/>
    <mergeCell ref="MR188:MR189"/>
    <mergeCell ref="MB206:MC206"/>
    <mergeCell ref="MD170:MP171"/>
    <mergeCell ref="MQ182:MR183"/>
    <mergeCell ref="ML221:MM221"/>
    <mergeCell ref="MN221:MO221"/>
    <mergeCell ref="MP221:MQ221"/>
    <mergeCell ref="MD200:MP201"/>
    <mergeCell ref="MF195:MG195"/>
    <mergeCell ref="MO181:MP181"/>
    <mergeCell ref="MX170:MX171"/>
    <mergeCell ref="MU199:MX199"/>
    <mergeCell ref="MV200:MW201"/>
    <mergeCell ref="MF193:MG193"/>
    <mergeCell ref="MD194:ME194"/>
    <mergeCell ref="MB197:MH198"/>
    <mergeCell ref="MO197:MP198"/>
    <mergeCell ref="MN204:MO205"/>
    <mergeCell ref="MP204:MQ205"/>
    <mergeCell ref="MA213:MM214"/>
    <mergeCell ref="ADJ14:ADK14"/>
    <mergeCell ref="ADL15:ADM15"/>
    <mergeCell ref="ADN15:ADO15"/>
    <mergeCell ref="ADP15:ADQ15"/>
    <mergeCell ref="ADR15:ADS15"/>
    <mergeCell ref="AAY20:AAZ20"/>
    <mergeCell ref="AAU26:AAV26"/>
    <mergeCell ref="AAW26:AAX26"/>
    <mergeCell ref="AAY26:AAZ26"/>
    <mergeCell ref="ACG26:ACH26"/>
    <mergeCell ref="ACI26:ACJ26"/>
    <mergeCell ref="ADJ23:ADK23"/>
    <mergeCell ref="ADJ24:ADK24"/>
    <mergeCell ref="ADJ25:ADK25"/>
    <mergeCell ref="ABB17:ABC17"/>
    <mergeCell ref="ABD17:ABE17"/>
    <mergeCell ref="ABB18:ABC18"/>
    <mergeCell ref="ABD18:ABE18"/>
    <mergeCell ref="ABB19:ABC19"/>
    <mergeCell ref="ABD19:ABE19"/>
    <mergeCell ref="ABB20:ABC20"/>
    <mergeCell ref="ABD20:ABE20"/>
    <mergeCell ref="ABW23:ABX23"/>
    <mergeCell ref="ABW22:ABX22"/>
    <mergeCell ref="ABU25:ABV25"/>
    <mergeCell ref="MA148:MB148"/>
    <mergeCell ref="MG152:MH152"/>
    <mergeCell ref="MN155:MV155"/>
    <mergeCell ref="MQ164:MR165"/>
    <mergeCell ref="MR157:MV157"/>
    <mergeCell ref="MS158:MU159"/>
    <mergeCell ref="MC164:MC165"/>
    <mergeCell ref="MC168:ME168"/>
    <mergeCell ref="MD158:MM159"/>
    <mergeCell ref="ND128:NE128"/>
    <mergeCell ref="MW136:NG136"/>
    <mergeCell ref="MW137:NG139"/>
    <mergeCell ref="ML167:MN167"/>
    <mergeCell ref="MW152:NH152"/>
    <mergeCell ref="MN142:MO143"/>
    <mergeCell ref="MP142:MQ143"/>
    <mergeCell ref="MR98:MR99"/>
    <mergeCell ref="MA100:MB100"/>
    <mergeCell ref="MS92:MT93"/>
    <mergeCell ref="MW147:MW148"/>
    <mergeCell ref="MT147:MV148"/>
    <mergeCell ref="MV92:MZ93"/>
    <mergeCell ref="NE132:NF132"/>
    <mergeCell ref="MU213:MU214"/>
    <mergeCell ref="UA55:UB55"/>
    <mergeCell ref="UK42:UN42"/>
    <mergeCell ref="UK33:UN33"/>
    <mergeCell ref="AAM24:AAN24"/>
    <mergeCell ref="AAI22:AAJ22"/>
    <mergeCell ref="AAK22:AAL22"/>
    <mergeCell ref="AAM22:AAN22"/>
    <mergeCell ref="UO55:UR55"/>
    <mergeCell ref="AAR30:AAS30"/>
    <mergeCell ref="AAP31:AAQ31"/>
    <mergeCell ref="AAR31:AAS31"/>
    <mergeCell ref="AAP32:AAQ32"/>
    <mergeCell ref="AAR32:AAS32"/>
    <mergeCell ref="ABD31:ABE31"/>
    <mergeCell ref="ABD32:ABE32"/>
    <mergeCell ref="ABD33:ABE33"/>
    <mergeCell ref="ABD34:ABE34"/>
    <mergeCell ref="ABB35:ABC35"/>
    <mergeCell ref="AAK42:AAL42"/>
    <mergeCell ref="XO33:XO35"/>
    <mergeCell ref="ADD49:ADG49"/>
    <mergeCell ref="ABS43:ABT43"/>
    <mergeCell ref="ABU43:ABV43"/>
    <mergeCell ref="ABW43:ABX43"/>
    <mergeCell ref="WS23:WT24"/>
    <mergeCell ref="WQ17:WR18"/>
    <mergeCell ref="WQ25:WR26"/>
    <mergeCell ref="WQ23:WR24"/>
    <mergeCell ref="ADH48:ADI48"/>
    <mergeCell ref="ADH49:ADI49"/>
    <mergeCell ref="ABI39:ABJ39"/>
    <mergeCell ref="ABK39:ABL39"/>
    <mergeCell ref="ABI43:ABJ43"/>
    <mergeCell ref="ABK43:ABL43"/>
    <mergeCell ref="ABU39:ABV39"/>
    <mergeCell ref="ABW39:ABX39"/>
    <mergeCell ref="ABS40:ABT40"/>
    <mergeCell ref="ABU40:ABV40"/>
    <mergeCell ref="YG51:YG52"/>
    <mergeCell ref="YH51:YI52"/>
    <mergeCell ref="XS41:YE42"/>
    <mergeCell ref="XR52:XS52"/>
    <mergeCell ref="ABU32:ABV32"/>
    <mergeCell ref="ABW32:ABX32"/>
    <mergeCell ref="ABU33:ABV33"/>
    <mergeCell ref="ABK33:ABL33"/>
    <mergeCell ref="ABG34:ABH34"/>
    <mergeCell ref="ABI34:ABJ34"/>
    <mergeCell ref="ABW31:ABX31"/>
    <mergeCell ref="ABW27:ABX27"/>
    <mergeCell ref="AAK21:AAL21"/>
    <mergeCell ref="UK55:UN55"/>
    <mergeCell ref="ABS49:ABT49"/>
    <mergeCell ref="ABW46:ABX46"/>
    <mergeCell ref="AAU35:AAV35"/>
    <mergeCell ref="YK15:YP17"/>
    <mergeCell ref="WS43:WT44"/>
    <mergeCell ref="ABW29:ABX29"/>
    <mergeCell ref="ABU30:ABV30"/>
    <mergeCell ref="ABW30:ABX30"/>
    <mergeCell ref="ABU31:ABV31"/>
    <mergeCell ref="ABU28:ABV28"/>
    <mergeCell ref="UA23:UB23"/>
    <mergeCell ref="UA24:UB24"/>
    <mergeCell ref="XP7:XV7"/>
    <mergeCell ref="ACL7:ACR7"/>
    <mergeCell ref="XP108:XQ108"/>
    <mergeCell ref="XR108:XS108"/>
    <mergeCell ref="XO99:XO101"/>
    <mergeCell ref="YA99:YB99"/>
    <mergeCell ref="YC99:YD99"/>
    <mergeCell ref="YE99:YF99"/>
    <mergeCell ref="XR100:XS100"/>
    <mergeCell ref="YC100:YD101"/>
    <mergeCell ref="YE100:YF101"/>
    <mergeCell ref="YG100:YG101"/>
    <mergeCell ref="YK100:YK101"/>
    <mergeCell ref="XR101:XS101"/>
    <mergeCell ref="ZE22:ZF23"/>
    <mergeCell ref="YC69:YM69"/>
    <mergeCell ref="YN66:YR66"/>
    <mergeCell ref="YN67:YR69"/>
    <mergeCell ref="YK50:YM50"/>
    <mergeCell ref="YK51:YM52"/>
    <mergeCell ref="WQ27:WR28"/>
    <mergeCell ref="WO45:WP46"/>
    <mergeCell ref="WO23:WP24"/>
    <mergeCell ref="WO17:WP18"/>
    <mergeCell ref="ABK22:ABL22"/>
    <mergeCell ref="ABK27:ABL27"/>
    <mergeCell ref="ABG28:ABH28"/>
    <mergeCell ref="ABI28:ABJ28"/>
    <mergeCell ref="ACG31:ACH31"/>
    <mergeCell ref="ABG30:ABH30"/>
    <mergeCell ref="ABI30:ABJ30"/>
    <mergeCell ref="ABK30:ABL30"/>
    <mergeCell ref="ABG31:ABH31"/>
    <mergeCell ref="ABK59:ABL59"/>
    <mergeCell ref="ABS27:ABT27"/>
    <mergeCell ref="ABU27:ABV27"/>
    <mergeCell ref="WZ14:XA14"/>
    <mergeCell ref="ABG11:ABH11"/>
    <mergeCell ref="ABI11:ABJ11"/>
    <mergeCell ref="ABK11:ABL11"/>
    <mergeCell ref="ABG12:ABH12"/>
    <mergeCell ref="ABI12:ABJ12"/>
    <mergeCell ref="ABK12:ABL12"/>
    <mergeCell ref="ABD10:ABE10"/>
    <mergeCell ref="ABB11:ABC11"/>
    <mergeCell ref="ABD11:ABE11"/>
    <mergeCell ref="ABB12:ABC12"/>
    <mergeCell ref="ABD12:ABE12"/>
    <mergeCell ref="ABD21:ABE21"/>
    <mergeCell ref="ABP32:ABQ32"/>
    <mergeCell ref="ABN33:ABO33"/>
    <mergeCell ref="ABP33:ABQ33"/>
    <mergeCell ref="ABN34:ABO34"/>
    <mergeCell ref="ABB31:ABC31"/>
    <mergeCell ref="ABB32:ABC32"/>
    <mergeCell ref="ABB33:ABC33"/>
    <mergeCell ref="AAW13:AAX13"/>
    <mergeCell ref="AAY13:AAZ13"/>
    <mergeCell ref="AAY23:AAZ23"/>
    <mergeCell ref="AAU24:AAV24"/>
    <mergeCell ref="AAW24:AAX24"/>
    <mergeCell ref="ABD28:ABE28"/>
    <mergeCell ref="ABD29:ABE29"/>
    <mergeCell ref="ABD30:ABE30"/>
    <mergeCell ref="UK98:UN98"/>
    <mergeCell ref="WU35:WV36"/>
    <mergeCell ref="WU37:WV38"/>
    <mergeCell ref="WU25:WV26"/>
    <mergeCell ref="XC29:XD30"/>
    <mergeCell ref="WW33:WX34"/>
    <mergeCell ref="XC33:XD34"/>
    <mergeCell ref="WU45:WV46"/>
    <mergeCell ref="WW45:WX46"/>
    <mergeCell ref="WY45:WZ46"/>
    <mergeCell ref="YC25:YD25"/>
    <mergeCell ref="YA25:YB25"/>
    <mergeCell ref="RD109:RE109"/>
    <mergeCell ref="RF104:RI104"/>
    <mergeCell ref="RD112:RE112"/>
    <mergeCell ref="TQ107:TT107"/>
    <mergeCell ref="TU107:TZ107"/>
    <mergeCell ref="YC51:YD52"/>
    <mergeCell ref="YL99:YR99"/>
    <mergeCell ref="XQ84:XR84"/>
    <mergeCell ref="XT77:XU77"/>
    <mergeCell ref="ABG21:ABH21"/>
    <mergeCell ref="ABI21:ABJ21"/>
    <mergeCell ref="ABK21:ABL21"/>
    <mergeCell ref="ABG22:ABH22"/>
    <mergeCell ref="ABI22:ABJ22"/>
    <mergeCell ref="AAK50:AAL50"/>
    <mergeCell ref="AAM50:AAN50"/>
    <mergeCell ref="AAK53:AAL53"/>
    <mergeCell ref="AAM53:AAN53"/>
    <mergeCell ref="AAK54:AAL54"/>
    <mergeCell ref="AAM54:AAN54"/>
    <mergeCell ref="AAM66:AAN66"/>
    <mergeCell ref="YK41:YL42"/>
    <mergeCell ref="YM41:YM42"/>
    <mergeCell ref="ABK46:ABL46"/>
    <mergeCell ref="ABB46:ABC46"/>
    <mergeCell ref="ABD46:ABE46"/>
    <mergeCell ref="ABB21:ABC21"/>
    <mergeCell ref="UO25:UR25"/>
    <mergeCell ref="UO26:UR26"/>
    <mergeCell ref="UK30:UN30"/>
    <mergeCell ref="UK36:UN36"/>
    <mergeCell ref="UA36:UB36"/>
    <mergeCell ref="UK34:UN34"/>
    <mergeCell ref="UK32:UN32"/>
    <mergeCell ref="UA38:UB38"/>
    <mergeCell ref="UO42:UR42"/>
    <mergeCell ref="UO40:UR40"/>
    <mergeCell ref="UO41:UR41"/>
    <mergeCell ref="UO38:UR38"/>
    <mergeCell ref="US74:UW74"/>
    <mergeCell ref="US75:UW75"/>
    <mergeCell ref="US76:UW76"/>
    <mergeCell ref="US77:UW77"/>
    <mergeCell ref="US78:UW78"/>
    <mergeCell ref="US79:UW79"/>
    <mergeCell ref="TM104:TP104"/>
    <mergeCell ref="TU109:TZ109"/>
    <mergeCell ref="SC110:SF110"/>
    <mergeCell ref="SG110:SJ110"/>
    <mergeCell ref="TQ110:TT110"/>
    <mergeCell ref="SG101:SJ101"/>
    <mergeCell ref="SK101:SN101"/>
    <mergeCell ref="TM101:TP101"/>
    <mergeCell ref="TQ101:TT101"/>
    <mergeCell ref="UO103:UR103"/>
    <mergeCell ref="UO105:UR105"/>
    <mergeCell ref="TQ102:TT102"/>
    <mergeCell ref="TU102:TZ102"/>
    <mergeCell ref="TF101:TH101"/>
    <mergeCell ref="TI101:TL101"/>
    <mergeCell ref="UA103:UB103"/>
    <mergeCell ref="TQ103:TT103"/>
    <mergeCell ref="TU103:TZ103"/>
    <mergeCell ref="UK103:UN103"/>
    <mergeCell ref="UO104:UR104"/>
    <mergeCell ref="UA116:UB116"/>
    <mergeCell ref="UO79:UR79"/>
    <mergeCell ref="UO74:UR74"/>
    <mergeCell ref="UO75:UR75"/>
    <mergeCell ref="UO73:UR73"/>
    <mergeCell ref="UA64:UB64"/>
    <mergeCell ref="RM89:RR89"/>
    <mergeCell ref="RM90:RR90"/>
    <mergeCell ref="RM91:RR91"/>
    <mergeCell ref="RM92:RR92"/>
    <mergeCell ref="RM93:RR93"/>
    <mergeCell ref="RM94:RR94"/>
    <mergeCell ref="RM95:RR95"/>
    <mergeCell ref="RM83:RR83"/>
    <mergeCell ref="UO72:UR72"/>
    <mergeCell ref="RF111:RI111"/>
    <mergeCell ref="SG88:SJ88"/>
    <mergeCell ref="SK88:SN88"/>
    <mergeCell ref="YL236:YT236"/>
    <mergeCell ref="YL237:YT239"/>
    <mergeCell ref="XO179:XO182"/>
    <mergeCell ref="XO107:XO109"/>
    <mergeCell ref="XS107:XU107"/>
    <mergeCell ref="XS104:YE105"/>
    <mergeCell ref="YC92:YD92"/>
    <mergeCell ref="XP64:XS64"/>
    <mergeCell ref="XS84:YB86"/>
    <mergeCell ref="YC211:YD211"/>
    <mergeCell ref="XP122:XQ122"/>
    <mergeCell ref="SG111:SJ111"/>
    <mergeCell ref="RF116:RI116"/>
    <mergeCell ref="SC115:SF115"/>
    <mergeCell ref="SG115:SJ115"/>
    <mergeCell ref="SO112:SS112"/>
    <mergeCell ref="TF112:TH112"/>
    <mergeCell ref="TQ94:TT94"/>
    <mergeCell ref="RF117:RI117"/>
    <mergeCell ref="TQ104:TT104"/>
    <mergeCell ref="TF114:TH114"/>
    <mergeCell ref="WF88:WG88"/>
    <mergeCell ref="WH88:WQ89"/>
    <mergeCell ref="WF89:WG89"/>
    <mergeCell ref="UK72:UN72"/>
    <mergeCell ref="UA71:UB71"/>
    <mergeCell ref="RF71:RI71"/>
    <mergeCell ref="RY71:SB71"/>
    <mergeCell ref="SC71:SF71"/>
    <mergeCell ref="SG71:SJ71"/>
    <mergeCell ref="SK71:SN71"/>
    <mergeCell ref="SO71:SS71"/>
    <mergeCell ref="TF71:TH71"/>
    <mergeCell ref="YG168:YG169"/>
    <mergeCell ref="YF161:YG161"/>
    <mergeCell ref="YH161:YI161"/>
    <mergeCell ref="AFC11:AFN19"/>
    <mergeCell ref="AAI46:AAJ46"/>
    <mergeCell ref="AAK46:AAL46"/>
    <mergeCell ref="AAM46:AAN46"/>
    <mergeCell ref="AAI47:AAJ47"/>
    <mergeCell ref="AAK47:AAL47"/>
    <mergeCell ref="AAM47:AAN47"/>
    <mergeCell ref="AAI48:AAJ48"/>
    <mergeCell ref="AAK48:AAL48"/>
    <mergeCell ref="AAM48:AAN48"/>
    <mergeCell ref="XI141:XJ142"/>
    <mergeCell ref="XK141:XK142"/>
    <mergeCell ref="YA120:YB120"/>
    <mergeCell ref="YA124:YB124"/>
    <mergeCell ref="XO161:XQ163"/>
    <mergeCell ref="YG136:YJ136"/>
    <mergeCell ref="YE137:YF138"/>
    <mergeCell ref="YG137:YG138"/>
    <mergeCell ref="YH137:YI138"/>
    <mergeCell ref="XW124:XX124"/>
    <mergeCell ref="XP151:XQ151"/>
    <mergeCell ref="XP152:XQ152"/>
    <mergeCell ref="YC113:YD113"/>
    <mergeCell ref="WW147:XJ147"/>
    <mergeCell ref="WW148:XJ150"/>
    <mergeCell ref="XB140:XC140"/>
    <mergeCell ref="XR129:XS129"/>
    <mergeCell ref="XU129:YE129"/>
    <mergeCell ref="YH162:YI163"/>
    <mergeCell ref="XO71:XO73"/>
    <mergeCell ref="XP72:YB73"/>
    <mergeCell ref="XO77:XO79"/>
    <mergeCell ref="YC116:YJ116"/>
    <mergeCell ref="YG124:YK124"/>
    <mergeCell ref="YH125:YJ126"/>
    <mergeCell ref="YC124:YD124"/>
    <mergeCell ref="YY37:YZ37"/>
    <mergeCell ref="YY36:YZ36"/>
    <mergeCell ref="YT34:YU34"/>
    <mergeCell ref="YT38:YU38"/>
    <mergeCell ref="YW38:YX38"/>
    <mergeCell ref="XP67:XQ67"/>
    <mergeCell ref="WT141:XC142"/>
    <mergeCell ref="XD141:XE142"/>
    <mergeCell ref="XO136:XO138"/>
    <mergeCell ref="YC141:YD142"/>
    <mergeCell ref="AFA10:AFA11"/>
    <mergeCell ref="AAK24:AAL24"/>
    <mergeCell ref="XS150:XU150"/>
    <mergeCell ref="ABB50:ABC50"/>
    <mergeCell ref="AAW47:AAX47"/>
    <mergeCell ref="AAY47:AAZ47"/>
    <mergeCell ref="ADL19:ADM20"/>
    <mergeCell ref="ADJ18:ADK18"/>
    <mergeCell ref="ADL18:ADM18"/>
    <mergeCell ref="ADN18:ADO18"/>
    <mergeCell ref="YK14:YP14"/>
    <mergeCell ref="YC15:YD16"/>
    <mergeCell ref="YK61:YM61"/>
    <mergeCell ref="YK62:YM63"/>
    <mergeCell ref="YE67:YF68"/>
    <mergeCell ref="YF310:YG311"/>
    <mergeCell ref="XP251:XQ251"/>
    <mergeCell ref="XR251:XS251"/>
    <mergeCell ref="XT249:XU249"/>
    <mergeCell ref="YC239:YK239"/>
    <mergeCell ref="XO236:XO239"/>
    <mergeCell ref="YW39:YX39"/>
    <mergeCell ref="YY39:YZ39"/>
    <mergeCell ref="YH237:YJ238"/>
    <mergeCell ref="YG236:YK236"/>
    <mergeCell ref="XP100:XQ100"/>
    <mergeCell ref="XP101:XQ101"/>
    <mergeCell ref="YH104:YI105"/>
    <mergeCell ref="YJ104:YJ105"/>
    <mergeCell ref="YK104:YL105"/>
    <mergeCell ref="XR244:XS244"/>
    <mergeCell ref="XO197:XO200"/>
    <mergeCell ref="YH188:YI189"/>
    <mergeCell ref="YK222:YR222"/>
    <mergeCell ref="YK223:YR224"/>
    <mergeCell ref="YK226:YR226"/>
    <mergeCell ref="YK227:YR228"/>
    <mergeCell ref="YH223:YI224"/>
    <mergeCell ref="YH212:YJ213"/>
    <mergeCell ref="YG211:YK211"/>
    <mergeCell ref="YE56:YF56"/>
    <mergeCell ref="XO277:XO280"/>
    <mergeCell ref="YC280:YJ280"/>
    <mergeCell ref="XO293:XO295"/>
    <mergeCell ref="YA293:YB293"/>
    <mergeCell ref="YC293:YD293"/>
    <mergeCell ref="YE293:YF293"/>
    <mergeCell ref="YE66:YF66"/>
    <mergeCell ref="XO62:XO64"/>
    <mergeCell ref="XP62:XQ62"/>
    <mergeCell ref="XP68:XQ68"/>
    <mergeCell ref="XQ85:XR85"/>
    <mergeCell ref="XP57:XQ57"/>
    <mergeCell ref="XR57:XS57"/>
    <mergeCell ref="XT56:XU56"/>
    <mergeCell ref="XS140:XU140"/>
    <mergeCell ref="YC136:YD136"/>
    <mergeCell ref="YE136:YF136"/>
    <mergeCell ref="YC309:YE309"/>
    <mergeCell ref="YF309:YG309"/>
    <mergeCell ref="XT304:XU304"/>
    <mergeCell ref="YA145:YB145"/>
    <mergeCell ref="YC145:YD145"/>
    <mergeCell ref="XP257:YB259"/>
    <mergeCell ref="XR204:XS204"/>
    <mergeCell ref="XR245:XS245"/>
    <mergeCell ref="YF162:YG163"/>
    <mergeCell ref="YG132:YG133"/>
    <mergeCell ref="YJ132:YJ133"/>
    <mergeCell ref="YK180:YR182"/>
    <mergeCell ref="YK179:YR179"/>
    <mergeCell ref="YL211:YQ211"/>
    <mergeCell ref="YL212:YQ213"/>
    <mergeCell ref="XO256:XO259"/>
    <mergeCell ref="YK67:YM68"/>
    <mergeCell ref="YC84:YD85"/>
    <mergeCell ref="YC294:YD295"/>
    <mergeCell ref="YM104:YM105"/>
    <mergeCell ref="XR300:XS300"/>
    <mergeCell ref="ADR4:ADV4"/>
    <mergeCell ref="ADK4:ADP4"/>
    <mergeCell ref="WU29:WV30"/>
    <mergeCell ref="YE14:YF14"/>
    <mergeCell ref="ZE33:ZF33"/>
    <mergeCell ref="YW33:YX33"/>
    <mergeCell ref="XO320:XO323"/>
    <mergeCell ref="XP321:YB323"/>
    <mergeCell ref="YC323:YJ323"/>
    <mergeCell ref="XO304:XO307"/>
    <mergeCell ref="XP305:YB307"/>
    <mergeCell ref="YC307:YJ307"/>
    <mergeCell ref="YK304:YS304"/>
    <mergeCell ref="YK305:YS307"/>
    <mergeCell ref="XO299:XO302"/>
    <mergeCell ref="YN313:YT313"/>
    <mergeCell ref="YN314:YT315"/>
    <mergeCell ref="XO313:XO315"/>
    <mergeCell ref="XR184:XS184"/>
    <mergeCell ref="XU184:YE184"/>
    <mergeCell ref="XT309:XU309"/>
    <mergeCell ref="XP310:XQ310"/>
    <mergeCell ref="XP311:XQ311"/>
    <mergeCell ref="XT310:XY311"/>
    <mergeCell ref="YK320:YR320"/>
    <mergeCell ref="XY313:XZ313"/>
    <mergeCell ref="YA313:YC313"/>
    <mergeCell ref="YD313:YF313"/>
    <mergeCell ref="YK321:YR323"/>
    <mergeCell ref="YH294:YI295"/>
    <mergeCell ref="XZ309:YB309"/>
    <mergeCell ref="XZ310:YB311"/>
    <mergeCell ref="YC310:YE311"/>
    <mergeCell ref="XP252:XQ252"/>
    <mergeCell ref="XR252:XS252"/>
    <mergeCell ref="XP245:XQ245"/>
    <mergeCell ref="YK198:YK199"/>
    <mergeCell ref="XO309:XO311"/>
    <mergeCell ref="YL243:YQ243"/>
    <mergeCell ref="YL244:YQ245"/>
    <mergeCell ref="YL232:YS232"/>
    <mergeCell ref="YL233:YS234"/>
    <mergeCell ref="XP218:YB220"/>
    <mergeCell ref="YG222:YJ222"/>
    <mergeCell ref="YG223:YG224"/>
    <mergeCell ref="YL191:YR191"/>
    <mergeCell ref="YL192:YR193"/>
    <mergeCell ref="ABD49:ABE49"/>
    <mergeCell ref="XR27:XS27"/>
    <mergeCell ref="AAY59:AAZ59"/>
    <mergeCell ref="AAU60:AAV60"/>
    <mergeCell ref="AAW60:AAX60"/>
    <mergeCell ref="AAY60:AAZ60"/>
    <mergeCell ref="AAU61:AAV61"/>
    <mergeCell ref="AAW61:AAX61"/>
    <mergeCell ref="AAU57:AAV57"/>
    <mergeCell ref="AAW57:AAX57"/>
    <mergeCell ref="AAY57:AAZ57"/>
    <mergeCell ref="AAU58:AAV58"/>
    <mergeCell ref="AAW58:AAX58"/>
    <mergeCell ref="AAY58:AAZ58"/>
    <mergeCell ref="XP294:YB295"/>
    <mergeCell ref="YF4:YG4"/>
    <mergeCell ref="YF6:YG6"/>
    <mergeCell ref="YJ283:YJ284"/>
    <mergeCell ref="YH180:YI181"/>
    <mergeCell ref="YC182:YJ182"/>
    <mergeCell ref="YE191:YF191"/>
    <mergeCell ref="YH187:YI187"/>
    <mergeCell ref="YF188:YG189"/>
    <mergeCell ref="YG192:YG193"/>
    <mergeCell ref="XV140:XW140"/>
    <mergeCell ref="YA136:YB136"/>
    <mergeCell ref="XP233:YB234"/>
    <mergeCell ref="YC72:YD73"/>
    <mergeCell ref="XO187:XQ189"/>
    <mergeCell ref="YC177:YJ177"/>
    <mergeCell ref="YE180:YF181"/>
    <mergeCell ref="YG180:YG181"/>
    <mergeCell ref="XR237:XS237"/>
    <mergeCell ref="XP237:XQ237"/>
    <mergeCell ref="XT237:YB239"/>
    <mergeCell ref="XP239:XQ239"/>
    <mergeCell ref="XO249:XO252"/>
    <mergeCell ref="XO145:XO148"/>
    <mergeCell ref="XP238:XQ238"/>
    <mergeCell ref="XR238:XS238"/>
    <mergeCell ref="XP30:XQ30"/>
    <mergeCell ref="XP31:XQ31"/>
    <mergeCell ref="XR31:XS31"/>
    <mergeCell ref="YL299:YU299"/>
    <mergeCell ref="YL300:YU302"/>
    <mergeCell ref="YK274:YU275"/>
    <mergeCell ref="XP270:XR270"/>
    <mergeCell ref="XS270:XT270"/>
    <mergeCell ref="XP271:XT271"/>
    <mergeCell ref="XT252:XW252"/>
    <mergeCell ref="YG232:YK232"/>
    <mergeCell ref="YH233:YJ234"/>
    <mergeCell ref="YK233:YK234"/>
    <mergeCell ref="YJ294:YJ295"/>
    <mergeCell ref="YL268:YQ268"/>
    <mergeCell ref="YL269:YQ271"/>
    <mergeCell ref="XO268:XO271"/>
    <mergeCell ref="YG268:YK268"/>
    <mergeCell ref="XV249:XW249"/>
    <mergeCell ref="YE223:YF224"/>
    <mergeCell ref="YG250:YG251"/>
    <mergeCell ref="YN104:YN105"/>
    <mergeCell ref="YO104:YP105"/>
    <mergeCell ref="YG293:YJ293"/>
    <mergeCell ref="YK278:YS280"/>
    <mergeCell ref="YK256:YP256"/>
    <mergeCell ref="YK257:YP259"/>
    <mergeCell ref="YK261:YV261"/>
    <mergeCell ref="YC256:YD256"/>
    <mergeCell ref="YE203:YF204"/>
    <mergeCell ref="YG203:YG204"/>
    <mergeCell ref="YH203:YI204"/>
    <mergeCell ref="YJ203:YJ204"/>
    <mergeCell ref="XT203:YB204"/>
    <mergeCell ref="YJ180:YJ181"/>
    <mergeCell ref="YK57:YU59"/>
    <mergeCell ref="YE175:YF176"/>
    <mergeCell ref="YA222:YB222"/>
    <mergeCell ref="XP274:XR274"/>
    <mergeCell ref="XR141:XS141"/>
    <mergeCell ref="YL108:YS109"/>
    <mergeCell ref="XP22:XQ22"/>
    <mergeCell ref="XP23:XQ23"/>
    <mergeCell ref="YE50:YF50"/>
    <mergeCell ref="YK72:YM73"/>
    <mergeCell ref="AAF76:AAG76"/>
    <mergeCell ref="AAF77:AAG77"/>
    <mergeCell ref="AAF78:AAG78"/>
    <mergeCell ref="AAF79:AAG79"/>
    <mergeCell ref="XP69:XS69"/>
    <mergeCell ref="AAF50:AAG50"/>
    <mergeCell ref="AAD51:AAE51"/>
    <mergeCell ref="YC61:YD61"/>
    <mergeCell ref="YA66:YB66"/>
    <mergeCell ref="AAM59:AAN59"/>
    <mergeCell ref="AAF58:AAG58"/>
    <mergeCell ref="AAD59:AAE59"/>
    <mergeCell ref="AAF59:AAG59"/>
    <mergeCell ref="AAD60:AAE60"/>
    <mergeCell ref="AAF60:AAG60"/>
    <mergeCell ref="XP51:XQ51"/>
    <mergeCell ref="XR81:XS81"/>
    <mergeCell ref="XP79:XQ79"/>
    <mergeCell ref="AAU40:AAV40"/>
    <mergeCell ref="AAW40:AAX40"/>
    <mergeCell ref="AAU41:AAV41"/>
    <mergeCell ref="AAW41:AAX41"/>
    <mergeCell ref="AAW38:AAX38"/>
    <mergeCell ref="AAR36:AAS36"/>
    <mergeCell ref="AAP37:AAQ37"/>
    <mergeCell ref="AAR37:AAS37"/>
    <mergeCell ref="AAP38:AAQ38"/>
    <mergeCell ref="AAR38:AAS38"/>
    <mergeCell ref="AAP39:AAQ39"/>
    <mergeCell ref="AAM65:AAN65"/>
    <mergeCell ref="AAW63:AAX63"/>
    <mergeCell ref="AAU62:AAV62"/>
    <mergeCell ref="AAW62:AAX62"/>
    <mergeCell ref="YG57:YG58"/>
    <mergeCell ref="YH57:YI58"/>
    <mergeCell ref="YH44:YI44"/>
    <mergeCell ref="YF45:YG46"/>
    <mergeCell ref="YE51:YF52"/>
    <mergeCell ref="YJ51:YJ52"/>
    <mergeCell ref="XR63:XS63"/>
    <mergeCell ref="XR62:XS62"/>
    <mergeCell ref="XT78:YB79"/>
    <mergeCell ref="YC78:YD79"/>
    <mergeCell ref="YE78:YF79"/>
    <mergeCell ref="YC62:YD63"/>
    <mergeCell ref="YE62:YF63"/>
    <mergeCell ref="XP63:XQ63"/>
    <mergeCell ref="XR51:XS51"/>
    <mergeCell ref="XT51:YB52"/>
    <mergeCell ref="XR79:XS79"/>
    <mergeCell ref="XT62:YB64"/>
    <mergeCell ref="YK56:YU56"/>
    <mergeCell ref="AAD42:AAE42"/>
    <mergeCell ref="AAU54:AAV54"/>
    <mergeCell ref="AAW54:AAX54"/>
    <mergeCell ref="AAP44:AAQ44"/>
    <mergeCell ref="AAK66:AAL66"/>
    <mergeCell ref="AAI50:AAJ50"/>
    <mergeCell ref="AAI55:AAJ55"/>
    <mergeCell ref="AAK55:AAL55"/>
    <mergeCell ref="YC304:YD304"/>
    <mergeCell ref="YE304:YF304"/>
    <mergeCell ref="YG304:YJ304"/>
    <mergeCell ref="YC290:YD291"/>
    <mergeCell ref="YH227:YI228"/>
    <mergeCell ref="YL93:YR94"/>
    <mergeCell ref="AAF65:AAG65"/>
    <mergeCell ref="AAF67:AAG67"/>
    <mergeCell ref="AAD68:AAE68"/>
    <mergeCell ref="AAF68:AAG68"/>
    <mergeCell ref="YC202:YD202"/>
    <mergeCell ref="YE202:YF202"/>
    <mergeCell ref="YG202:YJ202"/>
    <mergeCell ref="AAD69:AAE69"/>
    <mergeCell ref="YK237:YK238"/>
    <mergeCell ref="YG174:YJ174"/>
    <mergeCell ref="XW299:XX299"/>
    <mergeCell ref="XW304:XX304"/>
    <mergeCell ref="YK66:YM66"/>
    <mergeCell ref="WS25:WT26"/>
    <mergeCell ref="WS29:WT30"/>
    <mergeCell ref="WS31:WT32"/>
    <mergeCell ref="YE29:YF29"/>
    <mergeCell ref="XG131:XI133"/>
    <mergeCell ref="YE108:YF109"/>
    <mergeCell ref="WY131:XA133"/>
    <mergeCell ref="XR297:XS297"/>
    <mergeCell ref="XU297:YE297"/>
    <mergeCell ref="XR230:XS230"/>
    <mergeCell ref="XU230:YE230"/>
    <mergeCell ref="AAM32:AAN32"/>
    <mergeCell ref="AAU34:AAV34"/>
    <mergeCell ref="AAW34:AAX34"/>
    <mergeCell ref="AAR63:AAS63"/>
    <mergeCell ref="AAN110:AAO110"/>
    <mergeCell ref="AAN103:AAO103"/>
    <mergeCell ref="AAP103:AAQ103"/>
    <mergeCell ref="XR170:XS170"/>
    <mergeCell ref="YH250:YJ251"/>
    <mergeCell ref="YG249:YK249"/>
    <mergeCell ref="XT250:XU250"/>
    <mergeCell ref="XV250:XW250"/>
    <mergeCell ref="XT251:XU251"/>
    <mergeCell ref="XV251:XW251"/>
    <mergeCell ref="XR249:XS249"/>
    <mergeCell ref="XR215:XS215"/>
    <mergeCell ref="YK202:YO202"/>
    <mergeCell ref="YK203:YO204"/>
    <mergeCell ref="XR200:XS200"/>
    <mergeCell ref="XO202:XO204"/>
    <mergeCell ref="XP204:XQ204"/>
    <mergeCell ref="YE93:YF94"/>
    <mergeCell ref="YG243:YK243"/>
    <mergeCell ref="YH244:YJ245"/>
    <mergeCell ref="YK244:YK245"/>
    <mergeCell ref="XP200:XQ200"/>
    <mergeCell ref="YC203:YD204"/>
    <mergeCell ref="XR26:XS26"/>
    <mergeCell ref="XR30:XS30"/>
    <mergeCell ref="XT26:YB27"/>
    <mergeCell ref="XT30:YB31"/>
    <mergeCell ref="XR301:XS301"/>
    <mergeCell ref="YH278:YI279"/>
    <mergeCell ref="YC282:YD282"/>
    <mergeCell ref="XR19:XS19"/>
    <mergeCell ref="XU54:YE54"/>
    <mergeCell ref="XR75:XS75"/>
    <mergeCell ref="XU75:YE75"/>
    <mergeCell ref="XR209:XS209"/>
    <mergeCell ref="YH168:YI169"/>
    <mergeCell ref="YG175:YG176"/>
    <mergeCell ref="YH269:YJ270"/>
    <mergeCell ref="YC271:YK271"/>
    <mergeCell ref="YE282:YF282"/>
    <mergeCell ref="YG282:YJ282"/>
    <mergeCell ref="YC283:YD284"/>
    <mergeCell ref="YE283:YF284"/>
    <mergeCell ref="YG283:YG284"/>
    <mergeCell ref="YH283:YI284"/>
    <mergeCell ref="YG277:YJ277"/>
    <mergeCell ref="YG278:YG279"/>
    <mergeCell ref="WY35:WZ36"/>
    <mergeCell ref="WU43:WV44"/>
    <mergeCell ref="XP302:XQ302"/>
    <mergeCell ref="XR302:XS302"/>
    <mergeCell ref="XT300:YB302"/>
    <mergeCell ref="XP301:XQ301"/>
    <mergeCell ref="XP300:XQ300"/>
    <mergeCell ref="YE294:YF295"/>
    <mergeCell ref="YG294:YG295"/>
    <mergeCell ref="YK293:YM293"/>
    <mergeCell ref="YK294:YM295"/>
    <mergeCell ref="AAF90:AAG90"/>
    <mergeCell ref="AAF91:AAG91"/>
    <mergeCell ref="AAF80:AAG80"/>
    <mergeCell ref="XS280:XT280"/>
    <mergeCell ref="XP175:YB177"/>
    <mergeCell ref="YE141:YF142"/>
    <mergeCell ref="YC259:YJ259"/>
    <mergeCell ref="YK175:YR177"/>
    <mergeCell ref="YK174:YR174"/>
    <mergeCell ref="YE145:YF145"/>
    <mergeCell ref="XU215:YE215"/>
    <mergeCell ref="YJ223:YJ224"/>
    <mergeCell ref="YJ187:YM187"/>
    <mergeCell ref="YC167:YD167"/>
    <mergeCell ref="YA211:YB211"/>
    <mergeCell ref="YE124:YF124"/>
    <mergeCell ref="YE92:YF92"/>
    <mergeCell ref="YC114:YD115"/>
    <mergeCell ref="XR241:XS241"/>
    <mergeCell ref="XU241:YE241"/>
    <mergeCell ref="XP94:XQ94"/>
    <mergeCell ref="XT93:YB94"/>
    <mergeCell ref="YF103:YG103"/>
    <mergeCell ref="YH103:YI103"/>
    <mergeCell ref="YF104:YG105"/>
    <mergeCell ref="YL92:YR92"/>
    <mergeCell ref="XR94:XS94"/>
    <mergeCell ref="XO103:XQ105"/>
    <mergeCell ref="YN103:YQ103"/>
    <mergeCell ref="AAF105:AAG105"/>
    <mergeCell ref="AAD99:AAE99"/>
    <mergeCell ref="AAD100:AAE100"/>
    <mergeCell ref="AAD101:AAE101"/>
    <mergeCell ref="XO83:XO86"/>
    <mergeCell ref="YC86:YJ86"/>
    <mergeCell ref="XP170:XQ170"/>
    <mergeCell ref="YT43:YU43"/>
    <mergeCell ref="YY35:YZ35"/>
    <mergeCell ref="YW35:YX35"/>
    <mergeCell ref="ZC35:ZD35"/>
    <mergeCell ref="YM26:YU27"/>
    <mergeCell ref="AAF32:AAG32"/>
    <mergeCell ref="AAD33:AAE33"/>
    <mergeCell ref="AAF42:AAG42"/>
    <mergeCell ref="AAD43:AAE43"/>
    <mergeCell ref="AAF43:AAG43"/>
    <mergeCell ref="AAD44:AAE44"/>
    <mergeCell ref="AAF44:AAG44"/>
    <mergeCell ref="AAR60:AAS60"/>
    <mergeCell ref="AAP61:AAQ61"/>
    <mergeCell ref="ZE35:ZF35"/>
    <mergeCell ref="ABK68:ABL68"/>
    <mergeCell ref="ABN66:ABO66"/>
    <mergeCell ref="AAD30:AAE30"/>
    <mergeCell ref="AAD55:AAE55"/>
    <mergeCell ref="AAF55:AAG55"/>
    <mergeCell ref="AAD56:AAE56"/>
    <mergeCell ref="AAF56:AAG56"/>
    <mergeCell ref="AAD57:AAE57"/>
    <mergeCell ref="AAF57:AAG57"/>
    <mergeCell ref="AAD58:AAE58"/>
    <mergeCell ref="YG141:YG142"/>
    <mergeCell ref="AAW55:AAX55"/>
    <mergeCell ref="AAY55:AAZ55"/>
    <mergeCell ref="AAW35:AAX35"/>
    <mergeCell ref="AAY35:AAZ35"/>
    <mergeCell ref="AAU56:AAV56"/>
    <mergeCell ref="AAW56:AAX56"/>
    <mergeCell ref="AAY56:AAZ56"/>
    <mergeCell ref="YG113:YJ113"/>
    <mergeCell ref="AAP65:AAQ65"/>
    <mergeCell ref="YG83:YJ83"/>
    <mergeCell ref="AAI35:AAJ35"/>
    <mergeCell ref="AAI36:AAJ36"/>
    <mergeCell ref="AAM36:AAN36"/>
    <mergeCell ref="AAI37:AAJ37"/>
    <mergeCell ref="AAK37:AAL37"/>
    <mergeCell ref="AAM37:AAN37"/>
    <mergeCell ref="ABI33:ABJ33"/>
    <mergeCell ref="AAU47:AAV47"/>
    <mergeCell ref="AAU48:AAV48"/>
    <mergeCell ref="AAW48:AAX48"/>
    <mergeCell ref="AAI97:AAJ97"/>
    <mergeCell ref="AAK27:AAL27"/>
    <mergeCell ref="AAM27:AAN27"/>
    <mergeCell ref="AAI28:AAJ28"/>
    <mergeCell ref="AAK28:AAL28"/>
    <mergeCell ref="AAM28:AAN28"/>
    <mergeCell ref="AAI29:AAJ29"/>
    <mergeCell ref="AAM31:AAN31"/>
    <mergeCell ref="AAI32:AAJ32"/>
    <mergeCell ref="AAK32:AAL32"/>
    <mergeCell ref="AAR44:AAS44"/>
    <mergeCell ref="AAU43:AAV43"/>
    <mergeCell ref="AAW43:AAX43"/>
    <mergeCell ref="AAD61:AAE61"/>
    <mergeCell ref="AAF61:AAG61"/>
    <mergeCell ref="AAD62:AAE62"/>
    <mergeCell ref="AAF62:AAG62"/>
    <mergeCell ref="YJ137:YJ138"/>
    <mergeCell ref="ABG58:ABH58"/>
    <mergeCell ref="ABI58:ABJ58"/>
    <mergeCell ref="ABK58:ABL58"/>
    <mergeCell ref="ABG59:ABH59"/>
    <mergeCell ref="ABI59:ABJ59"/>
    <mergeCell ref="ABK60:ABL60"/>
    <mergeCell ref="ABG61:ABH61"/>
    <mergeCell ref="AAY63:AAZ63"/>
    <mergeCell ref="AAY61:AAZ61"/>
    <mergeCell ref="AAY62:AAZ62"/>
    <mergeCell ref="AAY39:AAZ39"/>
    <mergeCell ref="AAY42:AAZ42"/>
    <mergeCell ref="AAW53:AAX53"/>
    <mergeCell ref="AAU50:AAV50"/>
    <mergeCell ref="AAW50:AAX50"/>
    <mergeCell ref="AAY50:AAZ50"/>
    <mergeCell ref="AAU51:AAV51"/>
    <mergeCell ref="AAW51:AAX51"/>
    <mergeCell ref="AAY51:AAZ51"/>
    <mergeCell ref="ABH83:ABI83"/>
    <mergeCell ref="ABJ83:ABK83"/>
    <mergeCell ref="ABM83:ABN83"/>
    <mergeCell ref="ABO83:ABP83"/>
    <mergeCell ref="ABJ96:ABK96"/>
    <mergeCell ref="ABM96:ABN96"/>
    <mergeCell ref="AAU53:AAV53"/>
    <mergeCell ref="AAY48:AAZ48"/>
    <mergeCell ref="ABB44:ABC44"/>
    <mergeCell ref="ABO77:ABP77"/>
    <mergeCell ref="ABH78:ABI78"/>
    <mergeCell ref="ABJ78:ABK78"/>
    <mergeCell ref="ABM78:ABN78"/>
    <mergeCell ref="ABO78:ABP78"/>
    <mergeCell ref="ABO74:ABP74"/>
    <mergeCell ref="ABH75:ABI75"/>
    <mergeCell ref="ABJ75:ABK75"/>
    <mergeCell ref="ABI49:ABJ49"/>
    <mergeCell ref="ABK49:ABL49"/>
    <mergeCell ref="ABB51:ABC51"/>
    <mergeCell ref="ABB52:ABC52"/>
    <mergeCell ref="ABB53:ABC53"/>
    <mergeCell ref="ABB54:ABC54"/>
    <mergeCell ref="ABB55:ABC55"/>
    <mergeCell ref="ABG56:ABH56"/>
    <mergeCell ref="ABG55:ABH55"/>
    <mergeCell ref="ABI55:ABJ55"/>
    <mergeCell ref="ABK55:ABL55"/>
    <mergeCell ref="ABG50:ABH50"/>
    <mergeCell ref="ABI50:ABJ50"/>
    <mergeCell ref="ABK50:ABL50"/>
    <mergeCell ref="ABD52:ABE52"/>
    <mergeCell ref="ABD53:ABE53"/>
    <mergeCell ref="ABD54:ABE54"/>
    <mergeCell ref="YG313:YH313"/>
    <mergeCell ref="YI313:YM313"/>
    <mergeCell ref="XX309:XY309"/>
    <mergeCell ref="ABU4:ABX4"/>
    <mergeCell ref="ZR6:ZS7"/>
    <mergeCell ref="WS35:WT36"/>
    <mergeCell ref="WQ37:WR38"/>
    <mergeCell ref="ZN2:ZO3"/>
    <mergeCell ref="ZN4:ZO5"/>
    <mergeCell ref="ZN15:ZQ15"/>
    <mergeCell ref="ZN16:ZN17"/>
    <mergeCell ref="WU31:WV32"/>
    <mergeCell ref="WW31:WX32"/>
    <mergeCell ref="XP26:XQ26"/>
    <mergeCell ref="XP27:XQ27"/>
    <mergeCell ref="WU33:WV34"/>
    <mergeCell ref="YA29:YB29"/>
    <mergeCell ref="XP15:XQ15"/>
    <mergeCell ref="XT22:YB23"/>
    <mergeCell ref="YM25:YU25"/>
    <mergeCell ref="ZJ15:ZK15"/>
    <mergeCell ref="ZL15:ZM15"/>
    <mergeCell ref="WW35:WX36"/>
    <mergeCell ref="ZL2:ZM3"/>
    <mergeCell ref="WU27:WV28"/>
    <mergeCell ref="WY27:WZ28"/>
    <mergeCell ref="XA27:XB28"/>
    <mergeCell ref="WW23:WX24"/>
    <mergeCell ref="WW25:WX26"/>
    <mergeCell ref="XE23:XG24"/>
    <mergeCell ref="ZH15:ZI15"/>
    <mergeCell ref="YW16:ZI17"/>
    <mergeCell ref="YU15:YU17"/>
    <mergeCell ref="XA33:XB34"/>
    <mergeCell ref="XC37:XD38"/>
    <mergeCell ref="ZL4:ZM5"/>
    <mergeCell ref="ABG38:ABH38"/>
    <mergeCell ref="ABI38:ABJ38"/>
    <mergeCell ref="ABK38:ABL38"/>
    <mergeCell ref="AAK33:AAL33"/>
    <mergeCell ref="AAM33:AAN33"/>
    <mergeCell ref="AAI34:AAJ34"/>
    <mergeCell ref="AAI31:AAJ31"/>
    <mergeCell ref="AAK31:AAL31"/>
    <mergeCell ref="ABG36:ABH36"/>
    <mergeCell ref="ABI36:ABJ36"/>
    <mergeCell ref="ABK36:ABL36"/>
    <mergeCell ref="ABW33:ABX33"/>
    <mergeCell ref="ABS34:ABT34"/>
    <mergeCell ref="ABG13:ABH13"/>
    <mergeCell ref="ABI13:ABJ13"/>
    <mergeCell ref="ABS32:ABT32"/>
    <mergeCell ref="ABU48:ABV48"/>
    <mergeCell ref="ABB56:ABC56"/>
    <mergeCell ref="ABB57:ABC57"/>
    <mergeCell ref="ABB58:ABC58"/>
    <mergeCell ref="ABB59:ABC59"/>
    <mergeCell ref="ABG62:ABH62"/>
    <mergeCell ref="ABI62:ABJ62"/>
    <mergeCell ref="ABI57:ABJ57"/>
    <mergeCell ref="ABK57:ABL57"/>
    <mergeCell ref="AAY45:AAZ45"/>
    <mergeCell ref="AAU46:AAV46"/>
    <mergeCell ref="AAW46:AAX46"/>
    <mergeCell ref="ABS24:ABT24"/>
    <mergeCell ref="AAY27:AAZ27"/>
    <mergeCell ref="AAY28:AAZ28"/>
    <mergeCell ref="ABW44:ABX44"/>
    <mergeCell ref="ABS44:ABT44"/>
    <mergeCell ref="ABU44:ABV44"/>
    <mergeCell ref="ABU47:ABV47"/>
    <mergeCell ref="ABW47:ABX47"/>
    <mergeCell ref="ABS39:ABT39"/>
    <mergeCell ref="ABW38:ABX38"/>
    <mergeCell ref="ABB28:ABC28"/>
    <mergeCell ref="AAY37:AAZ37"/>
    <mergeCell ref="AAY40:AAZ40"/>
    <mergeCell ref="AAY41:AAZ41"/>
    <mergeCell ref="AAY38:AAZ38"/>
    <mergeCell ref="ABD35:ABE35"/>
    <mergeCell ref="XP314:XQ314"/>
    <mergeCell ref="XP315:XQ315"/>
    <mergeCell ref="XS313:XT313"/>
    <mergeCell ref="XU313:XV313"/>
    <mergeCell ref="XT314:XZ315"/>
    <mergeCell ref="YC200:YK200"/>
    <mergeCell ref="YG191:YK191"/>
    <mergeCell ref="YH192:YJ193"/>
    <mergeCell ref="YK192:YK193"/>
    <mergeCell ref="YL197:YW197"/>
    <mergeCell ref="YL198:YW200"/>
    <mergeCell ref="YK167:YZ167"/>
    <mergeCell ref="YK168:YZ170"/>
    <mergeCell ref="YA314:YC315"/>
    <mergeCell ref="YD314:YF315"/>
    <mergeCell ref="YG314:YH315"/>
    <mergeCell ref="YI314:YI315"/>
    <mergeCell ref="YJ314:YL315"/>
    <mergeCell ref="YM314:YM315"/>
    <mergeCell ref="YH310:YH311"/>
    <mergeCell ref="YL310:YL311"/>
    <mergeCell ref="YM310:YS311"/>
    <mergeCell ref="YM309:YS309"/>
    <mergeCell ref="YI310:YK311"/>
    <mergeCell ref="YH309:YL309"/>
    <mergeCell ref="XP275:XR275"/>
    <mergeCell ref="XS275:XT275"/>
    <mergeCell ref="XT244:YB245"/>
    <mergeCell ref="XP244:XQ244"/>
    <mergeCell ref="XP250:XQ250"/>
    <mergeCell ref="XR250:XS250"/>
    <mergeCell ref="XS274:XT274"/>
    <mergeCell ref="AAI53:AAJ53"/>
    <mergeCell ref="AAI54:AAJ54"/>
    <mergeCell ref="XR287:XS287"/>
    <mergeCell ref="XU287:YE287"/>
    <mergeCell ref="AAI66:AAJ66"/>
    <mergeCell ref="ABS47:ABT47"/>
    <mergeCell ref="AAY53:AAZ53"/>
    <mergeCell ref="AAY54:AAZ54"/>
    <mergeCell ref="AAU49:AAV49"/>
    <mergeCell ref="AAW49:AAX49"/>
    <mergeCell ref="AAY49:AAZ49"/>
    <mergeCell ref="ABD50:ABE50"/>
    <mergeCell ref="ABD51:ABE51"/>
    <mergeCell ref="ACB42:ACC42"/>
    <mergeCell ref="ABG44:ABH44"/>
    <mergeCell ref="ABI44:ABJ44"/>
    <mergeCell ref="ABK44:ABL44"/>
    <mergeCell ref="ABG45:ABH45"/>
    <mergeCell ref="ABP45:ABQ45"/>
    <mergeCell ref="ABN46:ABO46"/>
    <mergeCell ref="ABP46:ABQ46"/>
    <mergeCell ref="ABK34:ABL34"/>
    <mergeCell ref="ABI46:ABJ46"/>
    <mergeCell ref="ABW34:ABX34"/>
    <mergeCell ref="ABS35:ABT35"/>
    <mergeCell ref="ABU35:ABV35"/>
    <mergeCell ref="ABW35:ABX35"/>
    <mergeCell ref="ABS36:ABT36"/>
    <mergeCell ref="ABU36:ABV36"/>
    <mergeCell ref="ABW36:ABX36"/>
    <mergeCell ref="ABS37:ABT37"/>
    <mergeCell ref="ABU37:ABV37"/>
    <mergeCell ref="ABW37:ABX37"/>
    <mergeCell ref="ABS38:ABT38"/>
    <mergeCell ref="ABU38:ABV38"/>
    <mergeCell ref="ABU34:ABV34"/>
    <mergeCell ref="ABS45:ABT45"/>
    <mergeCell ref="ABU45:ABV45"/>
    <mergeCell ref="ABW45:ABX45"/>
    <mergeCell ref="ABN43:ABO43"/>
    <mergeCell ref="ABP43:ABQ43"/>
    <mergeCell ref="ABN44:ABO44"/>
    <mergeCell ref="ABP44:ABQ44"/>
    <mergeCell ref="ABN45:ABO45"/>
    <mergeCell ref="ABW48:ABX48"/>
    <mergeCell ref="ABG29:ABH29"/>
    <mergeCell ref="ABI29:ABJ29"/>
    <mergeCell ref="ABK29:ABL29"/>
    <mergeCell ref="ABG39:ABH39"/>
    <mergeCell ref="ABG35:ABH35"/>
    <mergeCell ref="ABI35:ABJ35"/>
    <mergeCell ref="ABK35:ABL35"/>
    <mergeCell ref="ABG37:ABH37"/>
    <mergeCell ref="ABI37:ABJ37"/>
    <mergeCell ref="ABK37:ABL37"/>
    <mergeCell ref="ABS29:ABT29"/>
    <mergeCell ref="ABS33:ABT33"/>
    <mergeCell ref="ABS30:ABT30"/>
    <mergeCell ref="ABS31:ABT31"/>
    <mergeCell ref="ABP29:ABQ29"/>
    <mergeCell ref="ABN30:ABO30"/>
    <mergeCell ref="ABP30:ABQ30"/>
    <mergeCell ref="ABN31:ABO31"/>
    <mergeCell ref="ABU29:ABV29"/>
    <mergeCell ref="ABP31:ABQ31"/>
    <mergeCell ref="ABN32:ABO32"/>
    <mergeCell ref="ACI18:ACJ18"/>
    <mergeCell ref="ACE19:ACF19"/>
    <mergeCell ref="ACG19:ACH19"/>
    <mergeCell ref="ACI19:ACJ19"/>
    <mergeCell ref="ACE20:ACF20"/>
    <mergeCell ref="ACG20:ACH20"/>
    <mergeCell ref="ACI20:ACJ20"/>
    <mergeCell ref="ACE21:ACF21"/>
    <mergeCell ref="ACG21:ACH21"/>
    <mergeCell ref="ACI21:ACJ21"/>
    <mergeCell ref="ACI42:ACJ42"/>
    <mergeCell ref="ACE43:ACF43"/>
    <mergeCell ref="ACG43:ACH43"/>
    <mergeCell ref="ACI43:ACJ43"/>
    <mergeCell ref="ACE44:ACF44"/>
    <mergeCell ref="ACG44:ACH44"/>
    <mergeCell ref="ACG58:ACH58"/>
    <mergeCell ref="ACI58:ACJ58"/>
    <mergeCell ref="ACB43:ACC43"/>
    <mergeCell ref="ABZ44:ACA44"/>
    <mergeCell ref="ACB44:ACC44"/>
    <mergeCell ref="ABZ45:ACA45"/>
    <mergeCell ref="ACB45:ACC45"/>
    <mergeCell ref="ABZ46:ACA46"/>
    <mergeCell ref="ACB46:ACC46"/>
    <mergeCell ref="ABZ47:ACA47"/>
    <mergeCell ref="ACB47:ACC47"/>
    <mergeCell ref="ACB49:ACC49"/>
    <mergeCell ref="ABZ50:ACA50"/>
    <mergeCell ref="ACB50:ACC50"/>
    <mergeCell ref="ABZ51:ACA51"/>
    <mergeCell ref="ACB51:ACC51"/>
    <mergeCell ref="ABZ52:ACA52"/>
    <mergeCell ref="ACB52:ACC52"/>
    <mergeCell ref="ABZ43:ACA43"/>
    <mergeCell ref="ACE25:ACF25"/>
    <mergeCell ref="ACG25:ACH25"/>
    <mergeCell ref="ACI25:ACJ25"/>
    <mergeCell ref="ACE26:ACF26"/>
    <mergeCell ref="ACI29:ACJ29"/>
    <mergeCell ref="ABZ48:ACA48"/>
    <mergeCell ref="ACB48:ACC48"/>
    <mergeCell ref="ABZ49:ACA49"/>
    <mergeCell ref="ABZ56:ACA56"/>
    <mergeCell ref="ACB56:ACC56"/>
    <mergeCell ref="ABZ57:ACA57"/>
    <mergeCell ref="ACB57:ACC57"/>
    <mergeCell ref="ABZ58:ACA58"/>
    <mergeCell ref="ACB58:ACC58"/>
    <mergeCell ref="ABZ35:ACA35"/>
    <mergeCell ref="ACB35:ACC35"/>
    <mergeCell ref="ABZ36:ACA36"/>
    <mergeCell ref="ACB36:ACC36"/>
    <mergeCell ref="ABZ37:ACA37"/>
    <mergeCell ref="ACB37:ACC37"/>
    <mergeCell ref="ABZ38:ACA38"/>
    <mergeCell ref="ACB38:ACC38"/>
    <mergeCell ref="ABZ39:ACA39"/>
    <mergeCell ref="ACB39:ACC39"/>
    <mergeCell ref="ABZ40:ACA40"/>
    <mergeCell ref="ACB40:ACC40"/>
    <mergeCell ref="ABZ41:ACA41"/>
    <mergeCell ref="ACB41:ACC41"/>
    <mergeCell ref="ABZ42:ACA42"/>
    <mergeCell ref="ACE59:ACF59"/>
    <mergeCell ref="ACG59:ACH59"/>
    <mergeCell ref="ACI59:ACJ59"/>
    <mergeCell ref="ACE60:ACF60"/>
    <mergeCell ref="ACI35:ACJ35"/>
    <mergeCell ref="ACE36:ACF36"/>
    <mergeCell ref="ACG36:ACH36"/>
    <mergeCell ref="ACI36:ACJ36"/>
    <mergeCell ref="ACE37:ACF37"/>
    <mergeCell ref="ACG37:ACH37"/>
    <mergeCell ref="ACI37:ACJ37"/>
    <mergeCell ref="ACE38:ACF38"/>
    <mergeCell ref="ACG38:ACH38"/>
    <mergeCell ref="ACI38:ACJ38"/>
    <mergeCell ref="ACE39:ACF39"/>
    <mergeCell ref="ACG39:ACH39"/>
    <mergeCell ref="ACI39:ACJ39"/>
    <mergeCell ref="ACE40:ACF40"/>
    <mergeCell ref="ACG40:ACH40"/>
    <mergeCell ref="ACI40:ACJ40"/>
    <mergeCell ref="ACG51:ACH51"/>
    <mergeCell ref="ACI51:ACJ51"/>
    <mergeCell ref="ACE52:ACF52"/>
    <mergeCell ref="ACG52:ACH52"/>
    <mergeCell ref="ACE48:ACF48"/>
    <mergeCell ref="ACG48:ACH48"/>
    <mergeCell ref="ACI52:ACJ52"/>
    <mergeCell ref="ACE54:ACF54"/>
    <mergeCell ref="ACG54:ACH54"/>
    <mergeCell ref="ACI54:ACJ54"/>
    <mergeCell ref="ACE55:ACF55"/>
    <mergeCell ref="ACI30:ACJ30"/>
    <mergeCell ref="ACE31:ACF31"/>
    <mergeCell ref="ACE41:ACF41"/>
    <mergeCell ref="ACG41:ACH41"/>
    <mergeCell ref="ACI41:ACJ41"/>
    <mergeCell ref="ACE42:ACF42"/>
    <mergeCell ref="ACG42:ACH42"/>
    <mergeCell ref="ACG60:ACH60"/>
    <mergeCell ref="ACI60:ACJ60"/>
    <mergeCell ref="ACG55:ACH55"/>
    <mergeCell ref="ACG30:ACH30"/>
    <mergeCell ref="ACE30:ACF30"/>
    <mergeCell ref="ACE32:ACF32"/>
    <mergeCell ref="ACG32:ACH32"/>
    <mergeCell ref="ACI32:ACJ32"/>
    <mergeCell ref="ACE33:ACF33"/>
    <mergeCell ref="ACI48:ACJ48"/>
    <mergeCell ref="ACE49:ACF49"/>
    <mergeCell ref="ACE65:ACF65"/>
    <mergeCell ref="ACG65:ACH65"/>
    <mergeCell ref="ACI65:ACJ65"/>
    <mergeCell ref="ACE66:ACF66"/>
    <mergeCell ref="ACG66:ACH66"/>
    <mergeCell ref="ACI66:ACJ66"/>
    <mergeCell ref="ADX53:AED55"/>
    <mergeCell ref="ADX39:AEK43"/>
    <mergeCell ref="ACE61:ACF61"/>
    <mergeCell ref="ACG61:ACH61"/>
    <mergeCell ref="ACI61:ACJ61"/>
    <mergeCell ref="ACE62:ACF62"/>
    <mergeCell ref="ACG62:ACH62"/>
    <mergeCell ref="ACI62:ACJ62"/>
    <mergeCell ref="ACE47:ACF47"/>
    <mergeCell ref="ACG47:ACH47"/>
    <mergeCell ref="ACI47:ACJ47"/>
    <mergeCell ref="ADD46:ADG46"/>
    <mergeCell ref="ACI44:ACJ44"/>
    <mergeCell ref="ACE45:ACF45"/>
    <mergeCell ref="ACG45:ACH45"/>
    <mergeCell ref="ACI45:ACJ45"/>
    <mergeCell ref="ACE46:ACF46"/>
    <mergeCell ref="ACG46:ACH46"/>
    <mergeCell ref="ACI46:ACJ46"/>
    <mergeCell ref="ADB39:ADC45"/>
    <mergeCell ref="ADL25:ADM25"/>
    <mergeCell ref="ADN25:ADO25"/>
    <mergeCell ref="ADP25:ADQ25"/>
    <mergeCell ref="ADR25:ADS25"/>
    <mergeCell ref="ADT25:ADU25"/>
    <mergeCell ref="ADV25:ADW25"/>
    <mergeCell ref="ADJ34:ADK36"/>
    <mergeCell ref="ADL34:ADM36"/>
    <mergeCell ref="ADN34:ADO36"/>
    <mergeCell ref="ADX48:AEF50"/>
    <mergeCell ref="ADX28:AEB30"/>
    <mergeCell ref="ADX26:AEB27"/>
    <mergeCell ref="ACG33:ACH33"/>
    <mergeCell ref="ACI33:ACJ33"/>
    <mergeCell ref="ACE34:ACF34"/>
    <mergeCell ref="ACG34:ACH34"/>
    <mergeCell ref="ACI34:ACJ34"/>
    <mergeCell ref="ACE35:ACF35"/>
    <mergeCell ref="ACG35:ACH35"/>
    <mergeCell ref="ADN56:ADO58"/>
    <mergeCell ref="ADP56:ADQ58"/>
    <mergeCell ref="ADR56:ADS58"/>
    <mergeCell ref="ADT56:ADU58"/>
    <mergeCell ref="ADV56:ADW58"/>
    <mergeCell ref="ADD57:ADG57"/>
    <mergeCell ref="ADB53:ADC55"/>
    <mergeCell ref="ACE27:ACF27"/>
    <mergeCell ref="ACG27:ACH27"/>
    <mergeCell ref="ACI27:ACJ27"/>
    <mergeCell ref="ACE28:ACF28"/>
    <mergeCell ref="ACG28:ACH28"/>
    <mergeCell ref="ACI28:ACJ28"/>
    <mergeCell ref="ACE29:ACF29"/>
    <mergeCell ref="ACI55:ACJ55"/>
    <mergeCell ref="ACE56:ACF56"/>
    <mergeCell ref="ACG50:ACH50"/>
    <mergeCell ref="ACI50:ACJ50"/>
    <mergeCell ref="ACE51:ACF51"/>
    <mergeCell ref="ADR77:ADS79"/>
    <mergeCell ref="ADP82:ADQ82"/>
    <mergeCell ref="ADR82:ADS82"/>
    <mergeCell ref="ADT82:ADU82"/>
    <mergeCell ref="ADT61:ADU63"/>
    <mergeCell ref="ADV61:ADW63"/>
    <mergeCell ref="ADJ51:ADK52"/>
    <mergeCell ref="ADL51:ADM52"/>
    <mergeCell ref="ADH51:ADI51"/>
    <mergeCell ref="ADT77:ADU79"/>
    <mergeCell ref="ADV77:ADW79"/>
    <mergeCell ref="ADJ48:ADK50"/>
    <mergeCell ref="ADR85:ADS86"/>
    <mergeCell ref="ADT85:ADU86"/>
    <mergeCell ref="ADV85:ADW86"/>
    <mergeCell ref="ADV81:ADW81"/>
    <mergeCell ref="ADJ82:ADK82"/>
    <mergeCell ref="ADL82:ADM82"/>
    <mergeCell ref="ADN82:ADO82"/>
    <mergeCell ref="ADT83:ADU83"/>
    <mergeCell ref="ADV83:ADW83"/>
    <mergeCell ref="ADJ84:ADK84"/>
    <mergeCell ref="ADL84:ADM84"/>
    <mergeCell ref="ADN84:ADO84"/>
    <mergeCell ref="ADP84:ADQ84"/>
    <mergeCell ref="ADR84:ADS84"/>
    <mergeCell ref="ADT84:ADU84"/>
    <mergeCell ref="ADX70:AEH72"/>
    <mergeCell ref="ADX85:AEF86"/>
    <mergeCell ref="ADT81:ADU81"/>
    <mergeCell ref="ADP59:ADQ60"/>
    <mergeCell ref="ADH67:ADI69"/>
    <mergeCell ref="ADR80:ADS80"/>
    <mergeCell ref="ADT80:ADU80"/>
    <mergeCell ref="ADV80:ADW80"/>
    <mergeCell ref="ADJ81:ADK81"/>
    <mergeCell ref="ADL81:ADM81"/>
    <mergeCell ref="ADN81:ADO81"/>
    <mergeCell ref="ADP81:ADQ81"/>
    <mergeCell ref="ADR81:ADS81"/>
    <mergeCell ref="ADT28:ADU30"/>
    <mergeCell ref="ADV28:ADW30"/>
    <mergeCell ref="ADL61:ADM63"/>
    <mergeCell ref="ADB48:ADC50"/>
    <mergeCell ref="ADD50:ADG50"/>
    <mergeCell ref="ADH64:ADI64"/>
    <mergeCell ref="ADJ46:ADK47"/>
    <mergeCell ref="ADH50:ADI50"/>
    <mergeCell ref="ADD48:ADG48"/>
    <mergeCell ref="ADL46:ADM47"/>
    <mergeCell ref="ADJ59:ADK60"/>
    <mergeCell ref="ADH46:ADI46"/>
    <mergeCell ref="ADV73:ADW76"/>
    <mergeCell ref="ADJ77:ADK79"/>
    <mergeCell ref="ADL77:ADM79"/>
    <mergeCell ref="ADN77:ADO79"/>
    <mergeCell ref="ADT41:ADU41"/>
    <mergeCell ref="ADV41:ADW41"/>
    <mergeCell ref="ADJ42:ADK42"/>
    <mergeCell ref="ADL42:ADM42"/>
    <mergeCell ref="ADN42:ADO42"/>
    <mergeCell ref="ADP42:ADQ42"/>
    <mergeCell ref="ADR42:ADS42"/>
    <mergeCell ref="ADT42:ADU42"/>
    <mergeCell ref="ADV42:ADW42"/>
    <mergeCell ref="ADV39:ADW39"/>
    <mergeCell ref="ADJ40:ADK40"/>
    <mergeCell ref="ADL40:ADM40"/>
    <mergeCell ref="ADJ44:ADK45"/>
    <mergeCell ref="ADH61:ADI61"/>
    <mergeCell ref="ADT51:ADU52"/>
    <mergeCell ref="ADJ73:ADK76"/>
    <mergeCell ref="ADL73:ADM76"/>
    <mergeCell ref="ADN73:ADO76"/>
    <mergeCell ref="ADP73:ADQ76"/>
    <mergeCell ref="ADR73:ADS76"/>
    <mergeCell ref="ADH57:ADI57"/>
    <mergeCell ref="ADN44:ADO45"/>
    <mergeCell ref="ADH75:ADI75"/>
    <mergeCell ref="ADH59:ADI59"/>
    <mergeCell ref="ADL53:ADW55"/>
    <mergeCell ref="ADL48:ADM50"/>
    <mergeCell ref="ADN48:ADO50"/>
    <mergeCell ref="ADP48:ADQ50"/>
    <mergeCell ref="ADR48:ADS50"/>
    <mergeCell ref="ADV51:ADW52"/>
    <mergeCell ref="ADP44:ADQ45"/>
    <mergeCell ref="ADV44:ADW45"/>
    <mergeCell ref="ADJ70:ADK72"/>
    <mergeCell ref="ADL70:ADM72"/>
    <mergeCell ref="ADN70:ADO72"/>
    <mergeCell ref="ADP70:ADQ72"/>
    <mergeCell ref="ADR70:ADS72"/>
    <mergeCell ref="ADT70:ADU72"/>
    <mergeCell ref="ADV70:ADW72"/>
    <mergeCell ref="ADB56:ADC58"/>
    <mergeCell ref="ADN40:ADO40"/>
    <mergeCell ref="ADP40:ADQ40"/>
    <mergeCell ref="ADR40:ADS40"/>
    <mergeCell ref="ADT40:ADU40"/>
    <mergeCell ref="ADV40:ADW40"/>
    <mergeCell ref="ADJ41:ADK41"/>
    <mergeCell ref="ADL41:ADM41"/>
    <mergeCell ref="ADN41:ADO41"/>
    <mergeCell ref="ADT48:ADU50"/>
    <mergeCell ref="ADV48:ADW50"/>
    <mergeCell ref="ADX77:AEF79"/>
    <mergeCell ref="XR67:XS67"/>
    <mergeCell ref="YT40:YU40"/>
    <mergeCell ref="AAF45:AAG45"/>
    <mergeCell ref="AAD46:AAE46"/>
    <mergeCell ref="AAF46:AAG46"/>
    <mergeCell ref="AAD47:AAE47"/>
    <mergeCell ref="AAF47:AAG47"/>
    <mergeCell ref="AAD48:AAE48"/>
    <mergeCell ref="AAP56:AAQ56"/>
    <mergeCell ref="AAR56:AAS56"/>
    <mergeCell ref="AAU52:AAV52"/>
    <mergeCell ref="AAW52:AAX52"/>
    <mergeCell ref="AAY52:AAZ52"/>
    <mergeCell ref="AAP55:AAQ55"/>
    <mergeCell ref="AAR55:AAS55"/>
    <mergeCell ref="AAP57:AAQ57"/>
    <mergeCell ref="AAR57:AAS57"/>
    <mergeCell ref="ABH79:ABI79"/>
    <mergeCell ref="ADT43:ADU43"/>
    <mergeCell ref="ADV43:ADW43"/>
    <mergeCell ref="ADJ43:ADK43"/>
    <mergeCell ref="ADL43:ADM43"/>
    <mergeCell ref="ABG64:ABH64"/>
    <mergeCell ref="ABI64:ABJ64"/>
    <mergeCell ref="AAD45:AAE45"/>
    <mergeCell ref="ABB62:ABC62"/>
    <mergeCell ref="ABB63:ABC63"/>
    <mergeCell ref="ABB64:ABC64"/>
    <mergeCell ref="ABB65:ABC65"/>
    <mergeCell ref="ABB66:ABC66"/>
    <mergeCell ref="ABB67:ABC67"/>
    <mergeCell ref="ADN61:ADO63"/>
    <mergeCell ref="ADH77:ADI77"/>
    <mergeCell ref="ADD77:ADG77"/>
    <mergeCell ref="AAF48:AAG48"/>
    <mergeCell ref="AAP62:AAQ62"/>
    <mergeCell ref="AAR62:AAS62"/>
    <mergeCell ref="AAP63:AAQ63"/>
    <mergeCell ref="ADB77:ADC79"/>
    <mergeCell ref="ADJ61:ADK63"/>
    <mergeCell ref="ACE69:ACF69"/>
    <mergeCell ref="ACG69:ACH69"/>
    <mergeCell ref="ADB59:ADC60"/>
    <mergeCell ref="ADB51:ADC52"/>
    <mergeCell ref="ADE75:ADF75"/>
    <mergeCell ref="ADB70:ADC72"/>
    <mergeCell ref="ADX51:AEE52"/>
    <mergeCell ref="ADR51:ADS52"/>
    <mergeCell ref="ADV46:ADW47"/>
    <mergeCell ref="ADP46:ADQ47"/>
    <mergeCell ref="ADR46:ADS47"/>
    <mergeCell ref="ADX56:AEE58"/>
    <mergeCell ref="ADX59:AEF60"/>
    <mergeCell ref="ADL64:ADM66"/>
    <mergeCell ref="ADN64:ADO66"/>
    <mergeCell ref="ADP64:ADQ66"/>
    <mergeCell ref="ADR64:ADS66"/>
    <mergeCell ref="ADT64:ADU66"/>
    <mergeCell ref="ADV64:ADW66"/>
    <mergeCell ref="ADX64:AEF66"/>
    <mergeCell ref="ADP77:ADQ79"/>
    <mergeCell ref="XP114:XQ114"/>
    <mergeCell ref="XR114:XS114"/>
    <mergeCell ref="YK136:YS136"/>
    <mergeCell ref="YK137:YS138"/>
    <mergeCell ref="ACG64:ACH64"/>
    <mergeCell ref="ACI64:ACJ64"/>
    <mergeCell ref="ACE53:ACF53"/>
    <mergeCell ref="ACG53:ACH53"/>
    <mergeCell ref="ACI53:ACJ53"/>
    <mergeCell ref="ABW70:ABX70"/>
    <mergeCell ref="ADT105:ADU106"/>
    <mergeCell ref="ADV105:ADW106"/>
    <mergeCell ref="YL100:YR101"/>
    <mergeCell ref="ADH96:ADI96"/>
    <mergeCell ref="ABR95:ABS95"/>
    <mergeCell ref="ABT95:ABU95"/>
    <mergeCell ref="ABW95:ABX95"/>
    <mergeCell ref="ADD53:ADG53"/>
    <mergeCell ref="ADH53:ADI53"/>
    <mergeCell ref="ADD54:ADG54"/>
    <mergeCell ref="ADH54:ADI54"/>
    <mergeCell ref="ACG56:ACH56"/>
    <mergeCell ref="ACI56:ACJ56"/>
    <mergeCell ref="ACE57:ACF57"/>
    <mergeCell ref="ABH73:ABI73"/>
    <mergeCell ref="ABJ73:ABK73"/>
    <mergeCell ref="ABH82:ABI82"/>
    <mergeCell ref="ABJ82:ABK82"/>
    <mergeCell ref="ABM82:ABN82"/>
    <mergeCell ref="ABO82:ABP82"/>
    <mergeCell ref="ADB99:ADC100"/>
    <mergeCell ref="ADB101:ADC102"/>
    <mergeCell ref="ADH95:ADI95"/>
    <mergeCell ref="ACG57:ACH57"/>
    <mergeCell ref="ACI57:ACJ57"/>
    <mergeCell ref="ACI69:ACJ69"/>
    <mergeCell ref="ACE58:ACF58"/>
    <mergeCell ref="ADD90:ADI90"/>
    <mergeCell ref="ADH85:ADI86"/>
    <mergeCell ref="ADJ56:ADK58"/>
    <mergeCell ref="ADL56:ADM58"/>
    <mergeCell ref="ADD95:ADG95"/>
    <mergeCell ref="ADD96:ADG96"/>
    <mergeCell ref="ADB91:ADC94"/>
    <mergeCell ref="ADB95:ADC98"/>
    <mergeCell ref="ADD99:ADI100"/>
    <mergeCell ref="ADD101:ADI102"/>
    <mergeCell ref="ADD103:ADI104"/>
    <mergeCell ref="ADD105:ADI106"/>
    <mergeCell ref="ADB89:ADC90"/>
    <mergeCell ref="AAR70:AAS70"/>
    <mergeCell ref="ABO96:ABP96"/>
    <mergeCell ref="ABH97:ABI97"/>
    <mergeCell ref="AAU70:AAV70"/>
    <mergeCell ref="AAW70:AAX70"/>
    <mergeCell ref="AAY70:AAZ70"/>
    <mergeCell ref="AAP58:AAQ58"/>
    <mergeCell ref="AAR58:AAS58"/>
    <mergeCell ref="AAP59:AAQ59"/>
    <mergeCell ref="AAR59:AAS59"/>
    <mergeCell ref="AAP60:AAQ60"/>
    <mergeCell ref="ADJ85:ADK86"/>
    <mergeCell ref="YK83:YR83"/>
    <mergeCell ref="ADB80:ADC86"/>
    <mergeCell ref="XP269:XR269"/>
    <mergeCell ref="XS269:XT269"/>
    <mergeCell ref="XS180:YB182"/>
    <mergeCell ref="XR152:XS152"/>
    <mergeCell ref="XR151:XS151"/>
    <mergeCell ref="XS261:XT261"/>
    <mergeCell ref="XU261:XV261"/>
    <mergeCell ref="XR247:XS247"/>
    <mergeCell ref="XU247:YE247"/>
    <mergeCell ref="XR254:XS254"/>
    <mergeCell ref="XU254:YE254"/>
    <mergeCell ref="ADD51:ADG51"/>
    <mergeCell ref="ADX118:AEI119"/>
    <mergeCell ref="ADX120:AEG122"/>
    <mergeCell ref="ACG49:ACH49"/>
    <mergeCell ref="ACI49:ACJ49"/>
    <mergeCell ref="ACE50:ACF50"/>
    <mergeCell ref="ADL120:ADM122"/>
    <mergeCell ref="ADN120:ADO122"/>
    <mergeCell ref="ADX126:AEI128"/>
    <mergeCell ref="ADX129:AEB131"/>
    <mergeCell ref="ADL107:ADM110"/>
    <mergeCell ref="ADN107:ADO110"/>
    <mergeCell ref="ADD61:ADG61"/>
    <mergeCell ref="ADB61:ADC63"/>
    <mergeCell ref="ACE67:ACF67"/>
    <mergeCell ref="ACG67:ACH67"/>
    <mergeCell ref="ACI67:ACJ67"/>
    <mergeCell ref="ACE68:ACF68"/>
    <mergeCell ref="ABO75:ABP75"/>
    <mergeCell ref="ABH76:ABI76"/>
    <mergeCell ref="ABJ76:ABK76"/>
    <mergeCell ref="ABM76:ABN76"/>
    <mergeCell ref="ABO76:ABP76"/>
    <mergeCell ref="AAD129:AAE129"/>
    <mergeCell ref="AAD65:AAE65"/>
    <mergeCell ref="ADD97:ADI98"/>
    <mergeCell ref="AAD67:AAE67"/>
    <mergeCell ref="ADB87:ADC88"/>
    <mergeCell ref="ABD65:ABE65"/>
    <mergeCell ref="ABD66:ABE66"/>
    <mergeCell ref="ABD67:ABE67"/>
    <mergeCell ref="ABD68:ABE68"/>
    <mergeCell ref="ABD69:ABE69"/>
    <mergeCell ref="ABD70:ABE70"/>
    <mergeCell ref="AAP70:AAQ70"/>
    <mergeCell ref="XP143:XQ143"/>
    <mergeCell ref="XP137:XQ137"/>
    <mergeCell ref="XR137:XS137"/>
    <mergeCell ref="XR138:XS138"/>
    <mergeCell ref="XP138:XQ138"/>
    <mergeCell ref="XP134:XT134"/>
    <mergeCell ref="XQ181:XR181"/>
    <mergeCell ref="XQ182:XR182"/>
    <mergeCell ref="ABH87:ABI87"/>
    <mergeCell ref="ABJ87:ABK87"/>
    <mergeCell ref="ABM87:ABN87"/>
    <mergeCell ref="ABO87:ABP87"/>
    <mergeCell ref="YG131:YJ131"/>
    <mergeCell ref="ADD91:ADG91"/>
    <mergeCell ref="ADD92:ADG92"/>
    <mergeCell ref="ABR125:ABS125"/>
    <mergeCell ref="ADT101:ADU102"/>
    <mergeCell ref="ADV101:ADW102"/>
    <mergeCell ref="YE192:YF193"/>
    <mergeCell ref="ADL129:ADM131"/>
    <mergeCell ref="ADN129:ADO131"/>
    <mergeCell ref="ADP129:ADQ131"/>
    <mergeCell ref="ADR129:ADS131"/>
    <mergeCell ref="ADT129:ADU131"/>
    <mergeCell ref="ADV129:ADW131"/>
    <mergeCell ref="ADL132:ADM134"/>
    <mergeCell ref="ADV132:ADW134"/>
    <mergeCell ref="ADX44:AEF45"/>
    <mergeCell ref="ADX46:AEF47"/>
    <mergeCell ref="ADL103:ADM104"/>
    <mergeCell ref="ADN103:ADO104"/>
    <mergeCell ref="ADP103:ADQ104"/>
    <mergeCell ref="ADR103:ADS104"/>
    <mergeCell ref="ADT103:ADU104"/>
    <mergeCell ref="ADV103:ADW104"/>
    <mergeCell ref="ADL105:ADM106"/>
    <mergeCell ref="ADN105:ADO106"/>
    <mergeCell ref="ADP105:ADQ106"/>
    <mergeCell ref="ADR105:ADS106"/>
    <mergeCell ref="ADJ91:ADK94"/>
    <mergeCell ref="ADJ95:ADK98"/>
    <mergeCell ref="YQ104:YQ105"/>
    <mergeCell ref="YK84:YR86"/>
    <mergeCell ref="ADH91:ADI91"/>
    <mergeCell ref="ADP61:ADQ63"/>
    <mergeCell ref="ADR61:ADS63"/>
    <mergeCell ref="ADJ53:ADK55"/>
    <mergeCell ref="ADL85:ADM86"/>
    <mergeCell ref="ADN85:ADO86"/>
    <mergeCell ref="ADP85:ADQ86"/>
    <mergeCell ref="ADR83:ADS83"/>
    <mergeCell ref="ADV84:ADW84"/>
    <mergeCell ref="ADD64:ADG64"/>
    <mergeCell ref="ADD59:ADG59"/>
    <mergeCell ref="ADB64:ADC66"/>
    <mergeCell ref="ACE63:ACF63"/>
    <mergeCell ref="ACG63:ACH63"/>
    <mergeCell ref="ACI63:ACJ63"/>
    <mergeCell ref="ACE64:ACF64"/>
    <mergeCell ref="ADN115:ADO117"/>
    <mergeCell ref="AAK114:AAL114"/>
    <mergeCell ref="AAK115:AAL115"/>
    <mergeCell ref="ADD113:ADG113"/>
    <mergeCell ref="ADH113:ADI113"/>
    <mergeCell ref="ADJ111:ADK114"/>
    <mergeCell ref="YK113:YQ113"/>
    <mergeCell ref="ABT125:ABU125"/>
    <mergeCell ref="ABW125:ABX125"/>
    <mergeCell ref="ADJ118:ADK119"/>
    <mergeCell ref="ADJ120:ADK122"/>
    <mergeCell ref="ABJ128:ABK128"/>
    <mergeCell ref="ABM128:ABN128"/>
    <mergeCell ref="ABO128:ABP128"/>
    <mergeCell ref="ABO132:ABP132"/>
    <mergeCell ref="ABH133:ABI133"/>
    <mergeCell ref="YL120:YQ120"/>
    <mergeCell ref="YL121:YQ122"/>
    <mergeCell ref="YE146:YF147"/>
    <mergeCell ref="YH146:YI147"/>
    <mergeCell ref="YJ146:YJ147"/>
    <mergeCell ref="YC148:YJ148"/>
    <mergeCell ref="YK145:YP145"/>
    <mergeCell ref="XV21:XW21"/>
    <mergeCell ref="ABS17:ABT17"/>
    <mergeCell ref="ABU17:ABV17"/>
    <mergeCell ref="ABW17:ABX17"/>
    <mergeCell ref="ABS18:ABT18"/>
    <mergeCell ref="ABU18:ABV18"/>
    <mergeCell ref="ABW18:ABX18"/>
    <mergeCell ref="ABS19:ABT19"/>
    <mergeCell ref="ABU19:ABV19"/>
    <mergeCell ref="ABW19:ABX19"/>
    <mergeCell ref="ABS20:ABT20"/>
    <mergeCell ref="ABU20:ABV20"/>
    <mergeCell ref="ABW20:ABX20"/>
    <mergeCell ref="ABS21:ABT21"/>
    <mergeCell ref="ABU21:ABV21"/>
    <mergeCell ref="ABW21:ABX21"/>
    <mergeCell ref="ACG29:ACH29"/>
    <mergeCell ref="AAD26:AAE26"/>
    <mergeCell ref="AAF26:AAG26"/>
    <mergeCell ref="AAD27:AAE27"/>
    <mergeCell ref="AAF27:AAG27"/>
    <mergeCell ref="AAD28:AAE28"/>
    <mergeCell ref="AAF28:AAG28"/>
    <mergeCell ref="AAD29:AAE29"/>
    <mergeCell ref="AAF29:AAG29"/>
    <mergeCell ref="AAP24:AAQ24"/>
    <mergeCell ref="AAR24:AAS24"/>
    <mergeCell ref="AAP25:AAQ25"/>
    <mergeCell ref="AAR25:AAS25"/>
    <mergeCell ref="AAP26:AAQ26"/>
    <mergeCell ref="AAR26:AAS26"/>
    <mergeCell ref="ABS23:ABT23"/>
    <mergeCell ref="ABU23:ABV23"/>
    <mergeCell ref="ABS22:ABT22"/>
    <mergeCell ref="ACG17:ACH17"/>
    <mergeCell ref="ABG23:ABH23"/>
    <mergeCell ref="ABI23:ABJ23"/>
    <mergeCell ref="ABK23:ABL23"/>
    <mergeCell ref="ABG24:ABH24"/>
    <mergeCell ref="ABI24:ABJ24"/>
    <mergeCell ref="ABK24:ABL24"/>
    <mergeCell ref="ABG25:ABH25"/>
    <mergeCell ref="ABI25:ABJ25"/>
    <mergeCell ref="ABK25:ABL25"/>
    <mergeCell ref="ABG26:ABH26"/>
    <mergeCell ref="ABI26:ABJ26"/>
    <mergeCell ref="ABK26:ABL26"/>
    <mergeCell ref="ACG18:ACH18"/>
    <mergeCell ref="ABS25:ABT25"/>
    <mergeCell ref="ABS28:ABT28"/>
    <mergeCell ref="ABG27:ABH27"/>
    <mergeCell ref="ABI27:ABJ27"/>
    <mergeCell ref="ABU24:ABV24"/>
    <mergeCell ref="ABB27:ABC27"/>
    <mergeCell ref="ACG22:ACH22"/>
    <mergeCell ref="ABW123:ABX123"/>
    <mergeCell ref="ABY123:ABZ123"/>
    <mergeCell ref="ABT124:ABU124"/>
    <mergeCell ref="ABW124:ABX124"/>
    <mergeCell ref="ABY124:ABZ124"/>
    <mergeCell ref="ABW114:ABX114"/>
    <mergeCell ref="ABY114:ABZ114"/>
    <mergeCell ref="ABR115:ABS115"/>
    <mergeCell ref="ADP132:ADQ134"/>
    <mergeCell ref="ADJ123:ADK125"/>
    <mergeCell ref="ADR126:ADS128"/>
    <mergeCell ref="ADB118:ADC119"/>
    <mergeCell ref="ADB120:ADC122"/>
    <mergeCell ref="ABH122:ABI122"/>
    <mergeCell ref="ABJ122:ABK122"/>
    <mergeCell ref="ABM122:ABN122"/>
    <mergeCell ref="ABM75:ABN75"/>
    <mergeCell ref="ABH120:ABI120"/>
    <mergeCell ref="ABJ120:ABK120"/>
    <mergeCell ref="ABM120:ABN120"/>
    <mergeCell ref="ABO120:ABP120"/>
    <mergeCell ref="ABH121:ABI121"/>
    <mergeCell ref="ABJ121:ABK121"/>
    <mergeCell ref="ABM121:ABN121"/>
    <mergeCell ref="ABS11:ABT11"/>
    <mergeCell ref="ABU11:ABV11"/>
    <mergeCell ref="ABW11:ABX11"/>
    <mergeCell ref="ABS12:ABT12"/>
    <mergeCell ref="ABU12:ABV12"/>
    <mergeCell ref="ABW12:ABX12"/>
    <mergeCell ref="ABS13:ABT13"/>
    <mergeCell ref="ABU13:ABV13"/>
    <mergeCell ref="ABW13:ABX13"/>
    <mergeCell ref="ABS14:ABT14"/>
    <mergeCell ref="ABU14:ABV14"/>
    <mergeCell ref="ABW14:ABX14"/>
    <mergeCell ref="ABS15:ABT15"/>
    <mergeCell ref="ABG14:ABH14"/>
    <mergeCell ref="ABI14:ABJ14"/>
    <mergeCell ref="ABK14:ABL14"/>
    <mergeCell ref="ABK13:ABL13"/>
    <mergeCell ref="ADB123:ADC125"/>
    <mergeCell ref="ADB126:ADC128"/>
    <mergeCell ref="ADB129:ADC131"/>
    <mergeCell ref="ADB132:ADC134"/>
    <mergeCell ref="ADP118:ADQ119"/>
    <mergeCell ref="ABY131:ABZ131"/>
    <mergeCell ref="ABR132:ABS132"/>
    <mergeCell ref="ABT132:ABU132"/>
    <mergeCell ref="ABW132:ABX132"/>
    <mergeCell ref="ABY132:ABZ132"/>
    <mergeCell ref="ABR133:ABS133"/>
    <mergeCell ref="ABT133:ABU133"/>
    <mergeCell ref="ABW133:ABX133"/>
    <mergeCell ref="ABY133:ABZ133"/>
    <mergeCell ref="ADJ80:ADK80"/>
    <mergeCell ref="ADL80:ADM80"/>
    <mergeCell ref="ADN80:ADO80"/>
    <mergeCell ref="ADP80:ADQ80"/>
    <mergeCell ref="ADP41:ADQ41"/>
    <mergeCell ref="ADR41:ADS41"/>
    <mergeCell ref="ACE70:ACF70"/>
    <mergeCell ref="ACG70:ACH70"/>
    <mergeCell ref="ACI70:ACJ70"/>
    <mergeCell ref="ABW86:ABX86"/>
    <mergeCell ref="ABY86:ABZ86"/>
    <mergeCell ref="ABR87:ABS87"/>
    <mergeCell ref="ABW102:ABX102"/>
    <mergeCell ref="ABY102:ABZ102"/>
    <mergeCell ref="ABR103:ABS103"/>
    <mergeCell ref="YH132:YI133"/>
    <mergeCell ref="YC134:YJ134"/>
    <mergeCell ref="ADD88:ADI88"/>
    <mergeCell ref="ADD94:ADI94"/>
    <mergeCell ref="ADN111:ADO114"/>
    <mergeCell ref="ADP111:ADQ114"/>
    <mergeCell ref="ADR111:ADS114"/>
    <mergeCell ref="ADT111:ADU114"/>
    <mergeCell ref="ADV111:ADW114"/>
    <mergeCell ref="ADT126:ADU128"/>
    <mergeCell ref="ADV126:ADW128"/>
    <mergeCell ref="ABH94:ABI94"/>
    <mergeCell ref="ABJ94:ABK94"/>
    <mergeCell ref="ABM94:ABN94"/>
    <mergeCell ref="ABO94:ABP94"/>
    <mergeCell ref="ABH95:ABI95"/>
    <mergeCell ref="ADH111:ADI111"/>
    <mergeCell ref="ADD112:ADG112"/>
    <mergeCell ref="ADH112:ADI112"/>
    <mergeCell ref="ABM97:ABN97"/>
    <mergeCell ref="ABO97:ABP97"/>
    <mergeCell ref="ABH98:ABI98"/>
    <mergeCell ref="ABJ98:ABK98"/>
    <mergeCell ref="ABM98:ABN98"/>
    <mergeCell ref="ABO98:ABP98"/>
    <mergeCell ref="ABH99:ABI99"/>
    <mergeCell ref="ADP120:ADQ122"/>
    <mergeCell ref="ADR120:ADS122"/>
    <mergeCell ref="ADT120:ADU122"/>
    <mergeCell ref="ADV120:ADW122"/>
    <mergeCell ref="ADL123:ADM125"/>
    <mergeCell ref="ADN123:ADO125"/>
    <mergeCell ref="ADP123:ADQ125"/>
    <mergeCell ref="ADR123:ADS125"/>
    <mergeCell ref="ADT123:ADU125"/>
    <mergeCell ref="ADV123:ADW125"/>
    <mergeCell ref="ADL118:ADM119"/>
    <mergeCell ref="ADN118:ADO119"/>
    <mergeCell ref="ADD126:ADG126"/>
    <mergeCell ref="ADH126:ADI126"/>
    <mergeCell ref="ADD123:ADG123"/>
    <mergeCell ref="ADH123:ADI123"/>
    <mergeCell ref="ADL89:ADM90"/>
    <mergeCell ref="ADN89:ADO90"/>
    <mergeCell ref="ADP89:ADQ90"/>
    <mergeCell ref="ADL87:ADM88"/>
    <mergeCell ref="ADN87:ADO88"/>
    <mergeCell ref="ABH119:ABI119"/>
    <mergeCell ref="ABJ119:ABK119"/>
    <mergeCell ref="ABM119:ABN119"/>
    <mergeCell ref="ABO119:ABP119"/>
    <mergeCell ref="ADD115:ADI117"/>
    <mergeCell ref="ADB115:ADC117"/>
    <mergeCell ref="ADR118:ADS119"/>
    <mergeCell ref="ADT118:ADU119"/>
    <mergeCell ref="ADV118:ADW119"/>
    <mergeCell ref="ADJ126:ADK128"/>
    <mergeCell ref="ABT123:ABU123"/>
    <mergeCell ref="ABT121:ABU121"/>
    <mergeCell ref="ABW121:ABX121"/>
    <mergeCell ref="ABY121:ABZ121"/>
    <mergeCell ref="ABR122:ABS122"/>
    <mergeCell ref="ABT122:ABU122"/>
    <mergeCell ref="ABW122:ABX122"/>
    <mergeCell ref="ABY122:ABZ122"/>
    <mergeCell ref="ABR123:ABS123"/>
    <mergeCell ref="ABE97:ABF97"/>
    <mergeCell ref="ABH84:ABI84"/>
    <mergeCell ref="ABJ84:ABK84"/>
    <mergeCell ref="ABM84:ABN84"/>
    <mergeCell ref="ABO84:ABP84"/>
    <mergeCell ref="ABJ97:ABK97"/>
    <mergeCell ref="ABH116:ABI116"/>
    <mergeCell ref="ADX107:AEH110"/>
    <mergeCell ref="ADX111:AEH114"/>
    <mergeCell ref="XP262:XR262"/>
    <mergeCell ref="XS262:XT262"/>
    <mergeCell ref="XP263:XR263"/>
    <mergeCell ref="XS263:XT263"/>
    <mergeCell ref="XP264:XR264"/>
    <mergeCell ref="XS264:XT264"/>
    <mergeCell ref="XP265:XR265"/>
    <mergeCell ref="XS265:XT265"/>
    <mergeCell ref="XO261:XO265"/>
    <mergeCell ref="XU262:YB265"/>
    <mergeCell ref="YC264:YJ265"/>
    <mergeCell ref="YK262:YV265"/>
    <mergeCell ref="ADX115:AED117"/>
    <mergeCell ref="YK131:YP131"/>
    <mergeCell ref="YK132:YP134"/>
    <mergeCell ref="ADD110:ADG110"/>
    <mergeCell ref="ADH110:ADI110"/>
    <mergeCell ref="ADD114:ADG114"/>
    <mergeCell ref="YG150:YJ150"/>
    <mergeCell ref="YH151:YI152"/>
    <mergeCell ref="YJ151:YJ152"/>
    <mergeCell ref="YC153:YJ153"/>
    <mergeCell ref="XS146:YB148"/>
    <mergeCell ref="ABO122:ABP122"/>
    <mergeCell ref="ABH123:ABI123"/>
    <mergeCell ref="ABJ123:ABK123"/>
    <mergeCell ref="ABM123:ABN123"/>
    <mergeCell ref="ABO123:ABP123"/>
    <mergeCell ref="ABH124:ABI124"/>
    <mergeCell ref="ABJ124:ABK124"/>
    <mergeCell ref="ABM124:ABN124"/>
    <mergeCell ref="ABO124:ABP124"/>
    <mergeCell ref="ABH125:ABI125"/>
    <mergeCell ref="ABJ125:ABK125"/>
    <mergeCell ref="ABM125:ABN125"/>
    <mergeCell ref="ABO125:ABP125"/>
    <mergeCell ref="ABH126:ABI126"/>
    <mergeCell ref="ABJ126:ABK126"/>
    <mergeCell ref="ABM126:ABN126"/>
    <mergeCell ref="ABO126:ABP126"/>
    <mergeCell ref="ABH127:ABI127"/>
    <mergeCell ref="ABJ127:ABK127"/>
    <mergeCell ref="ABM127:ABN127"/>
    <mergeCell ref="ABO127:ABP127"/>
    <mergeCell ref="ABH128:ABI128"/>
    <mergeCell ref="ABR86:ABS86"/>
    <mergeCell ref="ABT86:ABU86"/>
    <mergeCell ref="SK113:SN113"/>
    <mergeCell ref="UO98:UR98"/>
    <mergeCell ref="TI116:TL116"/>
    <mergeCell ref="RD113:RE113"/>
    <mergeCell ref="RD114:RE114"/>
    <mergeCell ref="RD115:RE115"/>
    <mergeCell ref="QA45:QB46"/>
    <mergeCell ref="TU72:TZ72"/>
    <mergeCell ref="XT283:YB285"/>
    <mergeCell ref="YK283:YN285"/>
    <mergeCell ref="YC285:YJ285"/>
    <mergeCell ref="XO282:XO285"/>
    <mergeCell ref="ABJ99:ABK99"/>
    <mergeCell ref="ABO95:ABP95"/>
    <mergeCell ref="ABO103:ABP103"/>
    <mergeCell ref="ABH104:ABI104"/>
    <mergeCell ref="ABJ104:ABK104"/>
    <mergeCell ref="ABM104:ABN104"/>
    <mergeCell ref="ABO104:ABP104"/>
    <mergeCell ref="ABH105:ABI105"/>
    <mergeCell ref="ADH92:ADI92"/>
    <mergeCell ref="ABM107:ABN107"/>
    <mergeCell ref="ABO107:ABP107"/>
    <mergeCell ref="ABH108:ABI108"/>
    <mergeCell ref="ABH109:ABI109"/>
    <mergeCell ref="ABJ109:ABK109"/>
    <mergeCell ref="ABM109:ABN109"/>
    <mergeCell ref="ABO109:ABP109"/>
    <mergeCell ref="ABH110:ABI110"/>
    <mergeCell ref="ABJ110:ABK110"/>
    <mergeCell ref="ABM110:ABN110"/>
    <mergeCell ref="ABO110:ABP110"/>
    <mergeCell ref="ABH112:ABI112"/>
    <mergeCell ref="ABJ112:ABK112"/>
    <mergeCell ref="ABM112:ABN112"/>
    <mergeCell ref="ABO112:ABP112"/>
    <mergeCell ref="ABR99:ABS99"/>
    <mergeCell ref="ABT99:ABU99"/>
    <mergeCell ref="ABW99:ABX99"/>
    <mergeCell ref="ABY99:ABZ99"/>
    <mergeCell ref="ABR100:ABS100"/>
    <mergeCell ref="ABO121:ABP121"/>
    <mergeCell ref="ABW104:ABX104"/>
    <mergeCell ref="ABY104:ABZ104"/>
    <mergeCell ref="ABR96:ABS96"/>
    <mergeCell ref="ABT96:ABU96"/>
    <mergeCell ref="ABW96:ABX96"/>
    <mergeCell ref="ABY96:ABZ96"/>
    <mergeCell ref="ABR97:ABS97"/>
    <mergeCell ref="ABT97:ABU97"/>
    <mergeCell ref="ABY92:ABZ92"/>
    <mergeCell ref="ABR93:ABS93"/>
    <mergeCell ref="ABT93:ABU93"/>
    <mergeCell ref="ABW93:ABX93"/>
    <mergeCell ref="ABY93:ABZ93"/>
    <mergeCell ref="ABR94:ABS94"/>
    <mergeCell ref="ABT94:ABU94"/>
    <mergeCell ref="ABW94:ABX94"/>
    <mergeCell ref="ABY94:ABZ94"/>
    <mergeCell ref="ABY95:ABZ95"/>
    <mergeCell ref="ABR114:ABS114"/>
    <mergeCell ref="ABT114:ABU114"/>
    <mergeCell ref="ABR124:ABS124"/>
    <mergeCell ref="ABR121:ABS121"/>
    <mergeCell ref="ABH77:ABI77"/>
    <mergeCell ref="ABJ77:ABK77"/>
    <mergeCell ref="ABM77:ABN77"/>
    <mergeCell ref="US81:UW81"/>
    <mergeCell ref="ABM93:ABN93"/>
    <mergeCell ref="ABO93:ABP93"/>
    <mergeCell ref="ABJ92:ABK92"/>
    <mergeCell ref="ABM92:ABN92"/>
    <mergeCell ref="ABO92:ABP92"/>
    <mergeCell ref="ABH93:ABI93"/>
    <mergeCell ref="ABJ93:ABK93"/>
    <mergeCell ref="ABH91:ABI91"/>
    <mergeCell ref="ABJ91:ABK91"/>
    <mergeCell ref="ABM91:ABN91"/>
    <mergeCell ref="ABO91:ABP91"/>
    <mergeCell ref="ABH92:ABI92"/>
    <mergeCell ref="ABJ105:ABK105"/>
    <mergeCell ref="ABM105:ABN105"/>
    <mergeCell ref="ABO105:ABP105"/>
    <mergeCell ref="ABH106:ABI106"/>
    <mergeCell ref="ABJ106:ABK106"/>
    <mergeCell ref="ABM106:ABN106"/>
    <mergeCell ref="ABO106:ABP106"/>
    <mergeCell ref="ABH107:ABI107"/>
    <mergeCell ref="ABJ107:ABK107"/>
    <mergeCell ref="YE167:YF167"/>
    <mergeCell ref="ABJ95:ABK95"/>
    <mergeCell ref="ABM95:ABN95"/>
    <mergeCell ref="ABO133:ABP133"/>
    <mergeCell ref="ABH96:ABI96"/>
    <mergeCell ref="YK114:YQ116"/>
    <mergeCell ref="XT100:YB101"/>
    <mergeCell ref="YG146:YG147"/>
    <mergeCell ref="XF137:XG138"/>
    <mergeCell ref="XT141:YB143"/>
    <mergeCell ref="XT137:YB138"/>
    <mergeCell ref="XR142:XS142"/>
    <mergeCell ref="XP142:XQ142"/>
    <mergeCell ref="XR143:XS143"/>
    <mergeCell ref="XP153:XQ153"/>
    <mergeCell ref="XR153:XS153"/>
    <mergeCell ref="XT121:YB122"/>
    <mergeCell ref="XR122:XS122"/>
    <mergeCell ref="XQ148:XR148"/>
    <mergeCell ref="YA150:YB150"/>
    <mergeCell ref="YK146:YP148"/>
    <mergeCell ref="YA131:YB131"/>
    <mergeCell ref="YC131:YD131"/>
    <mergeCell ref="AAD111:AAE111"/>
    <mergeCell ref="XP125:YB126"/>
    <mergeCell ref="YL125:YQ126"/>
    <mergeCell ref="XT151:YB153"/>
    <mergeCell ref="YH141:YI142"/>
    <mergeCell ref="YJ141:YJ142"/>
    <mergeCell ref="YC143:YJ143"/>
    <mergeCell ref="XP120:XQ120"/>
    <mergeCell ref="XP124:XQ124"/>
    <mergeCell ref="XP131:XQ131"/>
    <mergeCell ref="XP136:XQ136"/>
    <mergeCell ref="XP140:XQ140"/>
    <mergeCell ref="XP150:XQ150"/>
    <mergeCell ref="XP145:XQ145"/>
    <mergeCell ref="XR121:XS121"/>
    <mergeCell ref="XR116:XS116"/>
    <mergeCell ref="SG69:SJ69"/>
    <mergeCell ref="RY65:SB65"/>
    <mergeCell ref="SC65:SF65"/>
    <mergeCell ref="SG65:SJ65"/>
    <mergeCell ref="SK65:SN65"/>
    <mergeCell ref="SO65:SS65"/>
    <mergeCell ref="TF65:TH65"/>
    <mergeCell ref="TI65:TL65"/>
    <mergeCell ref="TM65:TP65"/>
    <mergeCell ref="TQ65:TT65"/>
    <mergeCell ref="MU53:MU54"/>
    <mergeCell ref="MC72:MH73"/>
    <mergeCell ref="MI73:MK73"/>
    <mergeCell ref="JJ86:JM86"/>
    <mergeCell ref="MA38:MA40"/>
    <mergeCell ref="MM38:MN38"/>
    <mergeCell ref="MQ38:MR38"/>
    <mergeCell ref="MT64:MU64"/>
    <mergeCell ref="MP53:MQ54"/>
    <mergeCell ref="MV85:NA85"/>
    <mergeCell ref="MA81:MB81"/>
    <mergeCell ref="MI72:MK72"/>
    <mergeCell ref="ML72:MN72"/>
    <mergeCell ref="NG40:NP41"/>
    <mergeCell ref="NQ40:NR41"/>
    <mergeCell ref="QC44:QF44"/>
    <mergeCell ref="QF41:QG42"/>
    <mergeCell ref="MW78:NA78"/>
    <mergeCell ref="OG106:OH106"/>
    <mergeCell ref="MR85:MU85"/>
    <mergeCell ref="MU98:MU99"/>
    <mergeCell ref="QA65:QB66"/>
    <mergeCell ref="PK44:PK46"/>
    <mergeCell ref="PW44:PX44"/>
    <mergeCell ref="PY44:PZ44"/>
    <mergeCell ref="QE41:QE42"/>
    <mergeCell ref="JJ106:JJ107"/>
    <mergeCell ref="QE61:QE62"/>
    <mergeCell ref="QG49:QR50"/>
    <mergeCell ref="MO62:MQ62"/>
    <mergeCell ref="MR62:MU62"/>
    <mergeCell ref="JI62:JJ63"/>
    <mergeCell ref="JJ47:JJ48"/>
    <mergeCell ref="ME43:MM44"/>
    <mergeCell ref="MA43:MB43"/>
    <mergeCell ref="MA44:MB44"/>
    <mergeCell ref="QA44:QB44"/>
    <mergeCell ref="JN57:JR57"/>
    <mergeCell ref="JN58:JR59"/>
    <mergeCell ref="MR58:MU58"/>
    <mergeCell ref="MQ64:MS64"/>
    <mergeCell ref="MN59:MO60"/>
    <mergeCell ref="MW65:MX66"/>
    <mergeCell ref="QG68:QM68"/>
    <mergeCell ref="QG69:QM71"/>
    <mergeCell ref="QB69:QB70"/>
    <mergeCell ref="QE57:QE58"/>
    <mergeCell ref="OE106:OF106"/>
    <mergeCell ref="QF57:QG58"/>
    <mergeCell ref="QF61:QH62"/>
    <mergeCell ref="AAD66:AAE66"/>
    <mergeCell ref="AAF66:AAG66"/>
    <mergeCell ref="AAD63:AAE63"/>
    <mergeCell ref="AAF63:AAG63"/>
    <mergeCell ref="AAD64:AAE64"/>
    <mergeCell ref="AAF64:AAG64"/>
    <mergeCell ref="TI62:TL62"/>
    <mergeCell ref="TM62:TP62"/>
    <mergeCell ref="TQ62:TT62"/>
    <mergeCell ref="TU62:TZ62"/>
    <mergeCell ref="UK62:UN62"/>
    <mergeCell ref="RS59:RX59"/>
    <mergeCell ref="RS60:RX60"/>
    <mergeCell ref="RS62:RX62"/>
    <mergeCell ref="RS54:RX54"/>
    <mergeCell ref="RS55:RX55"/>
    <mergeCell ref="RS56:RX56"/>
    <mergeCell ref="RJ51:RL51"/>
    <mergeCell ref="TI71:TL71"/>
    <mergeCell ref="UA72:UB72"/>
    <mergeCell ref="TM71:TP71"/>
    <mergeCell ref="TQ71:TT71"/>
    <mergeCell ref="TU71:TZ71"/>
    <mergeCell ref="SO69:SS69"/>
    <mergeCell ref="TF69:TH69"/>
    <mergeCell ref="TI69:TL69"/>
    <mergeCell ref="TM69:TP69"/>
    <mergeCell ref="TQ69:TT69"/>
    <mergeCell ref="TU69:TZ69"/>
    <mergeCell ref="UK69:UN69"/>
    <mergeCell ref="RJ70:RL70"/>
    <mergeCell ref="RJ71:RL71"/>
    <mergeCell ref="RJ72:RL72"/>
    <mergeCell ref="SK70:SN70"/>
    <mergeCell ref="SO70:SS70"/>
    <mergeCell ref="TF70:TH70"/>
    <mergeCell ref="TI70:TL70"/>
    <mergeCell ref="UK56:UN56"/>
    <mergeCell ref="TQ67:TT67"/>
    <mergeCell ref="SG63:SJ63"/>
    <mergeCell ref="SK63:SN63"/>
    <mergeCell ref="SO63:SS63"/>
    <mergeCell ref="TF63:TH63"/>
    <mergeCell ref="TI63:TL63"/>
    <mergeCell ref="TM63:TP63"/>
    <mergeCell ref="TQ63:TT63"/>
    <mergeCell ref="TU63:TZ63"/>
    <mergeCell ref="UK63:UN63"/>
    <mergeCell ref="RY64:SB64"/>
    <mergeCell ref="SC64:SF64"/>
    <mergeCell ref="SG64:SJ64"/>
    <mergeCell ref="SK64:SN64"/>
    <mergeCell ref="SO64:SS64"/>
    <mergeCell ref="UK68:UN68"/>
    <mergeCell ref="UA68:UB68"/>
    <mergeCell ref="TI68:TL68"/>
    <mergeCell ref="TM68:TP68"/>
    <mergeCell ref="TQ68:TT68"/>
    <mergeCell ref="TU68:TZ68"/>
    <mergeCell ref="RS68:RX68"/>
    <mergeCell ref="RS69:RX69"/>
    <mergeCell ref="RY62:SB62"/>
    <mergeCell ref="SC62:SF62"/>
    <mergeCell ref="SG62:SJ62"/>
    <mergeCell ref="AAU37:AAV37"/>
    <mergeCell ref="UA22:UB22"/>
    <mergeCell ref="ABN27:ABO27"/>
    <mergeCell ref="XP52:XQ52"/>
    <mergeCell ref="ABH117:ABI117"/>
    <mergeCell ref="ABJ117:ABK117"/>
    <mergeCell ref="ABM117:ABN117"/>
    <mergeCell ref="ABO117:ABP117"/>
    <mergeCell ref="ABH118:ABI118"/>
    <mergeCell ref="ABJ118:ABK118"/>
    <mergeCell ref="ABM118:ABN118"/>
    <mergeCell ref="ABO118:ABP118"/>
    <mergeCell ref="ABP66:ABQ66"/>
    <mergeCell ref="ABN67:ABO67"/>
    <mergeCell ref="ABP67:ABQ67"/>
    <mergeCell ref="ABN68:ABO68"/>
    <mergeCell ref="ABP68:ABQ68"/>
    <mergeCell ref="ABJ108:ABK108"/>
    <mergeCell ref="ABM108:ABN108"/>
    <mergeCell ref="ABO108:ABP108"/>
    <mergeCell ref="ABG63:ABH63"/>
    <mergeCell ref="ABI63:ABJ63"/>
    <mergeCell ref="ABK63:ABL63"/>
    <mergeCell ref="ABC86:ABD86"/>
    <mergeCell ref="ABE86:ABF86"/>
    <mergeCell ref="ABH101:ABI101"/>
    <mergeCell ref="ABJ101:ABK101"/>
    <mergeCell ref="ABM101:ABN101"/>
    <mergeCell ref="ABO101:ABP101"/>
    <mergeCell ref="ABH102:ABI102"/>
    <mergeCell ref="ABJ102:ABK102"/>
    <mergeCell ref="ABM102:ABN102"/>
    <mergeCell ref="ABO102:ABP102"/>
    <mergeCell ref="ABH103:ABI103"/>
    <mergeCell ref="ABJ103:ABK103"/>
    <mergeCell ref="ABM103:ABN103"/>
    <mergeCell ref="ABH111:ABI111"/>
    <mergeCell ref="ABJ111:ABK111"/>
    <mergeCell ref="ABM111:ABN111"/>
    <mergeCell ref="ABO111:ABP111"/>
    <mergeCell ref="ABP63:ABQ63"/>
    <mergeCell ref="ABN64:ABO64"/>
    <mergeCell ref="ABP64:ABQ64"/>
    <mergeCell ref="ABO73:ABP73"/>
    <mergeCell ref="ABH74:ABI74"/>
    <mergeCell ref="ABJ74:ABK74"/>
    <mergeCell ref="ABM74:ABN74"/>
    <mergeCell ref="ABJ116:ABK116"/>
    <mergeCell ref="ABM116:ABN116"/>
    <mergeCell ref="ABO116:ABP116"/>
    <mergeCell ref="AAR43:AAS43"/>
    <mergeCell ref="ABE96:ABF96"/>
    <mergeCell ref="UK61:UN61"/>
    <mergeCell ref="AAF30:AAG30"/>
    <mergeCell ref="AAD31:AAE31"/>
    <mergeCell ref="AAF31:AAG31"/>
    <mergeCell ref="AAD32:AAE32"/>
    <mergeCell ref="UA42:UB42"/>
    <mergeCell ref="UA43:UB43"/>
    <mergeCell ref="UA44:UB44"/>
    <mergeCell ref="UA45:UB45"/>
    <mergeCell ref="UA46:UB46"/>
    <mergeCell ref="UA47:UB47"/>
    <mergeCell ref="UA48:UB48"/>
    <mergeCell ref="ABT83:ABU83"/>
    <mergeCell ref="ABW83:ABX83"/>
    <mergeCell ref="ABR84:ABS84"/>
    <mergeCell ref="ABT84:ABU84"/>
    <mergeCell ref="ABW84:ABX84"/>
    <mergeCell ref="ABY84:ABZ84"/>
    <mergeCell ref="ABR85:ABS85"/>
    <mergeCell ref="ABT85:ABU85"/>
    <mergeCell ref="ABW85:ABX85"/>
    <mergeCell ref="ABY85:ABZ85"/>
    <mergeCell ref="ABH113:ABI113"/>
    <mergeCell ref="ABJ113:ABK113"/>
    <mergeCell ref="ABM113:ABN113"/>
    <mergeCell ref="ABO113:ABP113"/>
    <mergeCell ref="ABH114:ABI114"/>
    <mergeCell ref="ABJ114:ABK114"/>
    <mergeCell ref="ABM114:ABN114"/>
    <mergeCell ref="ABO114:ABP114"/>
    <mergeCell ref="ABH115:ABI115"/>
    <mergeCell ref="ABJ115:ABK115"/>
    <mergeCell ref="ABM115:ABN115"/>
    <mergeCell ref="ABO115:ABP115"/>
    <mergeCell ref="ABW97:ABX97"/>
    <mergeCell ref="ABY97:ABZ97"/>
    <mergeCell ref="ABR98:ABS98"/>
    <mergeCell ref="ABT98:ABU98"/>
    <mergeCell ref="ABW98:ABX98"/>
    <mergeCell ref="ABY98:ABZ98"/>
    <mergeCell ref="ABT87:ABU87"/>
    <mergeCell ref="ABW87:ABX87"/>
    <mergeCell ref="ABY87:ABZ87"/>
    <mergeCell ref="ABR88:ABS88"/>
    <mergeCell ref="ABT88:ABU88"/>
    <mergeCell ref="ABW88:ABX88"/>
    <mergeCell ref="ABY88:ABZ88"/>
    <mergeCell ref="ABR89:ABS89"/>
    <mergeCell ref="ABT89:ABU89"/>
    <mergeCell ref="ABW89:ABX89"/>
    <mergeCell ref="ABY89:ABZ89"/>
    <mergeCell ref="ABR90:ABS90"/>
    <mergeCell ref="ABT90:ABU90"/>
    <mergeCell ref="ABW90:ABX90"/>
    <mergeCell ref="ABY90:ABZ90"/>
    <mergeCell ref="ABR91:ABS91"/>
    <mergeCell ref="ABT91:ABU91"/>
    <mergeCell ref="ABW91:ABX91"/>
    <mergeCell ref="ABY91:ABZ91"/>
    <mergeCell ref="ABR92:ABS92"/>
    <mergeCell ref="ABT92:ABU92"/>
    <mergeCell ref="ABW92:ABX92"/>
    <mergeCell ref="ABT100:ABU100"/>
    <mergeCell ref="ABW100:ABX100"/>
    <mergeCell ref="ABY100:ABZ100"/>
    <mergeCell ref="ABR101:ABS101"/>
    <mergeCell ref="ABT101:ABU101"/>
    <mergeCell ref="ABW101:ABX101"/>
    <mergeCell ref="ABY101:ABZ101"/>
    <mergeCell ref="ABR102:ABS102"/>
    <mergeCell ref="ABT102:ABU102"/>
    <mergeCell ref="ABT103:ABU103"/>
    <mergeCell ref="ABW103:ABX103"/>
    <mergeCell ref="ABY103:ABZ103"/>
    <mergeCell ref="ABR104:ABS104"/>
    <mergeCell ref="ABT104:ABU104"/>
    <mergeCell ref="ABR73:ABS73"/>
    <mergeCell ref="ABT73:ABU73"/>
    <mergeCell ref="ABW73:ABX73"/>
    <mergeCell ref="ABY73:ABZ73"/>
    <mergeCell ref="ABR74:ABS74"/>
    <mergeCell ref="ABT74:ABU74"/>
    <mergeCell ref="ABW74:ABX74"/>
    <mergeCell ref="ABY74:ABZ74"/>
    <mergeCell ref="ABR75:ABS75"/>
    <mergeCell ref="ABT75:ABU75"/>
    <mergeCell ref="ABW75:ABX75"/>
    <mergeCell ref="ABY75:ABZ75"/>
    <mergeCell ref="ABR76:ABS76"/>
    <mergeCell ref="ABT76:ABU76"/>
    <mergeCell ref="ABW76:ABX76"/>
    <mergeCell ref="ABY76:ABZ76"/>
    <mergeCell ref="ABR77:ABS77"/>
    <mergeCell ref="ABT77:ABU77"/>
    <mergeCell ref="ABW77:ABX77"/>
    <mergeCell ref="ABY77:ABZ77"/>
    <mergeCell ref="ABR78:ABS78"/>
    <mergeCell ref="ABT78:ABU78"/>
    <mergeCell ref="ABW78:ABX78"/>
    <mergeCell ref="ABY78:ABZ78"/>
    <mergeCell ref="ABR79:ABS79"/>
    <mergeCell ref="ABT79:ABU79"/>
    <mergeCell ref="ABW79:ABX79"/>
    <mergeCell ref="ABY79:ABZ79"/>
    <mergeCell ref="ABR80:ABS80"/>
    <mergeCell ref="ABT80:ABU80"/>
    <mergeCell ref="ABW80:ABX80"/>
    <mergeCell ref="ABY80:ABZ80"/>
    <mergeCell ref="ABR81:ABS81"/>
    <mergeCell ref="ABT81:ABU81"/>
    <mergeCell ref="ABW81:ABX81"/>
    <mergeCell ref="ABY81:ABZ81"/>
    <mergeCell ref="ABR82:ABS82"/>
    <mergeCell ref="ABT82:ABU82"/>
    <mergeCell ref="ABW82:ABX82"/>
    <mergeCell ref="ABY82:ABZ82"/>
    <mergeCell ref="ABR83:ABS83"/>
    <mergeCell ref="ABY125:ABZ125"/>
    <mergeCell ref="ABR126:ABS126"/>
    <mergeCell ref="ABT126:ABU126"/>
    <mergeCell ref="ABW126:ABX126"/>
    <mergeCell ref="ABY126:ABZ126"/>
    <mergeCell ref="ABR127:ABS127"/>
    <mergeCell ref="ABT127:ABU127"/>
    <mergeCell ref="ABW127:ABX127"/>
    <mergeCell ref="ABY127:ABZ127"/>
    <mergeCell ref="ABR128:ABS128"/>
    <mergeCell ref="ABT128:ABU128"/>
    <mergeCell ref="ABW128:ABX128"/>
    <mergeCell ref="ABY128:ABZ128"/>
    <mergeCell ref="ABR129:ABS129"/>
    <mergeCell ref="ABT129:ABU129"/>
    <mergeCell ref="ABW129:ABX129"/>
    <mergeCell ref="ABY129:ABZ129"/>
    <mergeCell ref="ABT115:ABU115"/>
    <mergeCell ref="ABW115:ABX115"/>
    <mergeCell ref="ABY115:ABZ115"/>
    <mergeCell ref="ABW105:ABX105"/>
    <mergeCell ref="ABR105:ABS105"/>
    <mergeCell ref="ABT105:ABU105"/>
    <mergeCell ref="ABR116:ABS116"/>
    <mergeCell ref="ABT116:ABU116"/>
    <mergeCell ref="ABW116:ABX116"/>
    <mergeCell ref="ABY116:ABZ116"/>
    <mergeCell ref="ABR117:ABS117"/>
    <mergeCell ref="ABT117:ABU117"/>
    <mergeCell ref="ABW117:ABX117"/>
    <mergeCell ref="ABY117:ABZ117"/>
    <mergeCell ref="ABR118:ABS118"/>
    <mergeCell ref="ABT118:ABU118"/>
    <mergeCell ref="ABW118:ABX118"/>
    <mergeCell ref="ABY118:ABZ118"/>
    <mergeCell ref="ABR119:ABS119"/>
    <mergeCell ref="ABT119:ABU119"/>
    <mergeCell ref="ABW119:ABX119"/>
    <mergeCell ref="ABY119:ABZ119"/>
    <mergeCell ref="ABR120:ABS120"/>
    <mergeCell ref="ABT120:ABU120"/>
    <mergeCell ref="ABW120:ABX120"/>
    <mergeCell ref="ABY120:ABZ120"/>
    <mergeCell ref="ABR110:ABS110"/>
    <mergeCell ref="ABT110:ABU110"/>
    <mergeCell ref="ABW110:ABX110"/>
    <mergeCell ref="ABY110:ABZ110"/>
    <mergeCell ref="ABR111:ABS111"/>
    <mergeCell ref="ABT111:ABU111"/>
    <mergeCell ref="ABW111:ABX111"/>
    <mergeCell ref="ABY111:ABZ111"/>
    <mergeCell ref="ABR112:ABS112"/>
    <mergeCell ref="ABT112:ABU112"/>
    <mergeCell ref="ABW112:ABX112"/>
    <mergeCell ref="ABY112:ABZ112"/>
    <mergeCell ref="ABR113:ABS113"/>
    <mergeCell ref="ABT113:ABU113"/>
    <mergeCell ref="ABW113:ABX113"/>
    <mergeCell ref="ABY113:ABZ113"/>
    <mergeCell ref="AGA50:AGB50"/>
    <mergeCell ref="AGD50:AGE50"/>
    <mergeCell ref="AGF50:AGG50"/>
    <mergeCell ref="AEP53:AEQ53"/>
    <mergeCell ref="AEU53:AEV53"/>
    <mergeCell ref="AEW53:AEX53"/>
    <mergeCell ref="AEZ53:AFA53"/>
    <mergeCell ref="AFB53:AFC53"/>
    <mergeCell ref="AFE53:AFF53"/>
    <mergeCell ref="AFG53:AFH53"/>
    <mergeCell ref="AFJ53:AFK53"/>
    <mergeCell ref="AFL53:AFM53"/>
    <mergeCell ref="AFO53:AFP53"/>
    <mergeCell ref="AFQ53:AFR53"/>
    <mergeCell ref="AFT53:AFU53"/>
    <mergeCell ref="AFV53:AFW53"/>
    <mergeCell ref="AEP49:AEQ49"/>
    <mergeCell ref="AEU49:AEV49"/>
    <mergeCell ref="AEW49:AEX49"/>
    <mergeCell ref="AEZ49:AFA49"/>
    <mergeCell ref="AFB49:AFC49"/>
    <mergeCell ref="AFE49:AFF49"/>
    <mergeCell ref="AFG49:AFH49"/>
    <mergeCell ref="AFJ49:AFK49"/>
    <mergeCell ref="AFL49:AFM49"/>
    <mergeCell ref="AFO49:AFP49"/>
    <mergeCell ref="AFQ49:AFR49"/>
    <mergeCell ref="AFT49:AFU49"/>
    <mergeCell ref="AFV49:AFW49"/>
    <mergeCell ref="AFY49:AFZ49"/>
    <mergeCell ref="AGA49:AGB49"/>
    <mergeCell ref="AGD49:AGE49"/>
    <mergeCell ref="AGF49:AGG49"/>
    <mergeCell ref="AFY53:AFZ53"/>
    <mergeCell ref="AGA53:AGB53"/>
    <mergeCell ref="AGD53:AGE53"/>
    <mergeCell ref="ABY83:ABZ83"/>
    <mergeCell ref="AGF53:AGG53"/>
    <mergeCell ref="AGI44:AGJ44"/>
    <mergeCell ref="AGK44:AGL44"/>
    <mergeCell ref="AEP45:AEQ45"/>
    <mergeCell ref="AEU45:AEV45"/>
    <mergeCell ref="AEW45:AEX45"/>
    <mergeCell ref="AEZ45:AFA45"/>
    <mergeCell ref="AFB45:AFC45"/>
    <mergeCell ref="AFE45:AFF45"/>
    <mergeCell ref="AFG45:AFH45"/>
    <mergeCell ref="AFJ45:AFK45"/>
    <mergeCell ref="AFL45:AFM45"/>
    <mergeCell ref="AFO45:AFP45"/>
    <mergeCell ref="AFQ45:AFR45"/>
    <mergeCell ref="AFT45:AFU45"/>
    <mergeCell ref="AFV45:AFW45"/>
    <mergeCell ref="AFY45:AFZ45"/>
    <mergeCell ref="AGA45:AGB45"/>
    <mergeCell ref="AGD45:AGE45"/>
    <mergeCell ref="AGF45:AGG45"/>
    <mergeCell ref="AGI45:AGJ45"/>
    <mergeCell ref="AGK45:AGL45"/>
    <mergeCell ref="AEP46:AEQ46"/>
    <mergeCell ref="AEU46:AEV46"/>
    <mergeCell ref="AEW46:AEX46"/>
    <mergeCell ref="AEZ46:AFA46"/>
    <mergeCell ref="AFB46:AFC46"/>
    <mergeCell ref="AFE46:AFF46"/>
    <mergeCell ref="AFG46:AFH46"/>
    <mergeCell ref="AFJ46:AFK46"/>
    <mergeCell ref="AFL46:AFM46"/>
    <mergeCell ref="AFO46:AFP46"/>
    <mergeCell ref="AFQ46:AFR46"/>
    <mergeCell ref="AFT46:AFU46"/>
    <mergeCell ref="AFV46:AFW46"/>
    <mergeCell ref="AFY46:AFZ46"/>
    <mergeCell ref="AGA46:AGB46"/>
    <mergeCell ref="AGD46:AGE46"/>
    <mergeCell ref="AGF46:AGG46"/>
    <mergeCell ref="AGI46:AGJ46"/>
    <mergeCell ref="AGK46:AGL46"/>
    <mergeCell ref="AER44:AES44"/>
    <mergeCell ref="AER45:AES45"/>
    <mergeCell ref="AER46:AES46"/>
    <mergeCell ref="AEP44:AEQ44"/>
    <mergeCell ref="AEU44:AEV44"/>
    <mergeCell ref="AEW44:AEX44"/>
    <mergeCell ref="AEZ44:AFA44"/>
    <mergeCell ref="AFB44:AFC44"/>
    <mergeCell ref="AFE44:AFF44"/>
    <mergeCell ref="AFG44:AFH44"/>
    <mergeCell ref="AFJ44:AFK44"/>
    <mergeCell ref="AFL44:AFM44"/>
    <mergeCell ref="AFO44:AFP44"/>
    <mergeCell ref="AFQ44:AFR44"/>
    <mergeCell ref="AFT44:AFU44"/>
    <mergeCell ref="AFV44:AFW44"/>
    <mergeCell ref="AFY44:AFZ44"/>
    <mergeCell ref="AGA44:AGB44"/>
    <mergeCell ref="AGD44:AGE44"/>
    <mergeCell ref="AGF44:AGG44"/>
    <mergeCell ref="AGI47:AGJ47"/>
    <mergeCell ref="AGK47:AGL47"/>
    <mergeCell ref="AEP48:AEQ48"/>
    <mergeCell ref="AEU48:AEV48"/>
    <mergeCell ref="AEW48:AEX48"/>
    <mergeCell ref="AEZ48:AFA48"/>
    <mergeCell ref="AFB48:AFC48"/>
    <mergeCell ref="AFE48:AFF48"/>
    <mergeCell ref="AFG48:AFH48"/>
    <mergeCell ref="AFJ48:AFK48"/>
    <mergeCell ref="AFL48:AFM48"/>
    <mergeCell ref="AFO48:AFP48"/>
    <mergeCell ref="AFQ48:AFR48"/>
    <mergeCell ref="AFT48:AFU48"/>
    <mergeCell ref="AFV48:AFW48"/>
    <mergeCell ref="AFY48:AFZ48"/>
    <mergeCell ref="AGA48:AGB48"/>
    <mergeCell ref="AGD48:AGE48"/>
    <mergeCell ref="AGF48:AGG48"/>
    <mergeCell ref="AGI48:AGJ48"/>
    <mergeCell ref="AGK48:AGL48"/>
    <mergeCell ref="AEW47:AEX47"/>
    <mergeCell ref="AEZ47:AFA47"/>
    <mergeCell ref="AFB47:AFC47"/>
    <mergeCell ref="AFE47:AFF47"/>
    <mergeCell ref="AFG47:AFH47"/>
    <mergeCell ref="AFJ47:AFK47"/>
    <mergeCell ref="AFL47:AFM47"/>
    <mergeCell ref="AFO47:AFP47"/>
    <mergeCell ref="AFQ47:AFR47"/>
    <mergeCell ref="AFT47:AFU47"/>
    <mergeCell ref="AFV47:AFW47"/>
    <mergeCell ref="AFY47:AFZ47"/>
    <mergeCell ref="AGA47:AGB47"/>
    <mergeCell ref="AGD47:AGE47"/>
    <mergeCell ref="AGF47:AGG47"/>
    <mergeCell ref="AGI49:AGJ49"/>
    <mergeCell ref="AGK49:AGL49"/>
    <mergeCell ref="AER47:AES47"/>
    <mergeCell ref="AER48:AES48"/>
    <mergeCell ref="AER49:AES49"/>
    <mergeCell ref="AEP47:AEQ47"/>
    <mergeCell ref="AEU47:AEV47"/>
    <mergeCell ref="AGI50:AGJ50"/>
    <mergeCell ref="AGK50:AGL50"/>
    <mergeCell ref="AEP51:AEQ51"/>
    <mergeCell ref="AEU51:AEV51"/>
    <mergeCell ref="AEW51:AEX51"/>
    <mergeCell ref="AEZ51:AFA51"/>
    <mergeCell ref="AFB51:AFC51"/>
    <mergeCell ref="AFE51:AFF51"/>
    <mergeCell ref="AFG51:AFH51"/>
    <mergeCell ref="AFJ51:AFK51"/>
    <mergeCell ref="AFL51:AFM51"/>
    <mergeCell ref="AFO51:AFP51"/>
    <mergeCell ref="AFQ51:AFR51"/>
    <mergeCell ref="AFT51:AFU51"/>
    <mergeCell ref="AFV51:AFW51"/>
    <mergeCell ref="AFY51:AFZ51"/>
    <mergeCell ref="AGA51:AGB51"/>
    <mergeCell ref="AGD51:AGE51"/>
    <mergeCell ref="AGF51:AGG51"/>
    <mergeCell ref="AGI51:AGJ51"/>
    <mergeCell ref="AGK51:AGL51"/>
    <mergeCell ref="AEP52:AEQ52"/>
    <mergeCell ref="AEU52:AEV52"/>
    <mergeCell ref="AEW52:AEX52"/>
    <mergeCell ref="AEZ52:AFA52"/>
    <mergeCell ref="AFB52:AFC52"/>
    <mergeCell ref="AFE52:AFF52"/>
    <mergeCell ref="AFG52:AFH52"/>
    <mergeCell ref="AFJ52:AFK52"/>
    <mergeCell ref="AFL52:AFM52"/>
    <mergeCell ref="AFO52:AFP52"/>
    <mergeCell ref="AFQ52:AFR52"/>
    <mergeCell ref="AFT52:AFU52"/>
    <mergeCell ref="AFV52:AFW52"/>
    <mergeCell ref="AFY52:AFZ52"/>
    <mergeCell ref="AGA52:AGB52"/>
    <mergeCell ref="AGD52:AGE52"/>
    <mergeCell ref="AGF52:AGG52"/>
    <mergeCell ref="AGI52:AGJ52"/>
    <mergeCell ref="AGK52:AGL52"/>
    <mergeCell ref="AER50:AES50"/>
    <mergeCell ref="AER51:AES51"/>
    <mergeCell ref="AER52:AES52"/>
    <mergeCell ref="AEP50:AEQ50"/>
    <mergeCell ref="AEU50:AEV50"/>
    <mergeCell ref="AEW50:AEX50"/>
    <mergeCell ref="AEZ50:AFA50"/>
    <mergeCell ref="AFB50:AFC50"/>
    <mergeCell ref="AFE50:AFF50"/>
    <mergeCell ref="AFG50:AFH50"/>
    <mergeCell ref="AFJ50:AFK50"/>
    <mergeCell ref="AFL50:AFM50"/>
    <mergeCell ref="AFO50:AFP50"/>
    <mergeCell ref="AFQ50:AFR50"/>
    <mergeCell ref="AFT50:AFU50"/>
    <mergeCell ref="AFV50:AFW50"/>
    <mergeCell ref="AFY50:AFZ50"/>
    <mergeCell ref="AGI53:AGJ53"/>
    <mergeCell ref="AGK53:AGL53"/>
    <mergeCell ref="AEP54:AEQ54"/>
    <mergeCell ref="AEU54:AEV54"/>
    <mergeCell ref="AEW54:AEX54"/>
    <mergeCell ref="AEZ54:AFA54"/>
    <mergeCell ref="AFB54:AFC54"/>
    <mergeCell ref="AFE54:AFF54"/>
    <mergeCell ref="AFG54:AFH54"/>
    <mergeCell ref="AFJ54:AFK54"/>
    <mergeCell ref="AFL54:AFM54"/>
    <mergeCell ref="AFO54:AFP54"/>
    <mergeCell ref="AFQ54:AFR54"/>
    <mergeCell ref="AFT54:AFU54"/>
    <mergeCell ref="AFV54:AFW54"/>
    <mergeCell ref="AFY54:AFZ54"/>
    <mergeCell ref="AGA54:AGB54"/>
    <mergeCell ref="AGD54:AGE54"/>
    <mergeCell ref="AGF54:AGG54"/>
    <mergeCell ref="AGI54:AGJ54"/>
    <mergeCell ref="AGK54:AGL54"/>
    <mergeCell ref="AER53:AES53"/>
    <mergeCell ref="AER54:AES54"/>
    <mergeCell ref="AEP55:AEQ55"/>
    <mergeCell ref="AEU55:AEV55"/>
    <mergeCell ref="AEW55:AEX55"/>
    <mergeCell ref="AEZ55:AFA55"/>
    <mergeCell ref="AFB55:AFC55"/>
    <mergeCell ref="AFE55:AFF55"/>
    <mergeCell ref="AFG55:AFH55"/>
    <mergeCell ref="AFJ55:AFK55"/>
    <mergeCell ref="AFL55:AFM55"/>
    <mergeCell ref="AFO55:AFP55"/>
    <mergeCell ref="AFQ55:AFR55"/>
    <mergeCell ref="AFT55:AFU55"/>
    <mergeCell ref="AFV55:AFW55"/>
    <mergeCell ref="AFY55:AFZ55"/>
    <mergeCell ref="AGA55:AGB55"/>
    <mergeCell ref="AGD55:AGE55"/>
    <mergeCell ref="AGF55:AGG55"/>
    <mergeCell ref="AGI55:AGJ55"/>
    <mergeCell ref="AGK55:AGL55"/>
    <mergeCell ref="AEP56:AEQ56"/>
    <mergeCell ref="AEU56:AEV56"/>
    <mergeCell ref="AEW56:AEX56"/>
    <mergeCell ref="AEZ56:AFA56"/>
    <mergeCell ref="AFB56:AFC56"/>
    <mergeCell ref="AFE56:AFF56"/>
    <mergeCell ref="AFG56:AFH56"/>
    <mergeCell ref="AFJ56:AFK56"/>
    <mergeCell ref="AFL56:AFM56"/>
    <mergeCell ref="AFO56:AFP56"/>
    <mergeCell ref="AFQ56:AFR56"/>
    <mergeCell ref="AFT56:AFU56"/>
    <mergeCell ref="AFV56:AFW56"/>
    <mergeCell ref="AFY56:AFZ56"/>
    <mergeCell ref="AGA56:AGB56"/>
    <mergeCell ref="AGD56:AGE56"/>
    <mergeCell ref="AGF56:AGG56"/>
    <mergeCell ref="AGI56:AGJ56"/>
    <mergeCell ref="AGK56:AGL56"/>
    <mergeCell ref="AER55:AES55"/>
    <mergeCell ref="AER56:AES56"/>
    <mergeCell ref="AEP57:AEQ57"/>
    <mergeCell ref="AEU57:AEV57"/>
    <mergeCell ref="AEW57:AEX57"/>
    <mergeCell ref="AEZ57:AFA57"/>
    <mergeCell ref="AFB57:AFC57"/>
    <mergeCell ref="AFE57:AFF57"/>
    <mergeCell ref="AFG57:AFH57"/>
    <mergeCell ref="AFJ57:AFK57"/>
    <mergeCell ref="AFL57:AFM57"/>
    <mergeCell ref="AFO57:AFP57"/>
    <mergeCell ref="AFQ57:AFR57"/>
    <mergeCell ref="AFT57:AFU57"/>
    <mergeCell ref="AFV57:AFW57"/>
    <mergeCell ref="AFY57:AFZ57"/>
    <mergeCell ref="AGA57:AGB57"/>
    <mergeCell ref="AGD57:AGE57"/>
    <mergeCell ref="AGF57:AGG57"/>
    <mergeCell ref="AGI57:AGJ57"/>
    <mergeCell ref="AGK57:AGL57"/>
    <mergeCell ref="AEP58:AEQ58"/>
    <mergeCell ref="AEU58:AEV58"/>
    <mergeCell ref="AEW58:AEX58"/>
    <mergeCell ref="AEZ58:AFA58"/>
    <mergeCell ref="AFB58:AFC58"/>
    <mergeCell ref="AFE58:AFF58"/>
    <mergeCell ref="AFG58:AFH58"/>
    <mergeCell ref="AFJ58:AFK58"/>
    <mergeCell ref="AFL58:AFM58"/>
    <mergeCell ref="AFO58:AFP58"/>
    <mergeCell ref="AFQ58:AFR58"/>
    <mergeCell ref="AFT58:AFU58"/>
    <mergeCell ref="AFV58:AFW58"/>
    <mergeCell ref="AFY58:AFZ58"/>
    <mergeCell ref="AGA58:AGB58"/>
    <mergeCell ref="AGD58:AGE58"/>
    <mergeCell ref="AGF58:AGG58"/>
    <mergeCell ref="AGI58:AGJ58"/>
    <mergeCell ref="AGK58:AGL58"/>
    <mergeCell ref="AER57:AES57"/>
    <mergeCell ref="AER58:AES58"/>
    <mergeCell ref="AEP59:AEQ59"/>
    <mergeCell ref="AEU59:AEV59"/>
    <mergeCell ref="AEW59:AEX59"/>
    <mergeCell ref="AEZ59:AFA59"/>
    <mergeCell ref="AFB59:AFC59"/>
    <mergeCell ref="AFE59:AFF59"/>
    <mergeCell ref="AFG59:AFH59"/>
    <mergeCell ref="AFJ59:AFK59"/>
    <mergeCell ref="AFL59:AFM59"/>
    <mergeCell ref="AFO59:AFP59"/>
    <mergeCell ref="AFQ59:AFR59"/>
    <mergeCell ref="AFT59:AFU59"/>
    <mergeCell ref="AFV59:AFW59"/>
    <mergeCell ref="AFY59:AFZ59"/>
    <mergeCell ref="AGA59:AGB59"/>
    <mergeCell ref="AGD59:AGE59"/>
    <mergeCell ref="AGF59:AGG59"/>
    <mergeCell ref="AGI59:AGJ59"/>
    <mergeCell ref="AGK59:AGL59"/>
    <mergeCell ref="AEP60:AEQ60"/>
    <mergeCell ref="AEU60:AEV60"/>
    <mergeCell ref="AEW60:AEX60"/>
    <mergeCell ref="AEZ60:AFA60"/>
    <mergeCell ref="AFB60:AFC60"/>
    <mergeCell ref="AFE60:AFF60"/>
    <mergeCell ref="AFG60:AFH60"/>
    <mergeCell ref="AFJ60:AFK60"/>
    <mergeCell ref="AFL60:AFM60"/>
    <mergeCell ref="AFO60:AFP60"/>
    <mergeCell ref="AFQ60:AFR60"/>
    <mergeCell ref="AFT60:AFU60"/>
    <mergeCell ref="AFV60:AFW60"/>
    <mergeCell ref="AFY60:AFZ60"/>
    <mergeCell ref="AGA60:AGB60"/>
    <mergeCell ref="AGD60:AGE60"/>
    <mergeCell ref="AGF60:AGG60"/>
    <mergeCell ref="AGI60:AGJ60"/>
    <mergeCell ref="AGK60:AGL60"/>
    <mergeCell ref="AER59:AES59"/>
    <mergeCell ref="AER60:AES60"/>
    <mergeCell ref="AEP61:AEQ61"/>
    <mergeCell ref="AEU61:AEV61"/>
    <mergeCell ref="AEW61:AEX61"/>
    <mergeCell ref="AEZ61:AFA61"/>
    <mergeCell ref="AFB61:AFC61"/>
    <mergeCell ref="AFE61:AFF61"/>
    <mergeCell ref="AFG61:AFH61"/>
    <mergeCell ref="AFJ61:AFK61"/>
    <mergeCell ref="AFL61:AFM61"/>
    <mergeCell ref="AFO61:AFP61"/>
    <mergeCell ref="AFQ61:AFR61"/>
    <mergeCell ref="AFT61:AFU61"/>
    <mergeCell ref="AFV61:AFW61"/>
    <mergeCell ref="AFY61:AFZ61"/>
    <mergeCell ref="AGA61:AGB61"/>
    <mergeCell ref="AGD61:AGE61"/>
    <mergeCell ref="AGF61:AGG61"/>
    <mergeCell ref="AGI61:AGJ61"/>
    <mergeCell ref="AGK61:AGL61"/>
    <mergeCell ref="AEP62:AEQ62"/>
    <mergeCell ref="AEU62:AEV62"/>
    <mergeCell ref="AEW62:AEX62"/>
    <mergeCell ref="AEZ62:AFA62"/>
    <mergeCell ref="AFB62:AFC62"/>
    <mergeCell ref="AFE62:AFF62"/>
    <mergeCell ref="AFG62:AFH62"/>
    <mergeCell ref="AFJ62:AFK62"/>
    <mergeCell ref="AFL62:AFM62"/>
    <mergeCell ref="AFO62:AFP62"/>
    <mergeCell ref="AFQ62:AFR62"/>
    <mergeCell ref="AFT62:AFU62"/>
    <mergeCell ref="AFV62:AFW62"/>
    <mergeCell ref="AFY62:AFZ62"/>
    <mergeCell ref="AGA62:AGB62"/>
    <mergeCell ref="AGD62:AGE62"/>
    <mergeCell ref="AGF62:AGG62"/>
    <mergeCell ref="AGI62:AGJ62"/>
    <mergeCell ref="AGK62:AGL62"/>
    <mergeCell ref="AER61:AES61"/>
    <mergeCell ref="AER62:AES62"/>
    <mergeCell ref="AEP63:AEQ63"/>
    <mergeCell ref="AEU63:AEV63"/>
    <mergeCell ref="AEW63:AEX63"/>
    <mergeCell ref="AEZ63:AFA63"/>
    <mergeCell ref="AFB63:AFC63"/>
    <mergeCell ref="AFE63:AFF63"/>
    <mergeCell ref="AFG63:AFH63"/>
    <mergeCell ref="AFJ63:AFK63"/>
    <mergeCell ref="AFL63:AFM63"/>
    <mergeCell ref="AFO63:AFP63"/>
    <mergeCell ref="AFQ63:AFR63"/>
    <mergeCell ref="AFT63:AFU63"/>
    <mergeCell ref="AFV63:AFW63"/>
    <mergeCell ref="AFY63:AFZ63"/>
    <mergeCell ref="AGA63:AGB63"/>
    <mergeCell ref="AGD63:AGE63"/>
    <mergeCell ref="AGF63:AGG63"/>
    <mergeCell ref="AGI63:AGJ63"/>
    <mergeCell ref="AGK63:AGL63"/>
    <mergeCell ref="AEP64:AEQ64"/>
    <mergeCell ref="AEU64:AEV64"/>
    <mergeCell ref="AEW64:AEX64"/>
    <mergeCell ref="AEZ64:AFA64"/>
    <mergeCell ref="AFB64:AFC64"/>
    <mergeCell ref="AFE64:AFF64"/>
    <mergeCell ref="AFG64:AFH64"/>
    <mergeCell ref="AFJ64:AFK64"/>
    <mergeCell ref="AFL64:AFM64"/>
    <mergeCell ref="AFO64:AFP64"/>
    <mergeCell ref="AFQ64:AFR64"/>
    <mergeCell ref="AFT64:AFU64"/>
    <mergeCell ref="AFV64:AFW64"/>
    <mergeCell ref="AFY64:AFZ64"/>
    <mergeCell ref="AGA64:AGB64"/>
    <mergeCell ref="AGD64:AGE64"/>
    <mergeCell ref="AGF64:AGG64"/>
    <mergeCell ref="AGI64:AGJ64"/>
    <mergeCell ref="AGK64:AGL64"/>
    <mergeCell ref="AER63:AES63"/>
    <mergeCell ref="AER64:AES64"/>
    <mergeCell ref="AEP65:AEQ65"/>
    <mergeCell ref="AEU65:AEV65"/>
    <mergeCell ref="AEW65:AEX65"/>
    <mergeCell ref="AEZ65:AFA65"/>
    <mergeCell ref="AFB65:AFC65"/>
    <mergeCell ref="AFE65:AFF65"/>
    <mergeCell ref="AFG65:AFH65"/>
    <mergeCell ref="AFJ65:AFK65"/>
    <mergeCell ref="AFL65:AFM65"/>
    <mergeCell ref="AFO65:AFP65"/>
    <mergeCell ref="AFQ65:AFR65"/>
    <mergeCell ref="AFT65:AFU65"/>
    <mergeCell ref="AFV65:AFW65"/>
    <mergeCell ref="AFY65:AFZ65"/>
    <mergeCell ref="AGA65:AGB65"/>
    <mergeCell ref="AGD65:AGE65"/>
    <mergeCell ref="AGF65:AGG65"/>
    <mergeCell ref="AGI65:AGJ65"/>
    <mergeCell ref="AGK65:AGL65"/>
    <mergeCell ref="AEP66:AEQ66"/>
    <mergeCell ref="AEU66:AEV66"/>
    <mergeCell ref="AEW66:AEX66"/>
    <mergeCell ref="AEZ66:AFA66"/>
    <mergeCell ref="AFB66:AFC66"/>
    <mergeCell ref="AFE66:AFF66"/>
    <mergeCell ref="AFG66:AFH66"/>
    <mergeCell ref="AFJ66:AFK66"/>
    <mergeCell ref="AFL66:AFM66"/>
    <mergeCell ref="AFO66:AFP66"/>
    <mergeCell ref="AFQ66:AFR66"/>
    <mergeCell ref="AFT66:AFU66"/>
    <mergeCell ref="AFV66:AFW66"/>
    <mergeCell ref="AFY66:AFZ66"/>
    <mergeCell ref="AGA66:AGB66"/>
    <mergeCell ref="AGD66:AGE66"/>
    <mergeCell ref="AGF66:AGG66"/>
    <mergeCell ref="AGI66:AGJ66"/>
    <mergeCell ref="AGK66:AGL66"/>
    <mergeCell ref="AER65:AES65"/>
    <mergeCell ref="AER66:AES66"/>
    <mergeCell ref="AEP67:AEQ67"/>
    <mergeCell ref="AEU67:AEV67"/>
    <mergeCell ref="AEW67:AEX67"/>
    <mergeCell ref="AEZ67:AFA67"/>
    <mergeCell ref="AFB67:AFC67"/>
    <mergeCell ref="AFE67:AFF67"/>
    <mergeCell ref="AFG67:AFH67"/>
    <mergeCell ref="AFJ67:AFK67"/>
    <mergeCell ref="AFL67:AFM67"/>
    <mergeCell ref="AFO67:AFP67"/>
    <mergeCell ref="AFQ67:AFR67"/>
    <mergeCell ref="AFT67:AFU67"/>
    <mergeCell ref="AFV67:AFW67"/>
    <mergeCell ref="AFY67:AFZ67"/>
    <mergeCell ref="AGA67:AGB67"/>
    <mergeCell ref="AGD67:AGE67"/>
    <mergeCell ref="AGF67:AGG67"/>
    <mergeCell ref="AGI67:AGJ67"/>
    <mergeCell ref="AGK67:AGL67"/>
    <mergeCell ref="AEP68:AEQ68"/>
    <mergeCell ref="AEU68:AEV68"/>
    <mergeCell ref="AEW68:AEX68"/>
    <mergeCell ref="AEZ68:AFA68"/>
    <mergeCell ref="AFB68:AFC68"/>
    <mergeCell ref="AFE68:AFF68"/>
    <mergeCell ref="AFG68:AFH68"/>
    <mergeCell ref="AFJ68:AFK68"/>
    <mergeCell ref="AFL68:AFM68"/>
    <mergeCell ref="AFO68:AFP68"/>
    <mergeCell ref="AFQ68:AFR68"/>
    <mergeCell ref="AFT68:AFU68"/>
    <mergeCell ref="AFV68:AFW68"/>
    <mergeCell ref="AFY68:AFZ68"/>
    <mergeCell ref="AGA68:AGB68"/>
    <mergeCell ref="AGD68:AGE68"/>
    <mergeCell ref="AGF68:AGG68"/>
    <mergeCell ref="AGI68:AGJ68"/>
    <mergeCell ref="AGK68:AGL68"/>
    <mergeCell ref="AER67:AES67"/>
    <mergeCell ref="AER68:AES68"/>
    <mergeCell ref="AFT69:AFU69"/>
    <mergeCell ref="AFV69:AFW69"/>
    <mergeCell ref="AFY69:AFZ69"/>
    <mergeCell ref="AGA69:AGB69"/>
    <mergeCell ref="AGD69:AGE69"/>
    <mergeCell ref="AGF69:AGG69"/>
    <mergeCell ref="AGI69:AGJ69"/>
    <mergeCell ref="AGK69:AGL69"/>
    <mergeCell ref="AEP70:AEQ70"/>
    <mergeCell ref="AEU70:AEV70"/>
    <mergeCell ref="AEW70:AEX70"/>
    <mergeCell ref="AEZ70:AFA70"/>
    <mergeCell ref="AFB70:AFC70"/>
    <mergeCell ref="AFE70:AFF70"/>
    <mergeCell ref="AFG70:AFH70"/>
    <mergeCell ref="AFJ70:AFK70"/>
    <mergeCell ref="AFL70:AFM70"/>
    <mergeCell ref="AFO70:AFP70"/>
    <mergeCell ref="AFQ70:AFR70"/>
    <mergeCell ref="AFT70:AFU70"/>
    <mergeCell ref="AFV70:AFW70"/>
    <mergeCell ref="AFY70:AFZ70"/>
    <mergeCell ref="AGA70:AGB70"/>
    <mergeCell ref="AGD70:AGE70"/>
    <mergeCell ref="AGF70:AGG70"/>
    <mergeCell ref="AGI70:AGJ70"/>
    <mergeCell ref="AGK70:AGL70"/>
    <mergeCell ref="AEP71:AEQ71"/>
    <mergeCell ref="AEU71:AEV71"/>
    <mergeCell ref="AEW71:AEX71"/>
    <mergeCell ref="AEZ71:AFA71"/>
    <mergeCell ref="AFB71:AFC71"/>
    <mergeCell ref="AFE71:AFF71"/>
    <mergeCell ref="AFG71:AFH71"/>
    <mergeCell ref="AFJ71:AFK71"/>
    <mergeCell ref="AFL71:AFM71"/>
    <mergeCell ref="AFO71:AFP71"/>
    <mergeCell ref="AFQ71:AFR71"/>
    <mergeCell ref="AFT71:AFU71"/>
    <mergeCell ref="AFV71:AFW71"/>
    <mergeCell ref="AFY71:AFZ71"/>
    <mergeCell ref="AGA71:AGB71"/>
    <mergeCell ref="AGD71:AGE71"/>
    <mergeCell ref="AGF71:AGG71"/>
    <mergeCell ref="AGI71:AGJ71"/>
    <mergeCell ref="AGK71:AGL71"/>
    <mergeCell ref="AER70:AES70"/>
    <mergeCell ref="AER71:AES71"/>
    <mergeCell ref="AEP69:AEQ69"/>
    <mergeCell ref="AEU69:AEV69"/>
    <mergeCell ref="AEW69:AEX69"/>
    <mergeCell ref="AEZ69:AFA69"/>
    <mergeCell ref="AFB69:AFC69"/>
    <mergeCell ref="AFE69:AFF69"/>
    <mergeCell ref="AFG69:AFH69"/>
    <mergeCell ref="AFJ69:AFK69"/>
    <mergeCell ref="AFL69:AFM69"/>
    <mergeCell ref="AFO69:AFP69"/>
    <mergeCell ref="AFQ69:AFR69"/>
    <mergeCell ref="AER69:AES69"/>
    <mergeCell ref="AEZ72:AFA72"/>
    <mergeCell ref="AFB72:AFC72"/>
    <mergeCell ref="AFE72:AFF72"/>
    <mergeCell ref="AFG72:AFH72"/>
    <mergeCell ref="AFJ72:AFK72"/>
    <mergeCell ref="AFL72:AFM72"/>
    <mergeCell ref="AFO72:AFP72"/>
    <mergeCell ref="AFQ72:AFR72"/>
    <mergeCell ref="AFT72:AFU72"/>
    <mergeCell ref="AFV72:AFW72"/>
    <mergeCell ref="AFY72:AFZ72"/>
    <mergeCell ref="AGA72:AGB72"/>
    <mergeCell ref="AGD72:AGE72"/>
    <mergeCell ref="AGF72:AGG72"/>
    <mergeCell ref="AGI72:AGJ72"/>
    <mergeCell ref="AGK72:AGL72"/>
    <mergeCell ref="AEP73:AEQ73"/>
    <mergeCell ref="AEU73:AEV73"/>
    <mergeCell ref="AEW73:AEX73"/>
    <mergeCell ref="AEZ73:AFA73"/>
    <mergeCell ref="AFB73:AFC73"/>
    <mergeCell ref="AFE73:AFF73"/>
    <mergeCell ref="AFG73:AFH73"/>
    <mergeCell ref="AFJ73:AFK73"/>
    <mergeCell ref="AFL73:AFM73"/>
    <mergeCell ref="AFO73:AFP73"/>
    <mergeCell ref="AFQ73:AFR73"/>
    <mergeCell ref="AFT73:AFU73"/>
    <mergeCell ref="AFV73:AFW73"/>
    <mergeCell ref="AFY73:AFZ73"/>
    <mergeCell ref="AGA73:AGB73"/>
    <mergeCell ref="AGD73:AGE73"/>
    <mergeCell ref="AGF73:AGG73"/>
    <mergeCell ref="AGI73:AGJ73"/>
    <mergeCell ref="AGK73:AGL73"/>
    <mergeCell ref="AER72:AES72"/>
    <mergeCell ref="AEP72:AEQ72"/>
    <mergeCell ref="AEU72:AEV72"/>
    <mergeCell ref="AEW72:AEX72"/>
    <mergeCell ref="AEP74:AEQ74"/>
    <mergeCell ref="AEU74:AEV74"/>
    <mergeCell ref="AEW74:AEX74"/>
    <mergeCell ref="AEZ74:AFA74"/>
    <mergeCell ref="AFB74:AFC74"/>
    <mergeCell ref="AFE74:AFF74"/>
    <mergeCell ref="AFG74:AFH74"/>
    <mergeCell ref="AFJ74:AFK74"/>
    <mergeCell ref="AFL74:AFM74"/>
    <mergeCell ref="AFO74:AFP74"/>
    <mergeCell ref="AFQ74:AFR74"/>
    <mergeCell ref="AFT74:AFU74"/>
    <mergeCell ref="AFV74:AFW74"/>
    <mergeCell ref="AFY74:AFZ74"/>
    <mergeCell ref="AGA74:AGB74"/>
    <mergeCell ref="AGD74:AGE74"/>
    <mergeCell ref="AGF74:AGG74"/>
    <mergeCell ref="AGI74:AGJ74"/>
    <mergeCell ref="AGK74:AGL74"/>
    <mergeCell ref="AEP75:AEQ75"/>
    <mergeCell ref="AEU75:AEV75"/>
    <mergeCell ref="AEW75:AEX75"/>
    <mergeCell ref="AEZ75:AFA75"/>
    <mergeCell ref="AFB75:AFC75"/>
    <mergeCell ref="AFE75:AFF75"/>
    <mergeCell ref="AFG75:AFH75"/>
    <mergeCell ref="AFJ75:AFK75"/>
    <mergeCell ref="AFL75:AFM75"/>
    <mergeCell ref="AFO75:AFP75"/>
    <mergeCell ref="AFQ75:AFR75"/>
    <mergeCell ref="AFT75:AFU75"/>
    <mergeCell ref="AFV75:AFW75"/>
    <mergeCell ref="AFY75:AFZ75"/>
    <mergeCell ref="AGA75:AGB75"/>
    <mergeCell ref="AGD75:AGE75"/>
    <mergeCell ref="AGF75:AGG75"/>
    <mergeCell ref="AGI75:AGJ75"/>
    <mergeCell ref="AGK75:AGL75"/>
    <mergeCell ref="AER75:AES75"/>
    <mergeCell ref="AEP76:AEQ76"/>
    <mergeCell ref="AEU76:AEV76"/>
    <mergeCell ref="AEW76:AEX76"/>
    <mergeCell ref="AEZ76:AFA76"/>
    <mergeCell ref="AFB76:AFC76"/>
    <mergeCell ref="AFE76:AFF76"/>
    <mergeCell ref="AFG76:AFH76"/>
    <mergeCell ref="AFJ76:AFK76"/>
    <mergeCell ref="AFL76:AFM76"/>
    <mergeCell ref="AFO76:AFP76"/>
    <mergeCell ref="AFQ76:AFR76"/>
    <mergeCell ref="AFT76:AFU76"/>
    <mergeCell ref="AFV76:AFW76"/>
    <mergeCell ref="AFY76:AFZ76"/>
    <mergeCell ref="AGA76:AGB76"/>
    <mergeCell ref="AGD76:AGE76"/>
    <mergeCell ref="AGF76:AGG76"/>
    <mergeCell ref="AGI76:AGJ76"/>
    <mergeCell ref="AGK76:AGL76"/>
    <mergeCell ref="AEP77:AEQ77"/>
    <mergeCell ref="AEU77:AEV77"/>
    <mergeCell ref="AEW77:AEX77"/>
    <mergeCell ref="AEZ77:AFA77"/>
    <mergeCell ref="AFB77:AFC77"/>
    <mergeCell ref="AFE77:AFF77"/>
    <mergeCell ref="AFG77:AFH77"/>
    <mergeCell ref="AFJ77:AFK77"/>
    <mergeCell ref="AFL77:AFM77"/>
    <mergeCell ref="AFO77:AFP77"/>
    <mergeCell ref="AFQ77:AFR77"/>
    <mergeCell ref="AFT77:AFU77"/>
    <mergeCell ref="AFV77:AFW77"/>
    <mergeCell ref="AFY77:AFZ77"/>
    <mergeCell ref="AGA77:AGB77"/>
    <mergeCell ref="AGD77:AGE77"/>
    <mergeCell ref="AGF77:AGG77"/>
    <mergeCell ref="AGI77:AGJ77"/>
    <mergeCell ref="AGK77:AGL77"/>
    <mergeCell ref="AER76:AES76"/>
    <mergeCell ref="AER77:AES77"/>
    <mergeCell ref="AEP78:AEQ78"/>
    <mergeCell ref="AEU78:AEV78"/>
    <mergeCell ref="AEW78:AEX78"/>
    <mergeCell ref="AEZ78:AFA78"/>
    <mergeCell ref="AFB78:AFC78"/>
    <mergeCell ref="AFE78:AFF78"/>
    <mergeCell ref="AFG78:AFH78"/>
    <mergeCell ref="AFJ78:AFK78"/>
    <mergeCell ref="AFL78:AFM78"/>
    <mergeCell ref="AFO78:AFP78"/>
    <mergeCell ref="AFQ78:AFR78"/>
    <mergeCell ref="AFT78:AFU78"/>
    <mergeCell ref="AFV78:AFW78"/>
    <mergeCell ref="AFY78:AFZ78"/>
    <mergeCell ref="AGA78:AGB78"/>
    <mergeCell ref="AGD78:AGE78"/>
    <mergeCell ref="AGF78:AGG78"/>
    <mergeCell ref="AGI78:AGJ78"/>
    <mergeCell ref="AGK78:AGL78"/>
    <mergeCell ref="AEP79:AEQ79"/>
    <mergeCell ref="AEU79:AEV79"/>
    <mergeCell ref="AEW79:AEX79"/>
    <mergeCell ref="AEZ79:AFA79"/>
    <mergeCell ref="AFB79:AFC79"/>
    <mergeCell ref="AFE79:AFF79"/>
    <mergeCell ref="AFG79:AFH79"/>
    <mergeCell ref="AFJ79:AFK79"/>
    <mergeCell ref="AFL79:AFM79"/>
    <mergeCell ref="AFO79:AFP79"/>
    <mergeCell ref="AFQ79:AFR79"/>
    <mergeCell ref="AFT79:AFU79"/>
    <mergeCell ref="AFV79:AFW79"/>
    <mergeCell ref="AFY79:AFZ79"/>
    <mergeCell ref="AGA79:AGB79"/>
    <mergeCell ref="AGD79:AGE79"/>
    <mergeCell ref="AGF79:AGG79"/>
    <mergeCell ref="AGI79:AGJ79"/>
    <mergeCell ref="AGK79:AGL79"/>
    <mergeCell ref="AER78:AES78"/>
    <mergeCell ref="AER79:AES79"/>
    <mergeCell ref="AEP80:AEQ80"/>
    <mergeCell ref="AEU80:AEV80"/>
    <mergeCell ref="AEW80:AEX80"/>
    <mergeCell ref="AEZ80:AFA80"/>
    <mergeCell ref="AFB80:AFC80"/>
    <mergeCell ref="AFE80:AFF80"/>
    <mergeCell ref="AFG80:AFH80"/>
    <mergeCell ref="AFJ80:AFK80"/>
    <mergeCell ref="AFL80:AFM80"/>
    <mergeCell ref="AFO80:AFP80"/>
    <mergeCell ref="AFQ80:AFR80"/>
    <mergeCell ref="AFT80:AFU80"/>
    <mergeCell ref="AFV80:AFW80"/>
    <mergeCell ref="AFY80:AFZ80"/>
    <mergeCell ref="AGA80:AGB80"/>
    <mergeCell ref="AGD80:AGE80"/>
    <mergeCell ref="AGF80:AGG80"/>
    <mergeCell ref="AGI80:AGJ80"/>
    <mergeCell ref="AGK80:AGL80"/>
    <mergeCell ref="AEP81:AEQ81"/>
    <mergeCell ref="AEU81:AEV81"/>
    <mergeCell ref="AEW81:AEX81"/>
    <mergeCell ref="AEZ81:AFA81"/>
    <mergeCell ref="AFB81:AFC81"/>
    <mergeCell ref="AFE81:AFF81"/>
    <mergeCell ref="AFG81:AFH81"/>
    <mergeCell ref="AFJ81:AFK81"/>
    <mergeCell ref="AFL81:AFM81"/>
    <mergeCell ref="AFO81:AFP81"/>
    <mergeCell ref="AFQ81:AFR81"/>
    <mergeCell ref="AFT81:AFU81"/>
    <mergeCell ref="AFV81:AFW81"/>
    <mergeCell ref="AFY81:AFZ81"/>
    <mergeCell ref="AGA81:AGB81"/>
    <mergeCell ref="AGD81:AGE81"/>
    <mergeCell ref="AGF81:AGG81"/>
    <mergeCell ref="AGI81:AGJ81"/>
    <mergeCell ref="AGK81:AGL81"/>
    <mergeCell ref="AER80:AES80"/>
    <mergeCell ref="AER81:AES81"/>
    <mergeCell ref="AEP82:AEQ82"/>
    <mergeCell ref="AEU82:AEV82"/>
    <mergeCell ref="AEW82:AEX82"/>
    <mergeCell ref="AEZ82:AFA82"/>
    <mergeCell ref="AFB82:AFC82"/>
    <mergeCell ref="AFE82:AFF82"/>
    <mergeCell ref="AFG82:AFH82"/>
    <mergeCell ref="AFJ82:AFK82"/>
    <mergeCell ref="AFL82:AFM82"/>
    <mergeCell ref="AFO82:AFP82"/>
    <mergeCell ref="AFQ82:AFR82"/>
    <mergeCell ref="AFT82:AFU82"/>
    <mergeCell ref="AFV82:AFW82"/>
    <mergeCell ref="AFY82:AFZ82"/>
    <mergeCell ref="AGA82:AGB82"/>
    <mergeCell ref="AGD82:AGE82"/>
    <mergeCell ref="AGF82:AGG82"/>
    <mergeCell ref="AGI82:AGJ82"/>
    <mergeCell ref="AGK82:AGL82"/>
    <mergeCell ref="AEP83:AEQ83"/>
    <mergeCell ref="AEU83:AEV83"/>
    <mergeCell ref="AEW83:AEX83"/>
    <mergeCell ref="AEZ83:AFA83"/>
    <mergeCell ref="AFB83:AFC83"/>
    <mergeCell ref="AFE83:AFF83"/>
    <mergeCell ref="AFG83:AFH83"/>
    <mergeCell ref="AFJ83:AFK83"/>
    <mergeCell ref="AFL83:AFM83"/>
    <mergeCell ref="AFO83:AFP83"/>
    <mergeCell ref="AFQ83:AFR83"/>
    <mergeCell ref="AFT83:AFU83"/>
    <mergeCell ref="AFV83:AFW83"/>
    <mergeCell ref="AFY83:AFZ83"/>
    <mergeCell ref="AGA83:AGB83"/>
    <mergeCell ref="AGD83:AGE83"/>
    <mergeCell ref="AGF83:AGG83"/>
    <mergeCell ref="AGI83:AGJ83"/>
    <mergeCell ref="AGK83:AGL83"/>
    <mergeCell ref="AER82:AES82"/>
    <mergeCell ref="AER83:AES83"/>
    <mergeCell ref="AEP84:AEQ84"/>
    <mergeCell ref="AEU84:AEV84"/>
    <mergeCell ref="AEW84:AEX84"/>
    <mergeCell ref="AEZ84:AFA84"/>
    <mergeCell ref="AFB84:AFC84"/>
    <mergeCell ref="AFE84:AFF84"/>
    <mergeCell ref="AFG84:AFH84"/>
    <mergeCell ref="AFJ84:AFK84"/>
    <mergeCell ref="AFL84:AFM84"/>
    <mergeCell ref="AFO84:AFP84"/>
    <mergeCell ref="AFQ84:AFR84"/>
    <mergeCell ref="AFT84:AFU84"/>
    <mergeCell ref="AFV84:AFW84"/>
    <mergeCell ref="AFY84:AFZ84"/>
    <mergeCell ref="AGA84:AGB84"/>
    <mergeCell ref="AGD84:AGE84"/>
    <mergeCell ref="AGF84:AGG84"/>
    <mergeCell ref="AGI84:AGJ84"/>
    <mergeCell ref="AGK84:AGL84"/>
    <mergeCell ref="AEP85:AEQ85"/>
    <mergeCell ref="AEU85:AEV85"/>
    <mergeCell ref="AEW85:AEX85"/>
    <mergeCell ref="AEZ85:AFA85"/>
    <mergeCell ref="AFB85:AFC85"/>
    <mergeCell ref="AFE85:AFF85"/>
    <mergeCell ref="AFG85:AFH85"/>
    <mergeCell ref="AFJ85:AFK85"/>
    <mergeCell ref="AFL85:AFM85"/>
    <mergeCell ref="AFO85:AFP85"/>
    <mergeCell ref="AFQ85:AFR85"/>
    <mergeCell ref="AFT85:AFU85"/>
    <mergeCell ref="AFV85:AFW85"/>
    <mergeCell ref="AFY85:AFZ85"/>
    <mergeCell ref="AGA85:AGB85"/>
    <mergeCell ref="AGD85:AGE85"/>
    <mergeCell ref="AGF85:AGG85"/>
    <mergeCell ref="AGI85:AGJ85"/>
    <mergeCell ref="AGK85:AGL85"/>
    <mergeCell ref="AER84:AES84"/>
    <mergeCell ref="AER85:AES85"/>
    <mergeCell ref="AEP86:AEQ86"/>
    <mergeCell ref="AEU86:AEV86"/>
    <mergeCell ref="AEW86:AEX86"/>
    <mergeCell ref="AEZ86:AFA86"/>
    <mergeCell ref="AFB86:AFC86"/>
    <mergeCell ref="AFE86:AFF86"/>
    <mergeCell ref="AFG86:AFH86"/>
    <mergeCell ref="AFJ86:AFK86"/>
    <mergeCell ref="AFL86:AFM86"/>
    <mergeCell ref="AFO86:AFP86"/>
    <mergeCell ref="AFQ86:AFR86"/>
    <mergeCell ref="AFT86:AFU86"/>
    <mergeCell ref="AFV86:AFW86"/>
    <mergeCell ref="AFY86:AFZ86"/>
    <mergeCell ref="AGA86:AGB86"/>
    <mergeCell ref="AGD86:AGE86"/>
    <mergeCell ref="AGF86:AGG86"/>
    <mergeCell ref="AGI86:AGJ86"/>
    <mergeCell ref="AGK86:AGL86"/>
    <mergeCell ref="AEP87:AEQ87"/>
    <mergeCell ref="AEU87:AEV87"/>
    <mergeCell ref="AEW87:AEX87"/>
    <mergeCell ref="AEZ87:AFA87"/>
    <mergeCell ref="AFB87:AFC87"/>
    <mergeCell ref="AFE87:AFF87"/>
    <mergeCell ref="AFG87:AFH87"/>
    <mergeCell ref="AFJ87:AFK87"/>
    <mergeCell ref="AFL87:AFM87"/>
    <mergeCell ref="AFO87:AFP87"/>
    <mergeCell ref="AFQ87:AFR87"/>
    <mergeCell ref="AFT87:AFU87"/>
    <mergeCell ref="AFV87:AFW87"/>
    <mergeCell ref="AFY87:AFZ87"/>
    <mergeCell ref="AGA87:AGB87"/>
    <mergeCell ref="AGD87:AGE87"/>
    <mergeCell ref="AGF87:AGG87"/>
    <mergeCell ref="AGI87:AGJ87"/>
    <mergeCell ref="AGK87:AGL87"/>
    <mergeCell ref="AER86:AES86"/>
    <mergeCell ref="AER87:AES87"/>
    <mergeCell ref="AEP88:AEQ88"/>
    <mergeCell ref="AEU88:AEV88"/>
    <mergeCell ref="AEW88:AEX88"/>
    <mergeCell ref="AEZ88:AFA88"/>
    <mergeCell ref="AFB88:AFC88"/>
    <mergeCell ref="AFE88:AFF88"/>
    <mergeCell ref="AFG88:AFH88"/>
    <mergeCell ref="AFJ88:AFK88"/>
    <mergeCell ref="AFL88:AFM88"/>
    <mergeCell ref="AFO88:AFP88"/>
    <mergeCell ref="AFQ88:AFR88"/>
    <mergeCell ref="AFT88:AFU88"/>
    <mergeCell ref="AFV88:AFW88"/>
    <mergeCell ref="AFY88:AFZ88"/>
    <mergeCell ref="AGA88:AGB88"/>
    <mergeCell ref="AGD88:AGE88"/>
    <mergeCell ref="AGF88:AGG88"/>
    <mergeCell ref="AGI88:AGJ88"/>
    <mergeCell ref="AGK88:AGL88"/>
    <mergeCell ref="AEP89:AEQ89"/>
    <mergeCell ref="AEU89:AEV89"/>
    <mergeCell ref="AEW89:AEX89"/>
    <mergeCell ref="AEZ89:AFA89"/>
    <mergeCell ref="AFB89:AFC89"/>
    <mergeCell ref="AFE89:AFF89"/>
    <mergeCell ref="AFG89:AFH89"/>
    <mergeCell ref="AFJ89:AFK89"/>
    <mergeCell ref="AFL89:AFM89"/>
    <mergeCell ref="AFO89:AFP89"/>
    <mergeCell ref="AFQ89:AFR89"/>
    <mergeCell ref="AFT89:AFU89"/>
    <mergeCell ref="AFV89:AFW89"/>
    <mergeCell ref="AFY89:AFZ89"/>
    <mergeCell ref="AGA89:AGB89"/>
    <mergeCell ref="AGD89:AGE89"/>
    <mergeCell ref="AGF89:AGG89"/>
    <mergeCell ref="AGI89:AGJ89"/>
    <mergeCell ref="AGK89:AGL89"/>
    <mergeCell ref="AER88:AES88"/>
    <mergeCell ref="AER89:AES89"/>
    <mergeCell ref="AEP90:AEQ90"/>
    <mergeCell ref="AEU90:AEV90"/>
    <mergeCell ref="AEW90:AEX90"/>
    <mergeCell ref="AEZ90:AFA90"/>
    <mergeCell ref="AFB90:AFC90"/>
    <mergeCell ref="AFE90:AFF90"/>
    <mergeCell ref="AFG90:AFH90"/>
    <mergeCell ref="AFJ90:AFK90"/>
    <mergeCell ref="AFL90:AFM90"/>
    <mergeCell ref="AFO90:AFP90"/>
    <mergeCell ref="AFQ90:AFR90"/>
    <mergeCell ref="AFT90:AFU90"/>
    <mergeCell ref="AFV90:AFW90"/>
    <mergeCell ref="AFY90:AFZ90"/>
    <mergeCell ref="AGA90:AGB90"/>
    <mergeCell ref="AGD90:AGE90"/>
    <mergeCell ref="AGF90:AGG90"/>
    <mergeCell ref="AGI90:AGJ90"/>
    <mergeCell ref="AGK90:AGL90"/>
    <mergeCell ref="AEP91:AEQ91"/>
    <mergeCell ref="AEU91:AEV91"/>
    <mergeCell ref="AEW91:AEX91"/>
    <mergeCell ref="AEZ91:AFA91"/>
    <mergeCell ref="AFB91:AFC91"/>
    <mergeCell ref="AFE91:AFF91"/>
    <mergeCell ref="AFG91:AFH91"/>
    <mergeCell ref="AFJ91:AFK91"/>
    <mergeCell ref="AFL91:AFM91"/>
    <mergeCell ref="AFO91:AFP91"/>
    <mergeCell ref="AFQ91:AFR91"/>
    <mergeCell ref="AFT91:AFU91"/>
    <mergeCell ref="AFV91:AFW91"/>
    <mergeCell ref="AFY91:AFZ91"/>
    <mergeCell ref="AGA91:AGB91"/>
    <mergeCell ref="AGD91:AGE91"/>
    <mergeCell ref="AGF91:AGG91"/>
    <mergeCell ref="AGI91:AGJ91"/>
    <mergeCell ref="AGK91:AGL91"/>
    <mergeCell ref="AER90:AES90"/>
    <mergeCell ref="AER91:AES91"/>
    <mergeCell ref="AEP92:AEQ92"/>
    <mergeCell ref="AEU92:AEV92"/>
    <mergeCell ref="AEW92:AEX92"/>
    <mergeCell ref="AEZ92:AFA92"/>
    <mergeCell ref="AFB92:AFC92"/>
    <mergeCell ref="AFE92:AFF92"/>
    <mergeCell ref="AFG92:AFH92"/>
    <mergeCell ref="AFJ92:AFK92"/>
    <mergeCell ref="AFL92:AFM92"/>
    <mergeCell ref="AFO92:AFP92"/>
    <mergeCell ref="AFQ92:AFR92"/>
    <mergeCell ref="AFT92:AFU92"/>
    <mergeCell ref="AFV92:AFW92"/>
    <mergeCell ref="AFY92:AFZ92"/>
    <mergeCell ref="AGA92:AGB92"/>
    <mergeCell ref="AGD92:AGE92"/>
    <mergeCell ref="AGF92:AGG92"/>
    <mergeCell ref="AGI92:AGJ92"/>
    <mergeCell ref="AGK92:AGL92"/>
    <mergeCell ref="AEP93:AEQ93"/>
    <mergeCell ref="AEU93:AEV93"/>
    <mergeCell ref="AEW93:AEX93"/>
    <mergeCell ref="AEZ93:AFA93"/>
    <mergeCell ref="AFB93:AFC93"/>
    <mergeCell ref="AFE93:AFF93"/>
    <mergeCell ref="AFG93:AFH93"/>
    <mergeCell ref="AFJ93:AFK93"/>
    <mergeCell ref="AFL93:AFM93"/>
    <mergeCell ref="AFO93:AFP93"/>
    <mergeCell ref="AFQ93:AFR93"/>
    <mergeCell ref="AFT93:AFU93"/>
    <mergeCell ref="AFV93:AFW93"/>
    <mergeCell ref="AFY93:AFZ93"/>
    <mergeCell ref="AGA93:AGB93"/>
    <mergeCell ref="AGD93:AGE93"/>
    <mergeCell ref="AGF93:AGG93"/>
    <mergeCell ref="AGI93:AGJ93"/>
    <mergeCell ref="AGK93:AGL93"/>
    <mergeCell ref="AER92:AES92"/>
    <mergeCell ref="AER93:AES93"/>
    <mergeCell ref="AEP94:AEQ94"/>
    <mergeCell ref="AEU94:AEV94"/>
    <mergeCell ref="AEW94:AEX94"/>
    <mergeCell ref="AEZ94:AFA94"/>
    <mergeCell ref="AFB94:AFC94"/>
    <mergeCell ref="AFE94:AFF94"/>
    <mergeCell ref="AFG94:AFH94"/>
    <mergeCell ref="AFJ94:AFK94"/>
    <mergeCell ref="AFL94:AFM94"/>
    <mergeCell ref="AFO94:AFP94"/>
    <mergeCell ref="AFQ94:AFR94"/>
    <mergeCell ref="AFT94:AFU94"/>
    <mergeCell ref="AFV94:AFW94"/>
    <mergeCell ref="AFY94:AFZ94"/>
    <mergeCell ref="AGA94:AGB94"/>
    <mergeCell ref="AGD94:AGE94"/>
    <mergeCell ref="AGF94:AGG94"/>
    <mergeCell ref="AGI94:AGJ94"/>
    <mergeCell ref="AGK94:AGL94"/>
    <mergeCell ref="AEP95:AEQ95"/>
    <mergeCell ref="AEU95:AEV95"/>
    <mergeCell ref="AEW95:AEX95"/>
    <mergeCell ref="AEZ95:AFA95"/>
    <mergeCell ref="AFB95:AFC95"/>
    <mergeCell ref="AFE95:AFF95"/>
    <mergeCell ref="AFG95:AFH95"/>
    <mergeCell ref="AFJ95:AFK95"/>
    <mergeCell ref="AFL95:AFM95"/>
    <mergeCell ref="AFO95:AFP95"/>
    <mergeCell ref="AFQ95:AFR95"/>
    <mergeCell ref="AFT95:AFU95"/>
    <mergeCell ref="AFV95:AFW95"/>
    <mergeCell ref="AFY95:AFZ95"/>
    <mergeCell ref="AGA95:AGB95"/>
    <mergeCell ref="AGD95:AGE95"/>
    <mergeCell ref="AGF95:AGG95"/>
    <mergeCell ref="AGI95:AGJ95"/>
    <mergeCell ref="AGK95:AGL95"/>
    <mergeCell ref="AER94:AES94"/>
    <mergeCell ref="AER95:AES95"/>
    <mergeCell ref="AGF99:AGG99"/>
    <mergeCell ref="AGI99:AGJ99"/>
    <mergeCell ref="AGK99:AGL99"/>
    <mergeCell ref="AER98:AES98"/>
    <mergeCell ref="AER99:AES99"/>
    <mergeCell ref="AEP96:AEQ96"/>
    <mergeCell ref="AEU96:AEV96"/>
    <mergeCell ref="AEW96:AEX96"/>
    <mergeCell ref="AEZ96:AFA96"/>
    <mergeCell ref="AFB96:AFC96"/>
    <mergeCell ref="AFE96:AFF96"/>
    <mergeCell ref="AFG96:AFH96"/>
    <mergeCell ref="AFJ96:AFK96"/>
    <mergeCell ref="AFL96:AFM96"/>
    <mergeCell ref="AFO96:AFP96"/>
    <mergeCell ref="AFQ96:AFR96"/>
    <mergeCell ref="AFT96:AFU96"/>
    <mergeCell ref="AFV96:AFW96"/>
    <mergeCell ref="AFY96:AFZ96"/>
    <mergeCell ref="AGA96:AGB96"/>
    <mergeCell ref="AGD96:AGE96"/>
    <mergeCell ref="AGF96:AGG96"/>
    <mergeCell ref="AGI96:AGJ96"/>
    <mergeCell ref="AGK96:AGL96"/>
    <mergeCell ref="AEP97:AEQ97"/>
    <mergeCell ref="AEU97:AEV97"/>
    <mergeCell ref="AEW97:AEX97"/>
    <mergeCell ref="AEZ97:AFA97"/>
    <mergeCell ref="AFB97:AFC97"/>
    <mergeCell ref="AFE97:AFF97"/>
    <mergeCell ref="AFG97:AFH97"/>
    <mergeCell ref="AFJ97:AFK97"/>
    <mergeCell ref="AFL97:AFM97"/>
    <mergeCell ref="AFO97:AFP97"/>
    <mergeCell ref="AFQ97:AFR97"/>
    <mergeCell ref="AFT97:AFU97"/>
    <mergeCell ref="AFV97:AFW97"/>
    <mergeCell ref="AFY97:AFZ97"/>
    <mergeCell ref="AGA97:AGB97"/>
    <mergeCell ref="AGD97:AGE97"/>
    <mergeCell ref="AGF97:AGG97"/>
    <mergeCell ref="AGI97:AGJ97"/>
    <mergeCell ref="AGK97:AGL97"/>
    <mergeCell ref="AER96:AES96"/>
    <mergeCell ref="AER97:AES97"/>
    <mergeCell ref="AFT100:AFU100"/>
    <mergeCell ref="AFV100:AFW100"/>
    <mergeCell ref="AFY100:AFZ100"/>
    <mergeCell ref="AGA100:AGB100"/>
    <mergeCell ref="AGD100:AGE100"/>
    <mergeCell ref="AGF100:AGG100"/>
    <mergeCell ref="AGI100:AGJ100"/>
    <mergeCell ref="AGK100:AGL100"/>
    <mergeCell ref="AEP101:AEQ101"/>
    <mergeCell ref="AEU101:AEV101"/>
    <mergeCell ref="AEW101:AEX101"/>
    <mergeCell ref="AEZ101:AFA101"/>
    <mergeCell ref="AFB101:AFC101"/>
    <mergeCell ref="AFE101:AFF101"/>
    <mergeCell ref="AFG101:AFH101"/>
    <mergeCell ref="AFJ101:AFK101"/>
    <mergeCell ref="AFL101:AFM101"/>
    <mergeCell ref="AFO101:AFP101"/>
    <mergeCell ref="AFQ101:AFR101"/>
    <mergeCell ref="AFT101:AFU101"/>
    <mergeCell ref="AFV101:AFW101"/>
    <mergeCell ref="AFY101:AFZ101"/>
    <mergeCell ref="AGA101:AGB101"/>
    <mergeCell ref="AGD101:AGE101"/>
    <mergeCell ref="AGF101:AGG101"/>
    <mergeCell ref="AGI101:AGJ101"/>
    <mergeCell ref="AGK101:AGL101"/>
    <mergeCell ref="AER100:AES100"/>
    <mergeCell ref="AER101:AES101"/>
    <mergeCell ref="AEP98:AEQ98"/>
    <mergeCell ref="AEU98:AEV98"/>
    <mergeCell ref="AEW98:AEX98"/>
    <mergeCell ref="AEZ98:AFA98"/>
    <mergeCell ref="AFB98:AFC98"/>
    <mergeCell ref="AFE98:AFF98"/>
    <mergeCell ref="AFG98:AFH98"/>
    <mergeCell ref="AFJ98:AFK98"/>
    <mergeCell ref="AFL98:AFM98"/>
    <mergeCell ref="AFO98:AFP98"/>
    <mergeCell ref="AFQ98:AFR98"/>
    <mergeCell ref="AFT98:AFU98"/>
    <mergeCell ref="AFV98:AFW98"/>
    <mergeCell ref="AFY98:AFZ98"/>
    <mergeCell ref="AGA98:AGB98"/>
    <mergeCell ref="AGD98:AGE98"/>
    <mergeCell ref="AGF98:AGG98"/>
    <mergeCell ref="AGI98:AGJ98"/>
    <mergeCell ref="AGK98:AGL98"/>
    <mergeCell ref="AEP99:AEQ99"/>
    <mergeCell ref="AEU99:AEV99"/>
    <mergeCell ref="AEW99:AEX99"/>
    <mergeCell ref="AEZ99:AFA99"/>
    <mergeCell ref="AFB99:AFC99"/>
    <mergeCell ref="AFE99:AFF99"/>
    <mergeCell ref="AFG99:AFH99"/>
    <mergeCell ref="AFJ99:AFK99"/>
    <mergeCell ref="AFL99:AFM99"/>
    <mergeCell ref="AFO99:AFP99"/>
    <mergeCell ref="AFQ99:AFR99"/>
    <mergeCell ref="AFT99:AFU99"/>
    <mergeCell ref="AFV99:AFW99"/>
    <mergeCell ref="AFY99:AFZ99"/>
    <mergeCell ref="AGA99:AGB99"/>
    <mergeCell ref="AGD99:AGE99"/>
    <mergeCell ref="AEP102:AEQ102"/>
    <mergeCell ref="AEU102:AEV102"/>
    <mergeCell ref="AEW102:AEX102"/>
    <mergeCell ref="AEZ102:AFA102"/>
    <mergeCell ref="AFB102:AFC102"/>
    <mergeCell ref="AFE102:AFF102"/>
    <mergeCell ref="AFG102:AFH102"/>
    <mergeCell ref="AFJ102:AFK102"/>
    <mergeCell ref="AFL102:AFM102"/>
    <mergeCell ref="AFO102:AFP102"/>
    <mergeCell ref="AFQ102:AFR102"/>
    <mergeCell ref="AFT102:AFU102"/>
    <mergeCell ref="AFV102:AFW102"/>
    <mergeCell ref="AFY102:AFZ102"/>
    <mergeCell ref="AGA102:AGB102"/>
    <mergeCell ref="AGD102:AGE102"/>
    <mergeCell ref="AGF102:AGG102"/>
    <mergeCell ref="AGI102:AGJ102"/>
    <mergeCell ref="AGK102:AGL102"/>
    <mergeCell ref="AEP103:AEQ103"/>
    <mergeCell ref="AEU103:AEV103"/>
    <mergeCell ref="AEW103:AEX103"/>
    <mergeCell ref="AEZ103:AFA103"/>
    <mergeCell ref="AFB103:AFC103"/>
    <mergeCell ref="AFE103:AFF103"/>
    <mergeCell ref="AFG103:AFH103"/>
    <mergeCell ref="AFJ103:AFK103"/>
    <mergeCell ref="AFL103:AFM103"/>
    <mergeCell ref="AFO103:AFP103"/>
    <mergeCell ref="AFQ103:AFR103"/>
    <mergeCell ref="AFT103:AFU103"/>
    <mergeCell ref="AFV103:AFW103"/>
    <mergeCell ref="AFY103:AFZ103"/>
    <mergeCell ref="AGA103:AGB103"/>
    <mergeCell ref="AGD103:AGE103"/>
    <mergeCell ref="AGF103:AGG103"/>
    <mergeCell ref="AGI103:AGJ103"/>
    <mergeCell ref="AGK103:AGL103"/>
    <mergeCell ref="AER102:AES102"/>
    <mergeCell ref="AER103:AES103"/>
    <mergeCell ref="AEP100:AEQ100"/>
    <mergeCell ref="AEU100:AEV100"/>
    <mergeCell ref="AEW100:AEX100"/>
    <mergeCell ref="AEZ100:AFA100"/>
    <mergeCell ref="AFB100:AFC100"/>
    <mergeCell ref="AFE100:AFF100"/>
    <mergeCell ref="AFG100:AFH100"/>
    <mergeCell ref="AFJ100:AFK100"/>
    <mergeCell ref="AFL100:AFM100"/>
    <mergeCell ref="AFO100:AFP100"/>
    <mergeCell ref="AFQ100:AFR100"/>
    <mergeCell ref="ABK53:ABL53"/>
    <mergeCell ref="ABG54:ABH54"/>
    <mergeCell ref="ABI54:ABJ54"/>
    <mergeCell ref="ABG40:ABH40"/>
    <mergeCell ref="ABI40:ABJ40"/>
    <mergeCell ref="ABK40:ABL40"/>
    <mergeCell ref="ABG41:ABH41"/>
    <mergeCell ref="ABI41:ABJ41"/>
    <mergeCell ref="ABK41:ABL41"/>
    <mergeCell ref="ABG42:ABH42"/>
    <mergeCell ref="ABI42:ABJ42"/>
    <mergeCell ref="ABK42:ABL42"/>
    <mergeCell ref="ABG43:ABH43"/>
    <mergeCell ref="AEP104:AEQ104"/>
    <mergeCell ref="AEU104:AEV104"/>
    <mergeCell ref="AEW104:AEX104"/>
    <mergeCell ref="AEZ104:AFA104"/>
    <mergeCell ref="AFB104:AFC104"/>
    <mergeCell ref="AFE104:AFF104"/>
    <mergeCell ref="AFG104:AFH104"/>
    <mergeCell ref="AFJ104:AFK104"/>
    <mergeCell ref="AFL104:AFM104"/>
    <mergeCell ref="AFO104:AFP104"/>
    <mergeCell ref="AFQ104:AFR104"/>
    <mergeCell ref="ABP55:ABQ55"/>
    <mergeCell ref="ABN48:ABO48"/>
    <mergeCell ref="ABP48:ABQ48"/>
    <mergeCell ref="ABN49:ABO49"/>
    <mergeCell ref="ABP49:ABQ49"/>
    <mergeCell ref="ABN50:ABO50"/>
    <mergeCell ref="ABG47:ABH47"/>
    <mergeCell ref="ABI47:ABJ47"/>
    <mergeCell ref="ABK47:ABL47"/>
    <mergeCell ref="ABG48:ABH48"/>
    <mergeCell ref="ABI48:ABJ48"/>
    <mergeCell ref="ABK48:ABL48"/>
    <mergeCell ref="ABI56:ABJ56"/>
    <mergeCell ref="ABK56:ABL56"/>
    <mergeCell ref="ABG57:ABH57"/>
    <mergeCell ref="ABG51:ABH51"/>
    <mergeCell ref="ABI51:ABJ51"/>
    <mergeCell ref="ABK51:ABL51"/>
    <mergeCell ref="ABG52:ABH52"/>
    <mergeCell ref="ABI52:ABJ52"/>
    <mergeCell ref="ABK52:ABL52"/>
    <mergeCell ref="ABG53:ABH53"/>
    <mergeCell ref="ABI53:ABJ53"/>
    <mergeCell ref="ABW67:ABX67"/>
    <mergeCell ref="ABS68:ABT68"/>
    <mergeCell ref="ABU68:ABV68"/>
    <mergeCell ref="ABW68:ABX68"/>
    <mergeCell ref="ABS69:ABT69"/>
    <mergeCell ref="ABU69:ABV69"/>
    <mergeCell ref="AFT104:AFU104"/>
    <mergeCell ref="AFV104:AFW104"/>
    <mergeCell ref="AFY104:AFZ104"/>
    <mergeCell ref="AGA104:AGB104"/>
    <mergeCell ref="AGD104:AGE104"/>
    <mergeCell ref="AGF104:AGG104"/>
    <mergeCell ref="AGI104:AGJ104"/>
    <mergeCell ref="AGK104:AGL104"/>
    <mergeCell ref="AAD10:AAE10"/>
    <mergeCell ref="AAF10:AAG10"/>
    <mergeCell ref="AAD11:AAE11"/>
    <mergeCell ref="AAF11:AAG11"/>
    <mergeCell ref="AAD12:AAE12"/>
    <mergeCell ref="AAF12:AAG12"/>
    <mergeCell ref="AAD13:AAE13"/>
    <mergeCell ref="AAF13:AAG13"/>
    <mergeCell ref="AAD14:AAE14"/>
    <mergeCell ref="AAF14:AAG14"/>
    <mergeCell ref="AAD15:AAE15"/>
    <mergeCell ref="AAF15:AAG15"/>
    <mergeCell ref="AAD16:AAE16"/>
    <mergeCell ref="AAF16:AAG16"/>
    <mergeCell ref="AAD17:AAE17"/>
    <mergeCell ref="AAF17:AAG17"/>
    <mergeCell ref="AAD18:AAE18"/>
    <mergeCell ref="AAF18:AAG18"/>
    <mergeCell ref="AAD19:AAE19"/>
    <mergeCell ref="AAF19:AAG19"/>
    <mergeCell ref="AAD20:AAE20"/>
    <mergeCell ref="AAF20:AAG20"/>
    <mergeCell ref="AAD21:AAE21"/>
    <mergeCell ref="AAF21:AAG21"/>
    <mergeCell ref="AAD22:AAE22"/>
    <mergeCell ref="AAF22:AAG22"/>
    <mergeCell ref="AAD23:AAE23"/>
    <mergeCell ref="AAF23:AAG23"/>
    <mergeCell ref="AAD24:AAE24"/>
    <mergeCell ref="AAF24:AAG24"/>
    <mergeCell ref="AAD25:AAE25"/>
    <mergeCell ref="AAF25:AAG25"/>
    <mergeCell ref="AAP54:AAQ54"/>
    <mergeCell ref="AAR54:AAS54"/>
    <mergeCell ref="AAP52:AAQ52"/>
    <mergeCell ref="AAR52:AAS52"/>
    <mergeCell ref="AAP53:AAQ53"/>
    <mergeCell ref="AAR53:AAS53"/>
    <mergeCell ref="AAP48:AAQ48"/>
    <mergeCell ref="AAR48:AAS48"/>
    <mergeCell ref="AAP49:AAQ49"/>
    <mergeCell ref="AAR49:AAS49"/>
    <mergeCell ref="AAW59:AAX59"/>
    <mergeCell ref="AAP50:AAQ50"/>
    <mergeCell ref="AAR51:AAS51"/>
    <mergeCell ref="ABD38:ABE38"/>
    <mergeCell ref="ABB39:ABC39"/>
    <mergeCell ref="ABD39:ABE39"/>
    <mergeCell ref="ABB40:ABC40"/>
    <mergeCell ref="ABD40:ABE40"/>
    <mergeCell ref="ABB41:ABC41"/>
    <mergeCell ref="ABD41:ABE41"/>
    <mergeCell ref="ABB42:ABC42"/>
    <mergeCell ref="ABD42:ABE42"/>
    <mergeCell ref="ABB43:ABC43"/>
    <mergeCell ref="ABD43:ABE43"/>
    <mergeCell ref="ABN10:ABO10"/>
    <mergeCell ref="ABP10:ABQ10"/>
    <mergeCell ref="ABN11:ABO11"/>
    <mergeCell ref="ABP11:ABQ11"/>
    <mergeCell ref="ABN12:ABO12"/>
    <mergeCell ref="ABP12:ABQ12"/>
    <mergeCell ref="ABN13:ABO13"/>
    <mergeCell ref="ABP13:ABQ13"/>
    <mergeCell ref="ABN14:ABO14"/>
    <mergeCell ref="ABP14:ABQ14"/>
    <mergeCell ref="ABN15:ABO15"/>
    <mergeCell ref="ABP15:ABQ15"/>
    <mergeCell ref="ABN16:ABO16"/>
    <mergeCell ref="ABP16:ABQ16"/>
    <mergeCell ref="ABN17:ABO17"/>
    <mergeCell ref="ABP17:ABQ17"/>
    <mergeCell ref="ABN18:ABO18"/>
    <mergeCell ref="ABP18:ABQ18"/>
    <mergeCell ref="ABN19:ABO19"/>
    <mergeCell ref="ABP19:ABQ19"/>
    <mergeCell ref="ABN20:ABO20"/>
    <mergeCell ref="ABP20:ABQ20"/>
    <mergeCell ref="ABN21:ABO21"/>
    <mergeCell ref="ABP21:ABQ21"/>
    <mergeCell ref="ABN22:ABO22"/>
    <mergeCell ref="ABP22:ABQ22"/>
    <mergeCell ref="ABN23:ABO23"/>
    <mergeCell ref="ABP23:ABQ23"/>
    <mergeCell ref="ABN24:ABO24"/>
    <mergeCell ref="ABP24:ABQ24"/>
    <mergeCell ref="ABN25:ABO25"/>
    <mergeCell ref="ABP25:ABQ25"/>
    <mergeCell ref="ABN26:ABO26"/>
    <mergeCell ref="ABP26:ABQ26"/>
    <mergeCell ref="ABN55:ABO55"/>
    <mergeCell ref="ABP50:ABQ50"/>
    <mergeCell ref="ABN51:ABO51"/>
    <mergeCell ref="ABP51:ABQ51"/>
    <mergeCell ref="ABN52:ABO52"/>
    <mergeCell ref="ABP52:ABQ52"/>
    <mergeCell ref="ABN53:ABO53"/>
    <mergeCell ref="ABP53:ABQ53"/>
    <mergeCell ref="ABN47:ABO47"/>
    <mergeCell ref="ABP47:ABQ47"/>
    <mergeCell ref="ABS48:ABT48"/>
    <mergeCell ref="ABS46:ABT46"/>
    <mergeCell ref="ABU46:ABV46"/>
    <mergeCell ref="ABD61:ABE61"/>
    <mergeCell ref="ABD62:ABE62"/>
    <mergeCell ref="ABD63:ABE63"/>
    <mergeCell ref="ABD64:ABE64"/>
    <mergeCell ref="AAY43:AAZ43"/>
    <mergeCell ref="ABN65:ABO65"/>
    <mergeCell ref="AAY46:AAZ46"/>
    <mergeCell ref="ABU51:ABV51"/>
    <mergeCell ref="ABW51:ABX51"/>
    <mergeCell ref="AAU27:AAV27"/>
    <mergeCell ref="AAW27:AAX27"/>
    <mergeCell ref="AAU28:AAV28"/>
    <mergeCell ref="AAW28:AAX28"/>
    <mergeCell ref="ABB38:ABC38"/>
    <mergeCell ref="AAP45:AAQ45"/>
    <mergeCell ref="AAR45:AAS45"/>
    <mergeCell ref="AAP46:AAQ46"/>
    <mergeCell ref="AAR46:AAS46"/>
    <mergeCell ref="AAP47:AAQ47"/>
    <mergeCell ref="AAR47:AAS47"/>
    <mergeCell ref="AAP33:AAQ33"/>
    <mergeCell ref="AAR33:AAS33"/>
    <mergeCell ref="AAP34:AAQ34"/>
    <mergeCell ref="AAR34:AAS34"/>
    <mergeCell ref="AAP35:AAQ35"/>
    <mergeCell ref="AAR35:AAS35"/>
    <mergeCell ref="AAP36:AAQ36"/>
    <mergeCell ref="ABB36:ABC36"/>
    <mergeCell ref="ABD36:ABE36"/>
    <mergeCell ref="ABB37:ABC37"/>
    <mergeCell ref="ABD37:ABE37"/>
    <mergeCell ref="ABB29:ABC29"/>
    <mergeCell ref="ABN40:ABO40"/>
    <mergeCell ref="ABP40:ABQ40"/>
    <mergeCell ref="ABN41:ABO41"/>
    <mergeCell ref="ABP41:ABQ41"/>
    <mergeCell ref="ABN42:ABO42"/>
    <mergeCell ref="ABP42:ABQ42"/>
    <mergeCell ref="AAP27:AAQ27"/>
    <mergeCell ref="AAR27:AAS27"/>
    <mergeCell ref="ABD44:ABE44"/>
    <mergeCell ref="ABB45:ABC45"/>
    <mergeCell ref="ABD45:ABE45"/>
    <mergeCell ref="AAU39:AAV39"/>
    <mergeCell ref="AAW45:AAX45"/>
    <mergeCell ref="AAU44:AAV44"/>
    <mergeCell ref="AAW44:AAX44"/>
    <mergeCell ref="AAY44:AAZ44"/>
    <mergeCell ref="AAU45:AAV45"/>
    <mergeCell ref="ABB49:ABC49"/>
    <mergeCell ref="AAY36:AAZ36"/>
    <mergeCell ref="ACB64:ACC64"/>
    <mergeCell ref="ABN70:ABO70"/>
    <mergeCell ref="ABP70:ABQ70"/>
    <mergeCell ref="ABZ65:ACA65"/>
    <mergeCell ref="ACB65:ACC65"/>
    <mergeCell ref="ABZ66:ACA66"/>
    <mergeCell ref="ACB66:ACC66"/>
    <mergeCell ref="ABZ67:ACA67"/>
    <mergeCell ref="ACB67:ACC67"/>
    <mergeCell ref="ABN63:ABO63"/>
    <mergeCell ref="ABS60:ABT60"/>
    <mergeCell ref="ABU60:ABV60"/>
    <mergeCell ref="ABW60:ABX60"/>
    <mergeCell ref="ABP62:ABQ62"/>
    <mergeCell ref="ABN56:ABO56"/>
    <mergeCell ref="ABP56:ABQ56"/>
    <mergeCell ref="ABN57:ABO57"/>
    <mergeCell ref="ABP57:ABQ57"/>
    <mergeCell ref="ABN58:ABO58"/>
    <mergeCell ref="ABP58:ABQ58"/>
    <mergeCell ref="ABN69:ABO69"/>
    <mergeCell ref="ABP69:ABQ69"/>
    <mergeCell ref="ABU67:ABV67"/>
    <mergeCell ref="ABN61:ABO61"/>
    <mergeCell ref="ABP61:ABQ61"/>
    <mergeCell ref="ABN62:ABO62"/>
    <mergeCell ref="ABS61:ABT61"/>
    <mergeCell ref="AAW37:AAX37"/>
    <mergeCell ref="ABS65:ABT65"/>
    <mergeCell ref="ABU65:ABV65"/>
    <mergeCell ref="ABW65:ABX65"/>
    <mergeCell ref="ABS66:ABT66"/>
    <mergeCell ref="ABU66:ABV66"/>
    <mergeCell ref="ABW66:ABX66"/>
    <mergeCell ref="ABS67:ABT67"/>
    <mergeCell ref="ABU61:ABV61"/>
    <mergeCell ref="ABW61:ABX61"/>
    <mergeCell ref="ABS62:ABT62"/>
    <mergeCell ref="ABU62:ABV62"/>
    <mergeCell ref="ABW62:ABX62"/>
    <mergeCell ref="ABS63:ABT63"/>
    <mergeCell ref="ABW58:ABX58"/>
    <mergeCell ref="ABS59:ABT59"/>
    <mergeCell ref="ABU59:ABV59"/>
    <mergeCell ref="ABW59:ABX59"/>
    <mergeCell ref="ABS56:ABT56"/>
    <mergeCell ref="ABU56:ABV56"/>
    <mergeCell ref="ABW56:ABX56"/>
    <mergeCell ref="ABS57:ABT57"/>
    <mergeCell ref="ABU57:ABV57"/>
    <mergeCell ref="ABW57:ABX57"/>
    <mergeCell ref="ABU63:ABV63"/>
    <mergeCell ref="ABW63:ABX63"/>
    <mergeCell ref="ABS64:ABT64"/>
    <mergeCell ref="ABU64:ABV64"/>
    <mergeCell ref="ABW64:ABX64"/>
    <mergeCell ref="ABS58:ABT58"/>
    <mergeCell ref="ABU58:ABV58"/>
    <mergeCell ref="ABN59:ABO59"/>
    <mergeCell ref="ABP59:ABQ59"/>
    <mergeCell ref="ABN60:ABO60"/>
    <mergeCell ref="ABP60:ABQ60"/>
    <mergeCell ref="ABN54:ABO54"/>
    <mergeCell ref="ABP54:ABQ54"/>
    <mergeCell ref="ABZ10:ACA10"/>
    <mergeCell ref="ACB10:ACC10"/>
    <mergeCell ref="ABZ11:ACA11"/>
    <mergeCell ref="ACB11:ACC11"/>
    <mergeCell ref="ABZ12:ACA12"/>
    <mergeCell ref="ACB12:ACC12"/>
    <mergeCell ref="ABZ13:ACA13"/>
    <mergeCell ref="ACB13:ACC13"/>
    <mergeCell ref="ABZ14:ACA14"/>
    <mergeCell ref="ACB14:ACC14"/>
    <mergeCell ref="ABZ15:ACA15"/>
    <mergeCell ref="ACB15:ACC15"/>
    <mergeCell ref="ABZ16:ACA16"/>
    <mergeCell ref="ACB16:ACC16"/>
    <mergeCell ref="ABZ17:ACA17"/>
    <mergeCell ref="ACB17:ACC17"/>
    <mergeCell ref="ABZ18:ACA18"/>
    <mergeCell ref="ACB18:ACC18"/>
    <mergeCell ref="ABZ19:ACA19"/>
    <mergeCell ref="ACB19:ACC19"/>
    <mergeCell ref="ABZ20:ACA20"/>
    <mergeCell ref="ACB20:ACC20"/>
    <mergeCell ref="ABZ21:ACA21"/>
    <mergeCell ref="ACB21:ACC21"/>
    <mergeCell ref="ABZ22:ACA22"/>
    <mergeCell ref="ACB22:ACC22"/>
    <mergeCell ref="ABZ23:ACA23"/>
    <mergeCell ref="ACB23:ACC23"/>
    <mergeCell ref="ABZ24:ACA24"/>
    <mergeCell ref="ACB24:ACC24"/>
    <mergeCell ref="ABZ25:ACA25"/>
    <mergeCell ref="ACB25:ACC25"/>
    <mergeCell ref="ABZ34:ACA34"/>
    <mergeCell ref="ACB34:ACC34"/>
    <mergeCell ref="ACB55:ACC55"/>
    <mergeCell ref="WF84:WG84"/>
    <mergeCell ref="RS97:RX97"/>
    <mergeCell ref="RM109:RR109"/>
    <mergeCell ref="RM110:RR110"/>
    <mergeCell ref="RM86:RR86"/>
    <mergeCell ref="RM87:RR87"/>
    <mergeCell ref="RM88:RR88"/>
    <mergeCell ref="RD73:RE73"/>
    <mergeCell ref="RD66:RE66"/>
    <mergeCell ref="RF24:RI24"/>
    <mergeCell ref="MV229:ND231"/>
    <mergeCell ref="IU129:IV129"/>
    <mergeCell ref="IU134:IV134"/>
    <mergeCell ref="PP110:PQ110"/>
    <mergeCell ref="PR109:PW110"/>
    <mergeCell ref="PP109:PQ109"/>
    <mergeCell ref="PM110:PN110"/>
    <mergeCell ref="PK110:PL110"/>
    <mergeCell ref="PK195:PL195"/>
    <mergeCell ref="PK196:PL196"/>
    <mergeCell ref="PO195:PW197"/>
    <mergeCell ref="PK197:PN197"/>
    <mergeCell ref="PL190:PM190"/>
    <mergeCell ref="PL189:PM189"/>
    <mergeCell ref="MD64:ME64"/>
    <mergeCell ref="MA58:MB58"/>
    <mergeCell ref="MA52:MB52"/>
    <mergeCell ref="MA42:MB42"/>
    <mergeCell ref="LZ216:LZ219"/>
    <mergeCell ref="MC209:MD209"/>
    <mergeCell ref="MC210:MD210"/>
    <mergeCell ref="PJ199:PJ201"/>
    <mergeCell ref="PK199:PL199"/>
    <mergeCell ref="PV199:PW199"/>
    <mergeCell ref="PX199:PY199"/>
    <mergeCell ref="PZ199:QA199"/>
    <mergeCell ref="QB199:QE199"/>
    <mergeCell ref="QF199:QK199"/>
    <mergeCell ref="PX200:PY201"/>
    <mergeCell ref="PZ200:QA201"/>
    <mergeCell ref="QB200:QB201"/>
    <mergeCell ref="QC200:QD201"/>
    <mergeCell ref="QE200:QE201"/>
    <mergeCell ref="QF200:QK201"/>
    <mergeCell ref="PO200:PW201"/>
    <mergeCell ref="PK200:PL200"/>
    <mergeCell ref="PM200:PN200"/>
    <mergeCell ref="PK201:PL201"/>
    <mergeCell ref="ABZ59:ACA59"/>
    <mergeCell ref="ACB59:ACC59"/>
    <mergeCell ref="ABZ60:ACA60"/>
    <mergeCell ref="ACB60:ACC60"/>
    <mergeCell ref="ABZ61:ACA61"/>
    <mergeCell ref="ACB61:ACC61"/>
    <mergeCell ref="ABZ62:ACA62"/>
    <mergeCell ref="ACB62:ACC62"/>
    <mergeCell ref="ABZ63:ACA63"/>
    <mergeCell ref="ACB63:ACC63"/>
    <mergeCell ref="ABZ64:ACA64"/>
    <mergeCell ref="ABZ68:ACA68"/>
    <mergeCell ref="ACB68:ACC68"/>
    <mergeCell ref="ABZ69:ACA69"/>
    <mergeCell ref="ACB69:ACC69"/>
    <mergeCell ref="MG146:MH146"/>
    <mergeCell ref="MV142:NB144"/>
    <mergeCell ref="JN118:JS120"/>
    <mergeCell ref="JN117:JS117"/>
    <mergeCell ref="MI62:MK62"/>
    <mergeCell ref="LZ52:LZ54"/>
    <mergeCell ref="JN46:JQ46"/>
    <mergeCell ref="MD18:ME18"/>
    <mergeCell ref="PO188:PP188"/>
    <mergeCell ref="PK184:PL184"/>
    <mergeCell ref="PK185:PL185"/>
    <mergeCell ref="PM185:PN185"/>
    <mergeCell ref="PK186:PL186"/>
    <mergeCell ref="PM186:PN186"/>
    <mergeCell ref="PO184:PW186"/>
    <mergeCell ref="PN179:PO179"/>
    <mergeCell ref="PP179:PQ179"/>
    <mergeCell ref="PK181:PM181"/>
    <mergeCell ref="PO183:PP183"/>
    <mergeCell ref="PJ22:PK22"/>
    <mergeCell ref="PJ79:PJ82"/>
    <mergeCell ref="MD35:MM36"/>
    <mergeCell ref="MS39:MS40"/>
    <mergeCell ref="JN124:JR124"/>
    <mergeCell ref="MS47:MT48"/>
    <mergeCell ref="OD20:OI20"/>
    <mergeCell ref="OK20:OO20"/>
    <mergeCell ref="OQ20:OT20"/>
    <mergeCell ref="OD21:OI23"/>
    <mergeCell ref="OK21:OO23"/>
    <mergeCell ref="OQ21:OT23"/>
    <mergeCell ref="PN37:PZ38"/>
    <mergeCell ref="PN41:PZ42"/>
    <mergeCell ref="MA99:MB99"/>
    <mergeCell ref="ME52:MF52"/>
    <mergeCell ref="MC43:MD43"/>
    <mergeCell ref="MB36:MC36"/>
    <mergeCell ref="LZ46:MB48"/>
    <mergeCell ref="JN50:JR50"/>
    <mergeCell ref="MC50:MD50"/>
    <mergeCell ref="PY40:PZ40"/>
    <mergeCell ref="PI40:PI42"/>
    <mergeCell ref="PI36:PI38"/>
    <mergeCell ref="NB64:NB66"/>
    <mergeCell ref="MI136:MJ136"/>
    <mergeCell ref="MD142:MM144"/>
    <mergeCell ref="LZ116:MD117"/>
    <mergeCell ref="MV26:MY26"/>
    <mergeCell ref="JN47:JQ48"/>
    <mergeCell ref="PX184:PY185"/>
    <mergeCell ref="PJ119:PJ121"/>
    <mergeCell ref="PV119:PW119"/>
    <mergeCell ref="ML168:MN168"/>
    <mergeCell ref="MR153:MR154"/>
    <mergeCell ref="NE158:NF158"/>
    <mergeCell ref="PY22:QG22"/>
    <mergeCell ref="QA36:QB36"/>
    <mergeCell ref="PX24:PY25"/>
    <mergeCell ref="PX29:QB29"/>
    <mergeCell ref="QD29:QF29"/>
    <mergeCell ref="QB146:QB147"/>
    <mergeCell ref="PV179:PW179"/>
    <mergeCell ref="PZ172:QA172"/>
    <mergeCell ref="PV183:PW183"/>
    <mergeCell ref="RC17:RC18"/>
    <mergeCell ref="XB13:XC13"/>
    <mergeCell ref="XB14:XC14"/>
    <mergeCell ref="XE13:XG16"/>
    <mergeCell ref="WE12:XG12"/>
    <mergeCell ref="WC31:WH60"/>
    <mergeCell ref="TK14:TL14"/>
    <mergeCell ref="SR14:SS14"/>
    <mergeCell ref="WS17:XD18"/>
    <mergeCell ref="WE13:WF13"/>
    <mergeCell ref="WG13:WI13"/>
    <mergeCell ref="WP16:WQ16"/>
    <mergeCell ref="WJ13:WK13"/>
    <mergeCell ref="WR14:WS14"/>
    <mergeCell ref="WT14:WU14"/>
    <mergeCell ref="WV14:WW14"/>
    <mergeCell ref="VQ7:VR7"/>
    <mergeCell ref="VQ9:VR9"/>
    <mergeCell ref="VI8:VJ9"/>
    <mergeCell ref="WK63:WL63"/>
    <mergeCell ref="WH63:WJ63"/>
    <mergeCell ref="WO41:WP42"/>
    <mergeCell ref="WO31:WP32"/>
    <mergeCell ref="UA53:UB53"/>
    <mergeCell ref="UO23:UR23"/>
    <mergeCell ref="UK38:UN38"/>
    <mergeCell ref="WR76:WS77"/>
    <mergeCell ref="WR64:WS65"/>
    <mergeCell ref="WR68:WS69"/>
    <mergeCell ref="UK53:UN53"/>
    <mergeCell ref="TU39:TZ39"/>
    <mergeCell ref="TU59:TZ59"/>
    <mergeCell ref="TU60:TZ60"/>
    <mergeCell ref="UK60:UN60"/>
    <mergeCell ref="TF51:TH51"/>
    <mergeCell ref="TI51:TL51"/>
    <mergeCell ref="TF43:TH43"/>
    <mergeCell ref="TI14:TJ14"/>
    <mergeCell ref="UA17:UB18"/>
    <mergeCell ref="WX15:WY15"/>
    <mergeCell ref="WZ15:XA15"/>
    <mergeCell ref="XB15:XC15"/>
    <mergeCell ref="TG14:TH14"/>
    <mergeCell ref="UA25:UB25"/>
    <mergeCell ref="UA26:UB26"/>
    <mergeCell ref="UA27:UB27"/>
    <mergeCell ref="UA28:UB28"/>
    <mergeCell ref="UA21:UB21"/>
    <mergeCell ref="RJ68:RL68"/>
    <mergeCell ref="RM63:RR63"/>
    <mergeCell ref="RM64:RR64"/>
    <mergeCell ref="RM65:RR65"/>
    <mergeCell ref="RM66:RR66"/>
    <mergeCell ref="TQ61:TT61"/>
    <mergeCell ref="TU61:TZ61"/>
    <mergeCell ref="UA49:UB49"/>
    <mergeCell ref="UA50:UB50"/>
    <mergeCell ref="UA56:UB56"/>
    <mergeCell ref="UA57:UB57"/>
    <mergeCell ref="UA58:UB58"/>
    <mergeCell ref="UA59:UB59"/>
    <mergeCell ref="UA60:UB60"/>
    <mergeCell ref="UA61:UB61"/>
    <mergeCell ref="UA62:UB62"/>
    <mergeCell ref="WX14:WY14"/>
    <mergeCell ref="WL13:WM13"/>
    <mergeCell ref="RS11:RX11"/>
    <mergeCell ref="RM17:RR18"/>
    <mergeCell ref="RM19:RR19"/>
    <mergeCell ref="RM20:RR20"/>
    <mergeCell ref="RM21:RR21"/>
    <mergeCell ref="RM22:RR22"/>
    <mergeCell ref="RM23:RR23"/>
    <mergeCell ref="WE93:WF93"/>
    <mergeCell ref="WI92:WQ93"/>
    <mergeCell ref="WI91:WJ91"/>
    <mergeCell ref="WG93:WH93"/>
    <mergeCell ref="WR92:WS93"/>
    <mergeCell ref="WE92:WF92"/>
    <mergeCell ref="WG92:WH92"/>
    <mergeCell ref="UA93:UB93"/>
    <mergeCell ref="UA91:UB91"/>
    <mergeCell ref="UO59:UR59"/>
    <mergeCell ref="UO62:UR62"/>
    <mergeCell ref="UO63:UR63"/>
    <mergeCell ref="UO60:UR60"/>
    <mergeCell ref="UO56:UR56"/>
    <mergeCell ref="UO57:UR57"/>
    <mergeCell ref="UO66:UR66"/>
    <mergeCell ref="UO67:UR67"/>
    <mergeCell ref="UK66:UN66"/>
    <mergeCell ref="UK58:UN58"/>
    <mergeCell ref="UO81:UR81"/>
    <mergeCell ref="UO69:UR69"/>
    <mergeCell ref="UA30:UB30"/>
    <mergeCell ref="WR13:WS13"/>
    <mergeCell ref="WT13:WU13"/>
    <mergeCell ref="WL14:WM14"/>
    <mergeCell ref="WG14:WI14"/>
    <mergeCell ref="WE14:WF14"/>
    <mergeCell ref="WJ14:WK14"/>
    <mergeCell ref="WL16:WM16"/>
    <mergeCell ref="WN16:WO16"/>
    <mergeCell ref="WN15:WO15"/>
    <mergeCell ref="WF73:WG73"/>
    <mergeCell ref="WN13:WO13"/>
    <mergeCell ref="WF64:WG64"/>
    <mergeCell ref="WF65:WG65"/>
    <mergeCell ref="UA31:UB31"/>
    <mergeCell ref="UA32:UB32"/>
    <mergeCell ref="UA37:UB37"/>
    <mergeCell ref="UO51:UR51"/>
    <mergeCell ref="UO45:UR45"/>
    <mergeCell ref="UO43:UR43"/>
    <mergeCell ref="UK41:UN41"/>
    <mergeCell ref="UK40:UN40"/>
    <mergeCell ref="UK70:UN70"/>
    <mergeCell ref="UK71:UN71"/>
    <mergeCell ref="UK67:UN67"/>
    <mergeCell ref="UO58:UR58"/>
    <mergeCell ref="WI25:WJ25"/>
    <mergeCell ref="WK25:WL25"/>
    <mergeCell ref="WI26:WJ26"/>
    <mergeCell ref="WK26:WL26"/>
    <mergeCell ref="WF80:WG80"/>
    <mergeCell ref="WR15:WS15"/>
    <mergeCell ref="WT15:WU15"/>
    <mergeCell ref="WR16:WS16"/>
    <mergeCell ref="VY4:VZ5"/>
    <mergeCell ref="WP13:WQ13"/>
    <mergeCell ref="WV13:WW13"/>
    <mergeCell ref="WP14:WQ14"/>
    <mergeCell ref="WL15:WM15"/>
    <mergeCell ref="WP15:WQ15"/>
    <mergeCell ref="WC12:WD16"/>
    <mergeCell ref="WG15:WI16"/>
    <mergeCell ref="WE15:WF16"/>
    <mergeCell ref="WJ15:WK16"/>
    <mergeCell ref="WN14:WO14"/>
    <mergeCell ref="UO65:UR65"/>
    <mergeCell ref="UO50:UR50"/>
    <mergeCell ref="UO48:UR48"/>
    <mergeCell ref="UO49:UR49"/>
    <mergeCell ref="UO46:UR46"/>
    <mergeCell ref="UO27:UR27"/>
    <mergeCell ref="UO52:UR52"/>
    <mergeCell ref="UO53:UR53"/>
    <mergeCell ref="UA40:UB40"/>
    <mergeCell ref="TU57:TZ57"/>
    <mergeCell ref="SK57:SN57"/>
    <mergeCell ref="SO57:SS57"/>
    <mergeCell ref="UD57:UJ57"/>
    <mergeCell ref="SZ57:TE57"/>
    <mergeCell ref="RY59:SB59"/>
    <mergeCell ref="SC59:SF59"/>
    <mergeCell ref="SG59:SJ59"/>
    <mergeCell ref="SK59:SN59"/>
    <mergeCell ref="SO59:SS59"/>
    <mergeCell ref="UK59:UN59"/>
    <mergeCell ref="RY58:SB58"/>
    <mergeCell ref="SC58:SF58"/>
    <mergeCell ref="SG58:SJ58"/>
    <mergeCell ref="SK58:SN58"/>
    <mergeCell ref="SO58:SS58"/>
    <mergeCell ref="WI27:WJ27"/>
    <mergeCell ref="WK27:WL27"/>
    <mergeCell ref="UI14:UJ14"/>
    <mergeCell ref="ST63:SY63"/>
    <mergeCell ref="ST64:SY64"/>
    <mergeCell ref="ST65:SY65"/>
    <mergeCell ref="SZ58:TE58"/>
    <mergeCell ref="SZ59:TE59"/>
    <mergeCell ref="SZ60:TE60"/>
    <mergeCell ref="TM11:TP11"/>
    <mergeCell ref="TQ11:TT11"/>
    <mergeCell ref="RY12:SB13"/>
    <mergeCell ref="RY17:SB18"/>
    <mergeCell ref="SG19:SJ19"/>
    <mergeCell ref="RY20:SB20"/>
    <mergeCell ref="SC20:SF20"/>
    <mergeCell ref="SG20:SJ20"/>
    <mergeCell ref="SK20:SN20"/>
    <mergeCell ref="SO20:SS20"/>
    <mergeCell ref="TQ17:TT18"/>
    <mergeCell ref="TF12:TH13"/>
    <mergeCell ref="SK62:SN62"/>
    <mergeCell ref="SO62:SS62"/>
    <mergeCell ref="TF62:TH62"/>
    <mergeCell ref="UA19:UB19"/>
    <mergeCell ref="UA20:UB20"/>
    <mergeCell ref="UO54:UR54"/>
    <mergeCell ref="UA54:UB54"/>
    <mergeCell ref="RF14:RG14"/>
    <mergeCell ref="RH14:RI14"/>
    <mergeCell ref="RF15:RG15"/>
    <mergeCell ref="RF54:RI54"/>
    <mergeCell ref="RF23:RI23"/>
    <mergeCell ref="RM15:RN15"/>
    <mergeCell ref="RS71:RX71"/>
    <mergeCell ref="RS72:RX72"/>
    <mergeCell ref="RS73:RX73"/>
    <mergeCell ref="RS74:RX74"/>
    <mergeCell ref="RS75:RX75"/>
    <mergeCell ref="RS76:RX76"/>
    <mergeCell ref="RS77:RX77"/>
    <mergeCell ref="RS78:RX78"/>
    <mergeCell ref="RS79:RX79"/>
    <mergeCell ref="RS80:RX80"/>
    <mergeCell ref="RS81:RX81"/>
    <mergeCell ref="RS82:RX82"/>
    <mergeCell ref="RF22:RI22"/>
    <mergeCell ref="RF79:RI79"/>
    <mergeCell ref="RJ79:RL79"/>
    <mergeCell ref="RJ80:RL80"/>
    <mergeCell ref="RM24:RR24"/>
    <mergeCell ref="RM25:RR25"/>
    <mergeCell ref="RM26:RR26"/>
    <mergeCell ref="RM27:RR27"/>
    <mergeCell ref="RM28:RR28"/>
    <mergeCell ref="RM29:RR29"/>
    <mergeCell ref="RM30:RR30"/>
    <mergeCell ref="RM31:RR31"/>
    <mergeCell ref="RM32:RR32"/>
    <mergeCell ref="RM33:RR33"/>
    <mergeCell ref="RM34:RR34"/>
    <mergeCell ref="RM35:RR35"/>
    <mergeCell ref="RM36:RR36"/>
    <mergeCell ref="RM37:RR37"/>
    <mergeCell ref="RM67:RR67"/>
    <mergeCell ref="RF51:RI51"/>
    <mergeCell ref="RF74:RI74"/>
    <mergeCell ref="RM59:RR59"/>
    <mergeCell ref="RM60:RR60"/>
    <mergeCell ref="RM69:RR69"/>
    <mergeCell ref="RM70:RR70"/>
    <mergeCell ref="RM71:RR71"/>
    <mergeCell ref="RM72:RR72"/>
    <mergeCell ref="RM73:RR73"/>
    <mergeCell ref="RM74:RR74"/>
    <mergeCell ref="RM75:RR75"/>
    <mergeCell ref="RM76:RR76"/>
    <mergeCell ref="RS52:RX52"/>
    <mergeCell ref="RF73:RI73"/>
    <mergeCell ref="RF31:RI31"/>
    <mergeCell ref="RS43:RX43"/>
    <mergeCell ref="RS64:RX64"/>
    <mergeCell ref="RS65:RX65"/>
    <mergeCell ref="RS66:RX66"/>
    <mergeCell ref="RS67:RX67"/>
    <mergeCell ref="RF52:RI52"/>
    <mergeCell ref="RF55:RI55"/>
    <mergeCell ref="RF53:RI53"/>
    <mergeCell ref="RF64:RI64"/>
    <mergeCell ref="RF62:RI62"/>
    <mergeCell ref="RM38:RR38"/>
    <mergeCell ref="RM39:RR39"/>
    <mergeCell ref="RM12:RR13"/>
    <mergeCell ref="RS17:RX18"/>
    <mergeCell ref="RS19:RX19"/>
    <mergeCell ref="RS20:RX20"/>
    <mergeCell ref="RS21:RX21"/>
    <mergeCell ref="RS22:RX22"/>
    <mergeCell ref="RS23:RX23"/>
    <mergeCell ref="RS24:RX24"/>
    <mergeCell ref="RS25:RX25"/>
    <mergeCell ref="RS26:RX26"/>
    <mergeCell ref="RS27:RX27"/>
    <mergeCell ref="RS28:RX28"/>
    <mergeCell ref="RS29:RX29"/>
    <mergeCell ref="RS30:RX30"/>
    <mergeCell ref="RS31:RX31"/>
    <mergeCell ref="RS32:RX32"/>
    <mergeCell ref="RS33:RX33"/>
    <mergeCell ref="RS34:RX34"/>
    <mergeCell ref="RS35:RX35"/>
    <mergeCell ref="RS36:RX36"/>
    <mergeCell ref="RS37:RX37"/>
    <mergeCell ref="RS38:RX38"/>
    <mergeCell ref="RS39:RX39"/>
    <mergeCell ref="RS40:RX40"/>
    <mergeCell ref="RS41:RX41"/>
    <mergeCell ref="RM79:RR79"/>
    <mergeCell ref="RM80:RR80"/>
    <mergeCell ref="RM81:RR81"/>
    <mergeCell ref="RM82:RR82"/>
    <mergeCell ref="RS12:RX13"/>
    <mergeCell ref="RO15:RP15"/>
    <mergeCell ref="RM16:RN16"/>
    <mergeCell ref="RO16:RP16"/>
    <mergeCell ref="RM14:RN14"/>
    <mergeCell ref="RO14:RP14"/>
    <mergeCell ref="RM40:RR40"/>
    <mergeCell ref="RM41:RR41"/>
    <mergeCell ref="RM42:RR42"/>
    <mergeCell ref="RM43:RR43"/>
    <mergeCell ref="RM44:RR44"/>
    <mergeCell ref="RM45:RR45"/>
    <mergeCell ref="RM46:RR46"/>
    <mergeCell ref="ED115:EP116"/>
    <mergeCell ref="EV115:EW116"/>
    <mergeCell ref="RJ82:RL82"/>
    <mergeCell ref="RF81:RI81"/>
    <mergeCell ref="RS44:RX44"/>
    <mergeCell ref="RS45:RX45"/>
    <mergeCell ref="RJ28:RL28"/>
    <mergeCell ref="RJ29:RL29"/>
    <mergeCell ref="RS118:RX118"/>
    <mergeCell ref="RS86:RX86"/>
    <mergeCell ref="RS87:RX87"/>
    <mergeCell ref="RS88:RX88"/>
    <mergeCell ref="RS89:RX89"/>
    <mergeCell ref="RS90:RX90"/>
    <mergeCell ref="RS91:RX91"/>
    <mergeCell ref="RS92:RX92"/>
    <mergeCell ref="RS93:RX93"/>
    <mergeCell ref="RS94:RX94"/>
    <mergeCell ref="RS95:RX95"/>
    <mergeCell ref="RM96:RR96"/>
    <mergeCell ref="RM97:RR97"/>
    <mergeCell ref="RM98:RR98"/>
    <mergeCell ref="RM99:RR99"/>
    <mergeCell ref="RM100:RR100"/>
    <mergeCell ref="RM101:RR101"/>
    <mergeCell ref="RM102:RR102"/>
    <mergeCell ref="RM103:RR103"/>
    <mergeCell ref="RM104:RR104"/>
    <mergeCell ref="RM105:RR105"/>
    <mergeCell ref="RM106:RR106"/>
    <mergeCell ref="RM107:RR107"/>
    <mergeCell ref="RM108:RR108"/>
    <mergeCell ref="RM117:RR117"/>
    <mergeCell ref="RM118:RR118"/>
    <mergeCell ref="RM49:RR49"/>
    <mergeCell ref="RM50:RR50"/>
    <mergeCell ref="RM51:RR51"/>
    <mergeCell ref="RM52:RR52"/>
    <mergeCell ref="RM53:RR53"/>
    <mergeCell ref="RM54:RR54"/>
    <mergeCell ref="RM68:RR68"/>
    <mergeCell ref="GJ101:GK101"/>
    <mergeCell ref="GG114:GH114"/>
    <mergeCell ref="EN118:EO118"/>
    <mergeCell ref="RF59:RI59"/>
    <mergeCell ref="MP30:MQ30"/>
    <mergeCell ref="QF69:QF70"/>
    <mergeCell ref="RF109:RI109"/>
    <mergeCell ref="RF101:RI101"/>
    <mergeCell ref="IR113:IR115"/>
    <mergeCell ref="IS117:IT117"/>
    <mergeCell ref="RF91:RI91"/>
    <mergeCell ref="RF93:RI93"/>
    <mergeCell ref="RF83:RI83"/>
    <mergeCell ref="HC59:HF59"/>
    <mergeCell ref="HC60:HF62"/>
    <mergeCell ref="HD65:HD66"/>
    <mergeCell ref="HB77:HE78"/>
    <mergeCell ref="JH76:JI76"/>
    <mergeCell ref="IY70:JE72"/>
    <mergeCell ref="IS69:IT69"/>
    <mergeCell ref="IW71:IX71"/>
    <mergeCell ref="IT72:IU72"/>
    <mergeCell ref="MP118:MQ118"/>
    <mergeCell ref="BZ104:CA104"/>
    <mergeCell ref="BZ105:CA105"/>
    <mergeCell ref="CC103:CD103"/>
    <mergeCell ref="CB104:CK105"/>
    <mergeCell ref="CC129:CD129"/>
    <mergeCell ref="CF129:CG129"/>
    <mergeCell ref="CB130:CK131"/>
    <mergeCell ref="BZ130:CA130"/>
    <mergeCell ref="BZ131:CA131"/>
    <mergeCell ref="EB127:EC127"/>
    <mergeCell ref="EB128:EC128"/>
    <mergeCell ref="EB129:EC129"/>
    <mergeCell ref="EA126:EB126"/>
    <mergeCell ref="EA122:EB122"/>
    <mergeCell ref="EA118:EB118"/>
    <mergeCell ref="ED114:EE114"/>
    <mergeCell ref="EA110:EB110"/>
    <mergeCell ref="EA106:EB106"/>
    <mergeCell ref="ED102:EE102"/>
    <mergeCell ref="EA98:EB98"/>
    <mergeCell ref="EA90:EB90"/>
    <mergeCell ref="ED86:EE86"/>
    <mergeCell ref="ED94:EE94"/>
    <mergeCell ref="ES99:EU100"/>
    <mergeCell ref="EY103:EY104"/>
    <mergeCell ref="EQ103:ER104"/>
    <mergeCell ref="GG100:GH100"/>
    <mergeCell ref="GG115:GS116"/>
    <mergeCell ref="EQ115:ER116"/>
    <mergeCell ref="GI107:GJ107"/>
    <mergeCell ref="EL110:EM110"/>
    <mergeCell ref="EU95:EU96"/>
    <mergeCell ref="ES103:ET104"/>
    <mergeCell ref="EN111:EO112"/>
    <mergeCell ref="EW107:FC108"/>
    <mergeCell ref="EW106:FC106"/>
    <mergeCell ref="GF110:GF112"/>
    <mergeCell ref="ED103:EP104"/>
    <mergeCell ref="CO99:CQ99"/>
    <mergeCell ref="CO96:CP97"/>
    <mergeCell ref="CO95:CP95"/>
    <mergeCell ref="DZ86:EB88"/>
    <mergeCell ref="CU95:CX95"/>
    <mergeCell ref="CO100:CQ101"/>
    <mergeCell ref="CJ91:CK91"/>
    <mergeCell ref="CN92:CO93"/>
    <mergeCell ref="BX99:BZ101"/>
    <mergeCell ref="CL96:CN97"/>
    <mergeCell ref="CN91:CO91"/>
    <mergeCell ref="BY96:CK97"/>
    <mergeCell ref="EV122:FB122"/>
    <mergeCell ref="CN130:CO131"/>
    <mergeCell ref="CO122:CP123"/>
    <mergeCell ref="EP123:EQ124"/>
    <mergeCell ref="EP119:EQ120"/>
    <mergeCell ref="EA119:EM120"/>
    <mergeCell ref="EN110:EO110"/>
    <mergeCell ref="EL122:EM122"/>
    <mergeCell ref="CZ125:DC125"/>
    <mergeCell ref="CY104:CY105"/>
    <mergeCell ref="CV114:CV115"/>
    <mergeCell ref="DZ126:DZ129"/>
    <mergeCell ref="DZ122:DZ124"/>
    <mergeCell ref="EQ114:ER114"/>
    <mergeCell ref="CB99:CC99"/>
    <mergeCell ref="CB55:CC55"/>
    <mergeCell ref="EA82:EB82"/>
    <mergeCell ref="EC82:ED82"/>
    <mergeCell ref="EA83:EB83"/>
    <mergeCell ref="EC83:ED83"/>
    <mergeCell ref="EE82:EM84"/>
    <mergeCell ref="EA84:EB84"/>
    <mergeCell ref="EC84:ED84"/>
    <mergeCell ref="IU60:IV60"/>
    <mergeCell ref="DC76:DD76"/>
    <mergeCell ref="DC77:DD77"/>
    <mergeCell ref="DC78:DD78"/>
    <mergeCell ref="DC79:DD79"/>
    <mergeCell ref="DC80:DD80"/>
    <mergeCell ref="RS111:RX111"/>
    <mergeCell ref="SC82:SF82"/>
    <mergeCell ref="RY79:SB79"/>
    <mergeCell ref="SC79:SF79"/>
    <mergeCell ref="RY76:SB76"/>
    <mergeCell ref="SC76:SF76"/>
    <mergeCell ref="RY73:SB73"/>
    <mergeCell ref="SC73:SF73"/>
    <mergeCell ref="RY72:SB72"/>
    <mergeCell ref="SC72:SF72"/>
    <mergeCell ref="RY68:SB68"/>
    <mergeCell ref="SC68:SF68"/>
    <mergeCell ref="RS105:RX105"/>
    <mergeCell ref="RS106:RX106"/>
    <mergeCell ref="SC111:SF111"/>
    <mergeCell ref="RS70:RX70"/>
    <mergeCell ref="EA70:EB70"/>
    <mergeCell ref="GG118:GH118"/>
    <mergeCell ref="RF68:RI68"/>
    <mergeCell ref="RS112:RX112"/>
    <mergeCell ref="RD67:RE67"/>
    <mergeCell ref="RD65:RE65"/>
    <mergeCell ref="RY98:SB98"/>
    <mergeCell ref="RS113:RX113"/>
    <mergeCell ref="RS114:RX114"/>
    <mergeCell ref="RS115:RX115"/>
    <mergeCell ref="RS116:RX116"/>
    <mergeCell ref="QE93:QE94"/>
    <mergeCell ref="SC69:SF69"/>
    <mergeCell ref="RD72:RE72"/>
    <mergeCell ref="QE65:QE66"/>
    <mergeCell ref="QF65:QG66"/>
    <mergeCell ref="RD116:RE116"/>
    <mergeCell ref="RF112:RI112"/>
    <mergeCell ref="RF118:RI118"/>
    <mergeCell ref="RY118:SB118"/>
    <mergeCell ref="SC118:SF118"/>
    <mergeCell ref="ED75:EE75"/>
    <mergeCell ref="RS103:RX103"/>
    <mergeCell ref="RS104:RX104"/>
    <mergeCell ref="CB95:CD95"/>
    <mergeCell ref="CE95:CG95"/>
    <mergeCell ref="RF100:RI100"/>
    <mergeCell ref="RJ100:RL100"/>
    <mergeCell ref="RF97:RI97"/>
    <mergeCell ref="RF98:RI98"/>
    <mergeCell ref="RF84:RI84"/>
    <mergeCell ref="ES114:ET114"/>
    <mergeCell ref="EU114:EX114"/>
    <mergeCell ref="GG138:GH138"/>
    <mergeCell ref="HU87:HV87"/>
    <mergeCell ref="HU91:HV91"/>
    <mergeCell ref="HU95:HV95"/>
    <mergeCell ref="RD93:RE93"/>
    <mergeCell ref="RD94:RE94"/>
    <mergeCell ref="RD107:RE107"/>
    <mergeCell ref="RD108:RE108"/>
    <mergeCell ref="RF99:RI99"/>
    <mergeCell ref="RS63:RX63"/>
    <mergeCell ref="GJ87:GK87"/>
    <mergeCell ref="GG107:GH107"/>
    <mergeCell ref="GV100:GW100"/>
    <mergeCell ref="PO53:PP53"/>
    <mergeCell ref="RS53:RX53"/>
    <mergeCell ref="ST81:SY81"/>
    <mergeCell ref="UA65:UB65"/>
    <mergeCell ref="UA97:UB97"/>
    <mergeCell ref="UA94:UB94"/>
    <mergeCell ref="TI94:TL94"/>
    <mergeCell ref="TF99:TH99"/>
    <mergeCell ref="TI99:TL99"/>
    <mergeCell ref="TM99:TP99"/>
    <mergeCell ref="TQ99:TT99"/>
    <mergeCell ref="TU99:TZ99"/>
    <mergeCell ref="SO104:SS104"/>
    <mergeCell ref="AIN60:AIO60"/>
    <mergeCell ref="AIN64:AIO64"/>
    <mergeCell ref="AIN68:AIO68"/>
    <mergeCell ref="AIN82:AIO82"/>
    <mergeCell ref="AIN87:AIO87"/>
    <mergeCell ref="AIN98:AIO98"/>
    <mergeCell ref="AIN102:AIO102"/>
    <mergeCell ref="AIN106:AIO106"/>
    <mergeCell ref="SZ103:TE103"/>
    <mergeCell ref="SZ104:TE104"/>
    <mergeCell ref="MZ123:MZ124"/>
    <mergeCell ref="JN125:JR127"/>
    <mergeCell ref="UO71:UR71"/>
    <mergeCell ref="UO61:UR61"/>
    <mergeCell ref="UO64:UR64"/>
    <mergeCell ref="TQ79:TT79"/>
    <mergeCell ref="TU79:TZ79"/>
    <mergeCell ref="TU76:TZ76"/>
    <mergeCell ref="WF81:WG81"/>
    <mergeCell ref="WH84:WQ85"/>
    <mergeCell ref="WF85:WG85"/>
    <mergeCell ref="MZ128:NA128"/>
    <mergeCell ref="MS123:MU124"/>
    <mergeCell ref="AAR65:AAS65"/>
    <mergeCell ref="AAP66:AAQ66"/>
    <mergeCell ref="AAR66:AAS66"/>
    <mergeCell ref="AAP67:AAQ67"/>
    <mergeCell ref="AAR67:AAS67"/>
    <mergeCell ref="AAP68:AAQ68"/>
    <mergeCell ref="AAR68:AAS68"/>
    <mergeCell ref="AAP69:AAQ69"/>
    <mergeCell ref="ABZ70:ACA70"/>
    <mergeCell ref="ACB70:ACC70"/>
    <mergeCell ref="ABZ53:ACA53"/>
    <mergeCell ref="ACB53:ACC53"/>
    <mergeCell ref="ABZ54:ACA54"/>
    <mergeCell ref="ACB54:ACC54"/>
    <mergeCell ref="ABZ55:ACA55"/>
    <mergeCell ref="AIQ118:AIR118"/>
    <mergeCell ref="AIQ114:AIR114"/>
    <mergeCell ref="AIQ110:AIR110"/>
    <mergeCell ref="AIN126:AIO126"/>
    <mergeCell ref="AIN122:AIO122"/>
    <mergeCell ref="AIN130:AIO130"/>
    <mergeCell ref="AIN134:AIO134"/>
    <mergeCell ref="AIN138:AIO138"/>
    <mergeCell ref="AIN142:AIO142"/>
    <mergeCell ref="AIN146:AIO146"/>
    <mergeCell ref="AIN150:AIO150"/>
    <mergeCell ref="AIN154:AIO154"/>
    <mergeCell ref="AIN158:AIO158"/>
    <mergeCell ref="AIN165:AIO165"/>
    <mergeCell ref="AIN169:AIO169"/>
    <mergeCell ref="AIN173:AIO173"/>
    <mergeCell ref="AIN177:AIO177"/>
    <mergeCell ref="AIQ182:AIR182"/>
    <mergeCell ref="AIN186:AIO186"/>
    <mergeCell ref="AIN192:AIO192"/>
    <mergeCell ref="AIN196:AIO196"/>
    <mergeCell ref="AIN200:AIO200"/>
    <mergeCell ref="AIN204:AIO204"/>
    <mergeCell ref="AIN208:AIO208"/>
    <mergeCell ref="AIN212:AIO212"/>
    <mergeCell ref="AIN220:AIO220"/>
    <mergeCell ref="AIN224:AIO224"/>
    <mergeCell ref="AIN228:AIO228"/>
    <mergeCell ref="AIN232:AIO232"/>
    <mergeCell ref="AIN238:AIO238"/>
    <mergeCell ref="GJ43:GK43"/>
    <mergeCell ref="GJ39:GK39"/>
    <mergeCell ref="GJ23:GK23"/>
    <mergeCell ref="MB139:MC139"/>
    <mergeCell ref="HA139:HA140"/>
    <mergeCell ref="GG139:GS140"/>
    <mergeCell ref="JN139:JT139"/>
    <mergeCell ref="JN140:JT142"/>
    <mergeCell ref="UK39:UN39"/>
    <mergeCell ref="UA39:UB39"/>
    <mergeCell ref="UK28:UN28"/>
    <mergeCell ref="UA29:UB29"/>
    <mergeCell ref="MW187:MZ187"/>
    <mergeCell ref="MW188:MZ189"/>
    <mergeCell ref="MO169:MP169"/>
    <mergeCell ref="MU167:MW167"/>
    <mergeCell ref="MI167:MK167"/>
    <mergeCell ref="NE161:NF161"/>
    <mergeCell ref="NE160:NF160"/>
    <mergeCell ref="MP188:MQ189"/>
    <mergeCell ref="MA147:MB147"/>
    <mergeCell ref="MB143:MC143"/>
    <mergeCell ref="PP24:PQ24"/>
    <mergeCell ref="PP25:PQ25"/>
    <mergeCell ref="ML26:MM26"/>
    <mergeCell ref="NE162:NF162"/>
    <mergeCell ref="PM201:PN201"/>
    <mergeCell ref="MQ178:MR179"/>
    <mergeCell ref="MM146:MN146"/>
    <mergeCell ref="MC182:MC183"/>
    <mergeCell ref="MC177:MC179"/>
    <mergeCell ref="MO177:MP177"/>
    <mergeCell ref="MC173:MC175"/>
    <mergeCell ref="MO173:MP173"/>
  </mergeCells>
  <conditionalFormatting sqref="PT144 PT133 PY22 PY15">
    <cfRule type="containsText" dxfId="5" priority="9" operator="containsText" text="Данная переменная не используется в расчете">
      <formula>NOT(ISERROR(SEARCH("Данная переменная не используется в расчете",PT15)))</formula>
    </cfRule>
  </conditionalFormatting>
  <conditionalFormatting sqref="PY22 PY15 PT133 PT144">
    <cfRule type="containsText" dxfId="4" priority="8" operator="containsText" text="Расчет по формуле данной последовательности">
      <formula>NOT(ISERROR(SEARCH("Расчет по формуле данной последовательности",PT15)))</formula>
    </cfRule>
  </conditionalFormatting>
  <hyperlinks>
    <hyperlink ref="U6" r:id="rId1"/>
    <hyperlink ref="BT6" r:id="rId2"/>
    <hyperlink ref="V6" r:id="rId3"/>
    <hyperlink ref="AW45" location="'Описание компонентов'!A1" display=""/>
    <hyperlink ref="AW49" location="'Описание компонентов'!A1" display=""/>
    <hyperlink ref="AW53" location="'Описание компонентов'!A1" display=""/>
    <hyperlink ref="AT41" location="'Описание компонентов'!A1" display=""/>
    <hyperlink ref="AW57" location="'Описание компонентов'!A1" display=""/>
    <hyperlink ref="AW61" location="'Описание компонентов'!A1" display=""/>
    <hyperlink ref="AW68" location="'Описание компонентов'!A1" display=""/>
    <hyperlink ref="AU73" location="'Описание компонентов'!A1" display=""/>
    <hyperlink ref="AT77" location="'Описание компонентов'!A1" display=""/>
    <hyperlink ref="AT81" location="'Описание компонентов'!A1" display=""/>
    <hyperlink ref="W4" r:id="rId4"/>
    <hyperlink ref="AU53" location="'Программные таблицы'!O38:S44" display=""/>
    <hyperlink ref="AT89" location="'Описание компонентов'!A1" display=""/>
    <hyperlink ref="CL79" location="'Описание компонентов'!A1" display=""/>
    <hyperlink ref="CI39" location="'Описание компонентов'!A1" display=""/>
    <hyperlink ref="CI51" location="'Описание компонентов'!A1" display=""/>
    <hyperlink ref="CI47" location="'Описание компонентов'!A1" display=""/>
    <hyperlink ref="AU61" location="'Программные таблицы'!CJ14:CQ25" display=""/>
    <hyperlink ref="BT2" r:id="rId5"/>
    <hyperlink ref="BT3" r:id="rId6"/>
    <hyperlink ref="BT5" r:id="rId7"/>
    <hyperlink ref="DV3" r:id="rId8"/>
    <hyperlink ref="DV4" r:id="rId9"/>
    <hyperlink ref="DV5" r:id="rId10"/>
    <hyperlink ref="DV6" r:id="rId11"/>
    <hyperlink ref="CL55" location="'Описание компонентов'!A1" display=""/>
    <hyperlink ref="CI59" location="'Описание компонентов'!A1" display=""/>
    <hyperlink ref="CL63" location="'Описание компонентов'!A1" display=""/>
    <hyperlink ref="CI67" location="'Описание компонентов'!A1" display=""/>
    <hyperlink ref="CI71" location="'Описание компонентов'!A1" display=""/>
    <hyperlink ref="CI75" location="'Описание компонентов'!A1" display=""/>
    <hyperlink ref="CJ55" location="'Программные таблицы'!AJ50" display=""/>
    <hyperlink ref="CI83" location="'Описание компонентов'!A1" display=""/>
    <hyperlink ref="CI91" location="'Описание компонентов'!A1" display=""/>
    <hyperlink ref="CI87" location="'Описание компонентов'!A1" display=""/>
    <hyperlink ref="AU45" location="'Программные таблицы'!AE58:AN70" display=""/>
    <hyperlink ref="CJ79" location="'Программные таблицы'!H48" display=""/>
    <hyperlink ref="CI95" location="'Описание компонентов'!A1" display=""/>
    <hyperlink ref="CL99" location="'Описание компонентов'!A1" display=""/>
    <hyperlink ref="CI125" location="'Описание компонентов'!A1" display=""/>
    <hyperlink ref="CI103" location="'Описание компонентов'!A1" display=""/>
    <hyperlink ref="CL109" location="'Описание компонентов'!A1" display=""/>
    <hyperlink ref="CL121" location="'Описание компонентов'!A1" display=""/>
    <hyperlink ref="CJ99" location="'Программные таблицы'!AX55:BP77" display=""/>
    <hyperlink ref="CI129" location="'Описание компонентов'!A1" display=""/>
    <hyperlink ref="CJ109" location="'Программные таблицы'!B60:U81" display=""/>
    <hyperlink ref="EO40" location="'Описание компонентов'!A1" display=""/>
    <hyperlink ref="EO44" location="'Описание компонентов'!A1" display=""/>
    <hyperlink ref="CL43" location="'Описание компонентов'!A1" display=""/>
    <hyperlink ref="EK48" location="'Описание компонентов'!A1" display=""/>
    <hyperlink ref="EK61" location="'Описание компонентов'!A1" display=""/>
    <hyperlink ref="EK70" location="'Описание компонентов'!A1" display=""/>
    <hyperlink ref="EK81" location="'Описание компонентов'!A1" display=""/>
    <hyperlink ref="EK90" location="'Описание компонентов'!A1" display=""/>
    <hyperlink ref="EK98" location="'Описание компонентов'!A1" display=""/>
    <hyperlink ref="EK106" location="'Описание компонентов'!A1" display=""/>
    <hyperlink ref="EK110" location="'Описание компонентов'!A1" display=""/>
    <hyperlink ref="EK118" location="'Описание компонентов'!A1" display=""/>
    <hyperlink ref="EK122" location="'Описание компонентов'!A1" display=""/>
    <hyperlink ref="EN126" location="'Описание компонентов'!AD20" display=""/>
    <hyperlink ref="EN53" location="'Описание компонентов'!A1" display=""/>
    <hyperlink ref="EN57" location="'Описание компонентов'!A1" display=""/>
    <hyperlink ref="FT28" location="'Описание компонентов'!A1" display=""/>
    <hyperlink ref="GD3" r:id="rId12"/>
    <hyperlink ref="GD4" r:id="rId13"/>
    <hyperlink ref="GD6" r:id="rId14"/>
    <hyperlink ref="IP3" r:id="rId15"/>
    <hyperlink ref="IP4" r:id="rId16"/>
    <hyperlink ref="IP5" r:id="rId17"/>
    <hyperlink ref="IP6" r:id="rId18"/>
    <hyperlink ref="LX3" r:id="rId19"/>
    <hyperlink ref="LX4" r:id="rId20"/>
    <hyperlink ref="LX5" r:id="rId21"/>
    <hyperlink ref="LX6" r:id="rId22"/>
    <hyperlink ref="PD3" r:id="rId23"/>
    <hyperlink ref="PD4" r:id="rId24"/>
    <hyperlink ref="PD5" r:id="rId25"/>
    <hyperlink ref="PD6" r:id="rId26"/>
    <hyperlink ref="SR3" r:id="rId27"/>
    <hyperlink ref="SR4" r:id="rId28"/>
    <hyperlink ref="SR5" r:id="rId29"/>
    <hyperlink ref="SR6" r:id="rId30"/>
    <hyperlink ref="GQ47" location="'Описание компонентов'!A1" display=""/>
    <hyperlink ref="GT43" location="'Описание компонентов'!A1" display=""/>
    <hyperlink ref="MK58" location="'Описание компонентов'!A1" display=""/>
    <hyperlink ref="MK52" location="'Описание компонентов'!A1" display=""/>
    <hyperlink ref="PX88" location="'Описание компонентов'!A1" display=""/>
    <hyperlink ref="WO91" location="'Описание компонентов'!A1" display=""/>
    <hyperlink ref="BK2" r:id="rId31"/>
    <hyperlink ref="DM3" r:id="rId32"/>
    <hyperlink ref="FU4" r:id="rId33"/>
    <hyperlink ref="IG4" r:id="rId34"/>
    <hyperlink ref="LO4" r:id="rId35"/>
    <hyperlink ref="OU4" r:id="rId36"/>
    <hyperlink ref="RP3" r:id="rId37"/>
    <hyperlink ref="XZ50" location="'Описание компонентов'!A1" display=""/>
    <hyperlink ref="AJZ49" location="'Описание компонентов'!A1" display=""/>
    <hyperlink ref="AIX44" location="'Описание компонентов'!A1" display=""/>
    <hyperlink ref="N46" location="'Описание компонентов'!AD25:AO39" display=""/>
    <hyperlink ref="XW3" r:id="rId38"/>
    <hyperlink ref="XW4" r:id="rId39"/>
    <hyperlink ref="XW5" r:id="rId40"/>
    <hyperlink ref="XW6" r:id="rId41"/>
    <hyperlink ref="XN4" r:id="rId42"/>
    <hyperlink ref="ACS3" r:id="rId43"/>
    <hyperlink ref="ACS4" r:id="rId44"/>
    <hyperlink ref="ACS5" r:id="rId45"/>
    <hyperlink ref="ACS6" r:id="rId46"/>
    <hyperlink ref="ACJ4" r:id="rId47"/>
    <hyperlink ref="AMJ4" r:id="rId48"/>
    <hyperlink ref="AMJ5" r:id="rId49"/>
    <hyperlink ref="AMJ6" r:id="rId50"/>
    <hyperlink ref="AMJ7" r:id="rId51"/>
    <hyperlink ref="AMA5" r:id="rId52"/>
    <hyperlink ref="GQ51" location="'Описание компонентов'!A1" display=""/>
    <hyperlink ref="GT55" location="'Описание компонентов'!A1" display=""/>
    <hyperlink ref="GT68" location="'Описание компонентов'!A1" display=""/>
    <hyperlink ref="GT64" location="'Описание компонентов'!A1" display=""/>
    <hyperlink ref="GQ59" location="'Описание компонентов'!A1" display=""/>
    <hyperlink ref="GT72" location="'Описание компонентов'!A1" display=""/>
    <hyperlink ref="GT76" location="'Описание компонентов'!A1" display=""/>
    <hyperlink ref="GQ84" location="'Описание компонентов'!A1" display=""/>
    <hyperlink ref="GQ80" location="'Описание компонентов'!A1" display=""/>
    <hyperlink ref="GQ89" location="'Описание компонентов'!A1" display=""/>
    <hyperlink ref="GQ95" location="'Описание компонентов'!A1" display=""/>
    <hyperlink ref="GQ110" location="'Описание компонентов'!A1" display=""/>
    <hyperlink ref="GQ105" location="'Описание компонентов'!A1" display=""/>
    <hyperlink ref="GQ100" location="'Описание компонентов'!A1" display=""/>
    <hyperlink ref="GQ114" location="'Описание компонентов'!A1" display=""/>
    <hyperlink ref="GQ118" location="'Описание компонентов'!A1" display=""/>
    <hyperlink ref="GQ130" location="'Описание компонентов'!A1" display=""/>
    <hyperlink ref="GQ126" location="'Описание компонентов'!A1" display=""/>
    <hyperlink ref="GQ122" location="'Описание компонентов'!A1" display=""/>
    <hyperlink ref="GQ134" location="'Описание компонентов'!A1" display=""/>
    <hyperlink ref="GQ138" location="'Описание компонентов'!A1" display=""/>
    <hyperlink ref="MK68" location="'Описание компонентов'!A1" display=""/>
    <hyperlink ref="MK78" location="'Описание компонентов'!A1" display=""/>
    <hyperlink ref="MK91" location="'Описание компонентов'!A1" display=""/>
    <hyperlink ref="MK85" location="'Описание компонентов'!A1" display=""/>
    <hyperlink ref="PU30" location="'Описание компонентов'!A1" display=""/>
    <hyperlink ref="MK208" location="'Описание компонентов'!A1" display=""/>
    <hyperlink ref="MK97" location="'Описание компонентов'!A1" display=""/>
    <hyperlink ref="NV118" location="'Описание компонентов'!A1" display=""/>
    <hyperlink ref="MK122" location="'Описание компонентов'!A1" display=""/>
    <hyperlink ref="MK118" location="'Описание компонентов'!A1" display=""/>
    <hyperlink ref="NV122" location="'Описание компонентов'!A1" display=""/>
    <hyperlink ref="ML136" location="'Описание компонентов'!A1" display=""/>
    <hyperlink ref="MY128" location="'Описание компонентов'!A1" display=""/>
    <hyperlink ref="MN110" location="'Описание компонентов'!A1" display=""/>
    <hyperlink ref="PX92" location="'Описание компонентов'!A1" display=""/>
    <hyperlink ref="PU98" location="'Описание компонентов'!A1" display=""/>
    <hyperlink ref="PU103" location="'Описание компонентов'!A1" display=""/>
    <hyperlink ref="PU108" location="'Описание компонентов'!A1" display=""/>
    <hyperlink ref="PU112" location="'Описание компонентов'!A1" display=""/>
    <hyperlink ref="PU119" location="'Описание компонентов'!A1" display=""/>
    <hyperlink ref="PU134" location="'Описание компонентов'!A1" display=""/>
    <hyperlink ref="PU125" location="'Описание компонентов'!A1" display=""/>
    <hyperlink ref="AIX51" location="'Описание компонентов'!A1" display=""/>
    <hyperlink ref="AIX60" location="'Описание компонентов'!A1" display=""/>
    <hyperlink ref="AJA72" location="'Описание компонентов'!A1" display=""/>
    <hyperlink ref="AJA76" location="'Описание компонентов'!A1" display=""/>
    <hyperlink ref="AIX82" location="'Описание компонентов'!A1" display=""/>
    <hyperlink ref="AIX87" location="'Описание компонентов'!A1" display=""/>
    <hyperlink ref="AIX102" location="'Описание компонентов'!A1" display=""/>
    <hyperlink ref="AIX98" location="'Описание компонентов'!A1" display=""/>
    <hyperlink ref="AIX106" location="'Описание компонентов'!A1" display=""/>
    <hyperlink ref="AJA110" location="'Описание компонентов'!A1" display=""/>
    <hyperlink ref="AJA114" location="'Описание компонентов'!A1" display=""/>
    <hyperlink ref="AJA118" location="'Описание компонентов'!A1" display=""/>
    <hyperlink ref="AIX122" location="'Описание компонентов'!A1" display=""/>
    <hyperlink ref="AIX126" location="'Описание компонентов'!A1" display=""/>
    <hyperlink ref="AIX134" location="'Описание компонентов'!A1" display=""/>
    <hyperlink ref="AIX130" location="'Описание компонентов'!A1" display=""/>
    <hyperlink ref="XZ56" location="'Описание компонентов'!A1" display=""/>
    <hyperlink ref="XZ61" location="'Описание компонентов'!A1" display=""/>
    <hyperlink ref="XZ66" location="'Описание компонентов'!A1" display=""/>
    <hyperlink ref="XZ71" location="'Описание компонентов'!A1" display=""/>
    <hyperlink ref="XZ77" location="'Описание компонентов'!A1" display=""/>
    <hyperlink ref="XZ83" location="'Описание компонентов'!A1" display=""/>
    <hyperlink ref="XZ107" location="'Описание компонентов'!A1" display=""/>
    <hyperlink ref="XZ92" location="'Описание компонентов'!A1" display=""/>
    <hyperlink ref="XA136" location="'Описание компонентов'!A1" display=""/>
    <hyperlink ref="XZ113" location="'Описание компонентов'!A1" display=""/>
    <hyperlink ref="XZ120" location="'Описание компонентов'!A1" display=""/>
    <hyperlink ref="WL147" location="'Описание компонентов'!A1" display=""/>
    <hyperlink ref="XZ167" location="'Описание компонентов'!A1" display=""/>
    <hyperlink ref="YC161" location="'Описание компонентов'!A1" display=""/>
    <hyperlink ref="XZ179" location="'Описание компонентов'!A1" display=""/>
    <hyperlink ref="XZ174" location="'Описание компонентов'!A1" display=""/>
    <hyperlink ref="YC187" location="'Описание компонентов'!A1" display=""/>
    <hyperlink ref="XZ191" location="'Описание компонентов'!A1" display=""/>
    <hyperlink ref="XZ197" location="'Описание компонентов'!A1" display=""/>
    <hyperlink ref="XZ211" location="'Описание компонентов'!A1" display=""/>
    <hyperlink ref="XZ222" location="'Описание компонентов'!A1" display=""/>
    <hyperlink ref="XZ217" location="'Описание компонентов'!A1" display=""/>
    <hyperlink ref="XZ236" location="'Описание компонентов'!A1" display=""/>
    <hyperlink ref="XZ232" location="'Описание компонентов'!A1" display=""/>
    <hyperlink ref="XZ226" location="'Описание компонентов'!A1" display=""/>
    <hyperlink ref="XZ243" location="'Описание компонентов'!A1" display=""/>
    <hyperlink ref="XZ249" location="'Описание компонентов'!A1" display=""/>
    <hyperlink ref="XZ124" location="'Описание компонентов'!A1" display=""/>
    <hyperlink ref="XZ256" location="'Описание компонентов'!A1" display=""/>
    <hyperlink ref="XZ261" location="'Описание компонентов'!A1" display=""/>
    <hyperlink ref="XZ273" location="'Описание компонентов'!A1" display=""/>
    <hyperlink ref="XZ268" location="'Описание компонентов'!A1" display=""/>
    <hyperlink ref="XZ277" location="'Описание компонентов'!A1" display=""/>
    <hyperlink ref="XZ289" location="'Описание компонентов'!A1" display=""/>
    <hyperlink ref="XZ299" location="'Описание компонентов'!A1" display=""/>
    <hyperlink ref="XZ304" location="'Описание компонентов'!A1" display=""/>
    <hyperlink ref="XZ320" location="'Описание компонентов'!A1" display=""/>
    <hyperlink ref="AIX196" location="'Описание компонентов'!A1" display=""/>
    <hyperlink ref="AIX208" location="'Описание компонентов'!A1" display=""/>
    <hyperlink ref="AIX204" location="'Описание компонентов'!A1" display=""/>
    <hyperlink ref="AIX212" location="'Описание компонентов'!A1" display=""/>
    <hyperlink ref="AJA216" location="'Описание компонентов'!A1" display=""/>
    <hyperlink ref="AIX220" location="'Описание компонентов'!A1" display=""/>
    <hyperlink ref="AIX224" location="'Описание компонентов'!A1" display=""/>
    <hyperlink ref="AIX228" location="'Описание компонентов'!A1" display=""/>
    <hyperlink ref="AIX232" location="'Описание компонентов'!A1" display=""/>
    <hyperlink ref="AKH220" location="'Описание компонентов'!A1" display=""/>
    <hyperlink ref="AIX142" location="'Описание компонентов'!A1" display=""/>
    <hyperlink ref="AKH224" location="'Описание компонентов'!A1" display=""/>
    <hyperlink ref="AIX146" location="'Описание компонентов'!A1" display=""/>
    <hyperlink ref="AIX150" location="'Описание компонентов'!A1" display=""/>
    <hyperlink ref="AIX158" location="'Описание компонентов'!A1" display=""/>
    <hyperlink ref="AIX165" location="'Описание компонентов'!A1" display=""/>
    <hyperlink ref="AIX169" location="'Описание компонентов'!A1" display=""/>
    <hyperlink ref="AIX177" location="'Описание компонентов'!A1" display=""/>
    <hyperlink ref="AIX192" location="'Описание компонентов'!A1" display=""/>
    <hyperlink ref="AIX186" location="'Описание компонентов'!A1" display=""/>
    <hyperlink ref="MN163" location="'Описание компонентов'!A1" display=""/>
    <hyperlink ref="MK141" location="'Описание компонентов'!A1" display=""/>
    <hyperlink ref="MK152" location="'Описание компонентов'!A1" display=""/>
    <hyperlink ref="ML146" location="'Описание компонентов'!A1" display=""/>
    <hyperlink ref="MN169" location="'Описание компонентов'!A1" display=""/>
    <hyperlink ref="MK157" location="'Описание компонентов'!A1" display=""/>
    <hyperlink ref="MN173" location="'Описание компонентов'!A1" display=""/>
    <hyperlink ref="MN177" location="'Описание компонентов'!A1" display=""/>
    <hyperlink ref="MK187" location="'Описание компонентов'!A1" display=""/>
    <hyperlink ref="MN181" location="'Описание компонентов'!A1" display=""/>
    <hyperlink ref="MN199" location="'Описание компонентов'!A1" display=""/>
    <hyperlink ref="MK193" location="'Описание компонентов'!A1" display=""/>
    <hyperlink ref="MK216" location="'Описание компонентов'!A1" display=""/>
    <hyperlink ref="MK203" location="'Описание компонентов'!A1" display=""/>
    <hyperlink ref="MK228" location="'Описание компонентов'!A1" display=""/>
    <hyperlink ref="MK221" location="'Описание компонентов'!A1" display=""/>
    <hyperlink ref="PU145" location="'Описание компонентов'!A1" display=""/>
    <hyperlink ref="MK235" location="'Описание компонентов'!A1" display=""/>
    <hyperlink ref="PU140" location="'Описание компонентов'!A1" display=""/>
    <hyperlink ref="PU172" location="'Описание компонентов'!A1" display=""/>
    <hyperlink ref="PU179" location="'Описание компонентов'!A1" display=""/>
    <hyperlink ref="PU183" location="'Описание компонентов'!A1" display=""/>
    <hyperlink ref="PU188" location="'Описание компонентов'!A1" display=""/>
    <hyperlink ref="PU194" location="'Описание компонентов'!A1" display=""/>
    <hyperlink ref="PX60" location="'Описание компонентов'!A1" display=""/>
    <hyperlink ref="PX56" location="'Описание компонентов'!A1" display=""/>
    <hyperlink ref="PX36" location="'Описание компонентов'!A1" display=""/>
    <hyperlink ref="PX40" location="'Описание компонентов'!A1" display=""/>
    <hyperlink ref="PV44" location="'Описание компонентов'!A1" display=""/>
    <hyperlink ref="PX64" location="'Описание компонентов'!A1" display=""/>
    <hyperlink ref="AIX200" location="'Описание компонентов'!A1" display=""/>
    <hyperlink ref="AIX238" location="'Описание компонентов'!A1" display=""/>
    <hyperlink ref="JC164" location="'Описание компонентов'!A1" display=""/>
    <hyperlink ref="JC146" location="'Описание компонентов'!A1" display=""/>
    <hyperlink ref="JC152" location="'Описание компонентов'!A1" display=""/>
    <hyperlink ref="JC158" location="'Описание компонентов'!A1" display=""/>
    <hyperlink ref="JC139" location="'Описание компонентов'!A1" display=""/>
    <hyperlink ref="JC99" location="'Описание компонентов'!A1" display=""/>
    <hyperlink ref="JC95" location="'Описание компонентов'!A1" display=""/>
    <hyperlink ref="JC90" location="'Описание компонентов'!A1" display=""/>
    <hyperlink ref="JC86" location="'Описание компонентов'!A1" display=""/>
    <hyperlink ref="JC50" location="'Описание компонентов'!A1" display=""/>
    <hyperlink ref="JF130" location="'Описание компонентов'!A1" display=""/>
    <hyperlink ref="JF135" location="'Описание компонентов'!A1" display=""/>
    <hyperlink ref="JC124" location="'Описание компонентов'!A1" display=""/>
    <hyperlink ref="JC46" location="'Описание компонентов'!A1" display=""/>
    <hyperlink ref="JC65" location="'Описание компонентов'!A1" display=""/>
    <hyperlink ref="JC57" location="'Описание компонентов'!A1" display=""/>
    <hyperlink ref="JF61" location="'Описание компонентов'!A1" display=""/>
    <hyperlink ref="JC117" location="'Описание компонентов'!A1" display=""/>
    <hyperlink ref="JC13" location="'Описание компонентов'!A1" display=""/>
    <hyperlink ref="JF17" location="'Описание компонентов'!A1" display=""/>
    <hyperlink ref="JC105" location="'Описание компонентов'!A1" display=""/>
    <hyperlink ref="JC113" location="'Описание компонентов'!A1" display=""/>
    <hyperlink ref="AIX154" location="'Описание компонентов'!A1" display=""/>
    <hyperlink ref="AIX173" location="'Описание компонентов'!A1" display=""/>
    <hyperlink ref="AIX138" location="'Описание компонентов'!A1" display=""/>
    <hyperlink ref="AIX64" location="'Описание компонентов'!A1" display=""/>
    <hyperlink ref="AIX68" location="'Описание компонентов'!A1" display=""/>
    <hyperlink ref="AIX55" location="'Описание компонентов'!A1" display=""/>
    <hyperlink ref="AJA182" location="'Описание компонентов'!A1" display=""/>
    <hyperlink ref="AIV142" location="'Вывод расчетов (1-11)'!TI56:UC97" display=""/>
    <hyperlink ref="WZ189" location="'Описание компонентов'!A1" display=""/>
    <hyperlink ref="WZ193" location="'Описание компонентов'!A1" display=""/>
    <hyperlink ref="JD130" location="'Программные таблицы'!N279:X302" display=""/>
    <hyperlink ref="JD135" location="'Программные таблицы'!N279:X302" display=""/>
    <hyperlink ref="JD61" location="'Программные таблицы'!Z279:AJ302" display=""/>
    <hyperlink ref="JD17" location="'Программные таблицы'!Z279:AJ302" display=""/>
    <hyperlink ref="WZ197" location="'Описание компонентов'!A1" display=""/>
    <hyperlink ref="CL113" location="'Описание компонентов'!A1" display=""/>
    <hyperlink ref="CL117" location="'Описание компонентов'!A1" display=""/>
    <hyperlink ref="L52" location="'Описание компонентов'!AD25:AO39" display=""/>
    <hyperlink ref="L46" location="'Описание компонентов'!AD25:AO39" display=""/>
    <hyperlink ref="N52" location="'Описание компонентов'!AD25:AO39" display=""/>
    <hyperlink ref="AW85" location="'Описание компонентов'!A1" display=""/>
    <hyperlink ref="K4" r:id="rId53"/>
    <hyperlink ref="K5" r:id="rId54"/>
    <hyperlink ref="K7" r:id="rId55"/>
    <hyperlink ref="ML18" location="'Программные таблицы'!B417:J430" display=""/>
    <hyperlink ref="ML64" location="'Программные таблицы'!B417:J430" display=""/>
    <hyperlink ref="ML74" location="'Программные таблицы'!B417:J430" display=""/>
    <hyperlink ref="ML169" location="'Программные таблицы'!BG302:BP330" display=""/>
    <hyperlink ref="ML177" location="'Программные таблицы'!BG302:BP330" display=""/>
    <hyperlink ref="ML173" location="'Программные таблицы'!BG302:BP330" display=""/>
    <hyperlink ref="ML181" location="'Программные таблицы'!BG302:BP330" display=""/>
    <hyperlink ref="XZ99" location="'Описание компонентов'!A1" display=""/>
    <hyperlink ref="PU164" location="'Описание компонентов'!A1" display=""/>
    <hyperlink ref="PU159" location="'Описание компонентов'!A1" display=""/>
    <hyperlink ref="NN39" location="'Описание компонентов'!A1" display=""/>
    <hyperlink ref="YC103" location="'Описание компонентов'!A1" display=""/>
    <hyperlink ref="YA103" location="'Программные таблицы'!AQ419:AU426" display=""/>
    <hyperlink ref="XW309" location="'Описание компонентов'!A1" display=""/>
    <hyperlink ref="XX313" location="'Описание компонентов'!A1" display=""/>
    <hyperlink ref="XA140" location="'Описание компонентов'!A1" display=""/>
    <hyperlink ref="XZ293" location="'Описание компонентов'!A1" display=""/>
    <hyperlink ref="XZ136" location="'Описание компонентов'!A1" display=""/>
    <hyperlink ref="XZ131" location="'Описание компонентов'!A1" display=""/>
    <hyperlink ref="XZ140" location="'Описание компонентов'!A1" display=""/>
    <hyperlink ref="XZ145" location="'Описание компонентов'!A1" display=""/>
    <hyperlink ref="XZ150" location="'Описание компонентов'!A1" display=""/>
    <hyperlink ref="XZ282" location="'Описание компонентов'!A1" display=""/>
    <hyperlink ref="XZ202" location="'Описание компонентов'!A1" display=""/>
    <hyperlink ref="DV7" r:id="rId56"/>
    <hyperlink ref="GD7" r:id="rId57"/>
    <hyperlink ref="IP7" r:id="rId58"/>
    <hyperlink ref="LX7" r:id="rId59"/>
    <hyperlink ref="PD7" r:id="rId60"/>
    <hyperlink ref="SR7" r:id="rId61"/>
    <hyperlink ref="XW7" r:id="rId62"/>
    <hyperlink ref="ACS7" r:id="rId63"/>
    <hyperlink ref="PU150" location="'Описание компонентов'!A1" display=""/>
    <hyperlink ref="PU154" location="'Описание компонентов'!A1" display=""/>
    <hyperlink ref="PV56" location="'Программные таблицы'!L416:Q420" display=""/>
    <hyperlink ref="PV60" location="'Программные таблицы'!L416:Q420" display=""/>
    <hyperlink ref="PU199" location="'Описание компонентов'!A1" display=""/>
    <hyperlink ref="AR89" location="'Программные таблицы'!AR34:AY41" display=""/>
    <hyperlink ref="CJ113" location="'Программные таблицы'!B60:U81" display=""/>
    <hyperlink ref="CJ117" location="'Программные таблицы'!B60:U81" display=""/>
    <hyperlink ref="BT4" r:id="rId64"/>
    <hyperlink ref="K6" r:id="rId65"/>
    <hyperlink ref="GD5" r:id="rId66"/>
    <hyperlink ref="AU49" location="'Программные таблицы'!AE58:AN70" display=""/>
    <hyperlink ref="AU57" location="'Программные таблицы'!CJ14:CQ25" display=""/>
    <hyperlink ref="AU29" location="'Программные таблицы'!B38:L46" display=""/>
    <hyperlink ref="CJ11" location="'Программные таблицы'!AP49:AV59" display=""/>
    <hyperlink ref="CJ15" location="'Программные таблицы'!AP49:AV59" display=""/>
    <hyperlink ref="GR11" location="'Программные таблицы'!AI174:AM182" display=""/>
    <hyperlink ref="ML46" location="'Программные таблицы'!B306:J313" display=""/>
    <hyperlink ref="GR43" location="'Программные таблицы'!B245:I248" display=""/>
    <hyperlink ref="GR55" location="'Программные таблицы'!W188:AB195" display=""/>
    <hyperlink ref="GR23" location="'Программные таблицы'!B220:R241" display=""/>
    <hyperlink ref="AU20" location="'Программные таблицы'!B2:R5" display=""/>
    <hyperlink ref="AX25" location="'Программные таблицы'!B2:R5" display=""/>
  </hyperlinks>
  <pageMargins left="0.7" right="0.7" top="0.75" bottom="0.75" header="0.3" footer="0.3"/>
  <pageSetup paperSize="9" orientation="landscape" r:id="rId67"/>
  <ignoredErrors>
    <ignoredError sqref="BY103 BY129" twoDigitTextYear="1"/>
  </ignoredErrors>
  <drawing r:id="rId68"/>
  <legacyDrawing r:id="rId69"/>
  <oleObjects>
    <mc:AlternateContent xmlns:mc="http://schemas.openxmlformats.org/markup-compatibility/2006">
      <mc:Choice Requires="x14">
        <oleObject progId="Equation.DSMT4" shapeId="1172" r:id="rId70">
          <objectPr defaultSize="0" autoPict="0" r:id="rId71">
            <anchor moveWithCells="1">
              <from>
                <xdr:col>210</xdr:col>
                <xdr:colOff>304800</xdr:colOff>
                <xdr:row>110</xdr:row>
                <xdr:rowOff>161925</xdr:rowOff>
              </from>
              <to>
                <xdr:col>212</xdr:col>
                <xdr:colOff>238125</xdr:colOff>
                <xdr:row>111</xdr:row>
                <xdr:rowOff>466725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209</xdr:col>
                <xdr:colOff>171450</xdr:colOff>
                <xdr:row>114</xdr:row>
                <xdr:rowOff>171450</xdr:rowOff>
              </from>
              <to>
                <xdr:col>211</xdr:col>
                <xdr:colOff>257175</xdr:colOff>
                <xdr:row>115</xdr:row>
                <xdr:rowOff>381000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97</xdr:col>
                <xdr:colOff>276225</xdr:colOff>
                <xdr:row>19</xdr:row>
                <xdr:rowOff>95250</xdr:rowOff>
              </from>
              <to>
                <xdr:col>100</xdr:col>
                <xdr:colOff>171450</xdr:colOff>
                <xdr:row>20</xdr:row>
                <xdr:rowOff>400050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190500</xdr:colOff>
                <xdr:row>40</xdr:row>
                <xdr:rowOff>390525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67</xdr:row>
                <xdr:rowOff>190500</xdr:rowOff>
              </from>
              <to>
                <xdr:col>99</xdr:col>
                <xdr:colOff>447675</xdr:colOff>
                <xdr:row>68</xdr:row>
                <xdr:rowOff>428625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97</xdr:col>
                <xdr:colOff>95250</xdr:colOff>
                <xdr:row>71</xdr:row>
                <xdr:rowOff>142875</xdr:rowOff>
              </from>
              <to>
                <xdr:col>100</xdr:col>
                <xdr:colOff>438150</xdr:colOff>
                <xdr:row>72</xdr:row>
                <xdr:rowOff>409575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91</xdr:row>
                <xdr:rowOff>180975</xdr:rowOff>
              </from>
              <to>
                <xdr:col>99</xdr:col>
                <xdr:colOff>142875</xdr:colOff>
                <xdr:row>92</xdr:row>
                <xdr:rowOff>352425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98</xdr:col>
                <xdr:colOff>304800</xdr:colOff>
                <xdr:row>95</xdr:row>
                <xdr:rowOff>161925</xdr:rowOff>
              </from>
              <to>
                <xdr:col>101</xdr:col>
                <xdr:colOff>19050</xdr:colOff>
                <xdr:row>96</xdr:row>
                <xdr:rowOff>342900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97</xdr:col>
                <xdr:colOff>161925</xdr:colOff>
                <xdr:row>129</xdr:row>
                <xdr:rowOff>142875</xdr:rowOff>
              </from>
              <to>
                <xdr:col>100</xdr:col>
                <xdr:colOff>400050</xdr:colOff>
                <xdr:row>130</xdr:row>
                <xdr:rowOff>476250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209</xdr:col>
                <xdr:colOff>219075</xdr:colOff>
                <xdr:row>118</xdr:row>
                <xdr:rowOff>123825</xdr:rowOff>
              </from>
              <to>
                <xdr:col>211</xdr:col>
                <xdr:colOff>209550</xdr:colOff>
                <xdr:row>119</xdr:row>
                <xdr:rowOff>333375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209</xdr:col>
                <xdr:colOff>400050</xdr:colOff>
                <xdr:row>122</xdr:row>
                <xdr:rowOff>180975</xdr:rowOff>
              </from>
              <to>
                <xdr:col>212</xdr:col>
                <xdr:colOff>228600</xdr:colOff>
                <xdr:row>123</xdr:row>
                <xdr:rowOff>381000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209</xdr:col>
                <xdr:colOff>304800</xdr:colOff>
                <xdr:row>27</xdr:row>
                <xdr:rowOff>342900</xdr:rowOff>
              </from>
              <to>
                <xdr:col>212</xdr:col>
                <xdr:colOff>209550</xdr:colOff>
                <xdr:row>28</xdr:row>
                <xdr:rowOff>209550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209</xdr:col>
                <xdr:colOff>200025</xdr:colOff>
                <xdr:row>31</xdr:row>
                <xdr:rowOff>133350</xdr:rowOff>
              </from>
              <to>
                <xdr:col>211</xdr:col>
                <xdr:colOff>457200</xdr:colOff>
                <xdr:row>32</xdr:row>
                <xdr:rowOff>476250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273</xdr:col>
                <xdr:colOff>266700</xdr:colOff>
                <xdr:row>40</xdr:row>
                <xdr:rowOff>238125</xdr:rowOff>
              </from>
              <to>
                <xdr:col>276</xdr:col>
                <xdr:colOff>361950</xdr:colOff>
                <xdr:row>41</xdr:row>
                <xdr:rowOff>342900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273</xdr:col>
                <xdr:colOff>200025</xdr:colOff>
                <xdr:row>76</xdr:row>
                <xdr:rowOff>190500</xdr:rowOff>
              </from>
              <to>
                <xdr:col>276</xdr:col>
                <xdr:colOff>276225</xdr:colOff>
                <xdr:row>77</xdr:row>
                <xdr:rowOff>352425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273</xdr:col>
                <xdr:colOff>238125</xdr:colOff>
                <xdr:row>105</xdr:row>
                <xdr:rowOff>85725</xdr:rowOff>
              </from>
              <to>
                <xdr:col>277</xdr:col>
                <xdr:colOff>400050</xdr:colOff>
                <xdr:row>106</xdr:row>
                <xdr:rowOff>457200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273</xdr:col>
                <xdr:colOff>190500</xdr:colOff>
                <xdr:row>113</xdr:row>
                <xdr:rowOff>104775</xdr:rowOff>
              </from>
              <to>
                <xdr:col>276</xdr:col>
                <xdr:colOff>381000</xdr:colOff>
                <xdr:row>114</xdr:row>
                <xdr:rowOff>485775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285750</xdr:colOff>
                <xdr:row>14</xdr:row>
                <xdr:rowOff>190500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273</xdr:col>
                <xdr:colOff>200025</xdr:colOff>
                <xdr:row>57</xdr:row>
                <xdr:rowOff>361950</xdr:rowOff>
              </from>
              <to>
                <xdr:col>277</xdr:col>
                <xdr:colOff>371475</xdr:colOff>
                <xdr:row>58</xdr:row>
                <xdr:rowOff>238125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124</xdr:row>
                <xdr:rowOff>457200</xdr:rowOff>
              </from>
              <to>
                <xdr:col>277</xdr:col>
                <xdr:colOff>485775</xdr:colOff>
                <xdr:row>126</xdr:row>
                <xdr:rowOff>295275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273</xdr:col>
                <xdr:colOff>285750</xdr:colOff>
                <xdr:row>46</xdr:row>
                <xdr:rowOff>238125</xdr:rowOff>
              </from>
              <to>
                <xdr:col>276</xdr:col>
                <xdr:colOff>276225</xdr:colOff>
                <xdr:row>47</xdr:row>
                <xdr:rowOff>161925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273</xdr:col>
                <xdr:colOff>295275</xdr:colOff>
                <xdr:row>86</xdr:row>
                <xdr:rowOff>285750</xdr:rowOff>
              </from>
              <to>
                <xdr:col>276</xdr:col>
                <xdr:colOff>361950</xdr:colOff>
                <xdr:row>87</xdr:row>
                <xdr:rowOff>228600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273</xdr:col>
                <xdr:colOff>238125</xdr:colOff>
                <xdr:row>95</xdr:row>
                <xdr:rowOff>371475</xdr:rowOff>
              </from>
              <to>
                <xdr:col>275</xdr:col>
                <xdr:colOff>400050</xdr:colOff>
                <xdr:row>96</xdr:row>
                <xdr:rowOff>333375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273</xdr:col>
                <xdr:colOff>342900</xdr:colOff>
                <xdr:row>152</xdr:row>
                <xdr:rowOff>95250</xdr:rowOff>
              </from>
              <to>
                <xdr:col>275</xdr:col>
                <xdr:colOff>342900</xdr:colOff>
                <xdr:row>153</xdr:row>
                <xdr:rowOff>438150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359</xdr:col>
                <xdr:colOff>219075</xdr:colOff>
                <xdr:row>26</xdr:row>
                <xdr:rowOff>314325</xdr:rowOff>
              </from>
              <to>
                <xdr:col>362</xdr:col>
                <xdr:colOff>161925</xdr:colOff>
                <xdr:row>27</xdr:row>
                <xdr:rowOff>228600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359</xdr:col>
                <xdr:colOff>190500</xdr:colOff>
                <xdr:row>58</xdr:row>
                <xdr:rowOff>123825</xdr:rowOff>
              </from>
              <to>
                <xdr:col>362</xdr:col>
                <xdr:colOff>190500</xdr:colOff>
                <xdr:row>59</xdr:row>
                <xdr:rowOff>390525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360</xdr:col>
                <xdr:colOff>285750</xdr:colOff>
                <xdr:row>78</xdr:row>
                <xdr:rowOff>409575</xdr:rowOff>
              </from>
              <to>
                <xdr:col>364</xdr:col>
                <xdr:colOff>361950</xdr:colOff>
                <xdr:row>80</xdr:row>
                <xdr:rowOff>266700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151</xdr:col>
                <xdr:colOff>228600</xdr:colOff>
                <xdr:row>32</xdr:row>
                <xdr:rowOff>152400</xdr:rowOff>
              </from>
              <to>
                <xdr:col>155</xdr:col>
                <xdr:colOff>247650</xdr:colOff>
                <xdr:row>33</xdr:row>
                <xdr:rowOff>495300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97</xdr:col>
                <xdr:colOff>266700</xdr:colOff>
                <xdr:row>83</xdr:row>
                <xdr:rowOff>190500</xdr:rowOff>
              </from>
              <to>
                <xdr:col>100</xdr:col>
                <xdr:colOff>38100</xdr:colOff>
                <xdr:row>84</xdr:row>
                <xdr:rowOff>333375</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100</xdr:col>
                <xdr:colOff>428625</xdr:colOff>
                <xdr:row>83</xdr:row>
                <xdr:rowOff>76200</xdr:rowOff>
              </from>
              <to>
                <xdr:col>104</xdr:col>
                <xdr:colOff>428625</xdr:colOff>
                <xdr:row>84</xdr:row>
                <xdr:rowOff>466725</xdr:rowOff>
              </to>
            </anchor>
          </objectPr>
        </oleObject>
      </mc:Choice>
      <mc:Fallback>
        <oleObject progId="Equation.DSMT4" shapeId="1270" r:id="rId128"/>
      </mc:Fallback>
    </mc:AlternateContent>
    <mc:AlternateContent xmlns:mc="http://schemas.openxmlformats.org/markup-compatibility/2006">
      <mc:Choice Requires="x14">
        <oleObject progId="Equation.DSMT4" shapeId="1272" r:id="rId130">
          <objectPr defaultSize="0" autoPict="0" r:id="rId131">
            <anchor moveWithCells="1">
              <from>
                <xdr:col>132</xdr:col>
                <xdr:colOff>0</xdr:colOff>
                <xdr:row>4</xdr:row>
                <xdr:rowOff>209550</xdr:rowOff>
              </from>
              <to>
                <xdr:col>144</xdr:col>
                <xdr:colOff>552450</xdr:colOff>
                <xdr:row>6</xdr:row>
                <xdr:rowOff>152400</xdr:rowOff>
              </to>
            </anchor>
          </objectPr>
        </oleObject>
      </mc:Choice>
      <mc:Fallback>
        <oleObject progId="Equation.DSMT4" shapeId="1272" r:id="rId130"/>
      </mc:Fallback>
    </mc:AlternateContent>
    <mc:AlternateContent xmlns:mc="http://schemas.openxmlformats.org/markup-compatibility/2006">
      <mc:Choice Requires="x14">
        <oleObject progId="Equation.DSMT4" shapeId="1345" r:id="rId132">
          <objectPr defaultSize="0" autoPict="0" r:id="rId133">
            <anchor moveWithCells="1">
              <from>
                <xdr:col>447</xdr:col>
                <xdr:colOff>238125</xdr:colOff>
                <xdr:row>179</xdr:row>
                <xdr:rowOff>200025</xdr:rowOff>
              </from>
              <to>
                <xdr:col>451</xdr:col>
                <xdr:colOff>352425</xdr:colOff>
                <xdr:row>180</xdr:row>
                <xdr:rowOff>371475</xdr:rowOff>
              </to>
            </anchor>
          </objectPr>
        </oleObject>
      </mc:Choice>
      <mc:Fallback>
        <oleObject progId="Equation.DSMT4" shapeId="1345" r:id="rId132"/>
      </mc:Fallback>
    </mc:AlternateContent>
    <mc:AlternateContent xmlns:mc="http://schemas.openxmlformats.org/markup-compatibility/2006">
      <mc:Choice Requires="x14">
        <oleObject progId="Equation.DSMT4" shapeId="1346" r:id="rId134">
          <objectPr defaultSize="0" autoPict="0" r:id="rId135">
            <anchor moveWithCells="1">
              <from>
                <xdr:col>447</xdr:col>
                <xdr:colOff>400050</xdr:colOff>
                <xdr:row>183</xdr:row>
                <xdr:rowOff>276225</xdr:rowOff>
              </from>
              <to>
                <xdr:col>454</xdr:col>
                <xdr:colOff>219075</xdr:colOff>
                <xdr:row>185</xdr:row>
                <xdr:rowOff>266700</xdr:rowOff>
              </to>
            </anchor>
          </objectPr>
        </oleObject>
      </mc:Choice>
      <mc:Fallback>
        <oleObject progId="Equation.DSMT4" shapeId="1346" r:id="rId134"/>
      </mc:Fallback>
    </mc:AlternateContent>
    <mc:AlternateContent xmlns:mc="http://schemas.openxmlformats.org/markup-compatibility/2006">
      <mc:Choice Requires="x14">
        <oleObject progId="Equation.DSMT4" shapeId="1347" r:id="rId136">
          <objectPr defaultSize="0" autoPict="0" r:id="rId137">
            <anchor moveWithCells="1">
              <from>
                <xdr:col>447</xdr:col>
                <xdr:colOff>228600</xdr:colOff>
                <xdr:row>188</xdr:row>
                <xdr:rowOff>209550</xdr:rowOff>
              </from>
              <to>
                <xdr:col>452</xdr:col>
                <xdr:colOff>161925</xdr:colOff>
                <xdr:row>189</xdr:row>
                <xdr:rowOff>314325</xdr:rowOff>
              </to>
            </anchor>
          </objectPr>
        </oleObject>
      </mc:Choice>
      <mc:Fallback>
        <oleObject progId="Equation.DSMT4" shapeId="1347" r:id="rId136"/>
      </mc:Fallback>
    </mc:AlternateContent>
    <mc:AlternateContent xmlns:mc="http://schemas.openxmlformats.org/markup-compatibility/2006">
      <mc:Choice Requires="x14">
        <oleObject progId="Equation.DSMT4" shapeId="1350" r:id="rId138">
          <objectPr defaultSize="0" autoPict="0" r:id="rId139">
            <anchor moveWithCells="1">
              <from>
                <xdr:col>623</xdr:col>
                <xdr:colOff>561975</xdr:colOff>
                <xdr:row>67</xdr:row>
                <xdr:rowOff>123825</xdr:rowOff>
              </from>
              <to>
                <xdr:col>625</xdr:col>
                <xdr:colOff>590550</xdr:colOff>
                <xdr:row>68</xdr:row>
                <xdr:rowOff>438150</xdr:rowOff>
              </to>
            </anchor>
          </objectPr>
        </oleObject>
      </mc:Choice>
      <mc:Fallback>
        <oleObject progId="Equation.DSMT4" shapeId="1350" r:id="rId138"/>
      </mc:Fallback>
    </mc:AlternateContent>
    <mc:AlternateContent xmlns:mc="http://schemas.openxmlformats.org/markup-compatibility/2006">
      <mc:Choice Requires="x14">
        <oleObject progId="Equation.DSMT4" shapeId="1351" r:id="rId140">
          <objectPr defaultSize="0" autoPict="0" r:id="rId141">
            <anchor moveWithCells="1">
              <from>
                <xdr:col>623</xdr:col>
                <xdr:colOff>371475</xdr:colOff>
                <xdr:row>71</xdr:row>
                <xdr:rowOff>95250</xdr:rowOff>
              </from>
              <to>
                <xdr:col>625</xdr:col>
                <xdr:colOff>600075</xdr:colOff>
                <xdr:row>72</xdr:row>
                <xdr:rowOff>419100</xdr:rowOff>
              </to>
            </anchor>
          </objectPr>
        </oleObject>
      </mc:Choice>
      <mc:Fallback>
        <oleObject progId="Equation.DSMT4" shapeId="1351" r:id="rId140"/>
      </mc:Fallback>
    </mc:AlternateContent>
    <mc:AlternateContent xmlns:mc="http://schemas.openxmlformats.org/markup-compatibility/2006">
      <mc:Choice Requires="x14">
        <oleObject progId="Equation.DSMT4" shapeId="1374" r:id="rId142">
          <objectPr defaultSize="0" autoPict="0" r:id="rId143">
            <anchor moveWithCells="1">
              <from>
                <xdr:col>661</xdr:col>
                <xdr:colOff>0</xdr:colOff>
                <xdr:row>179</xdr:row>
                <xdr:rowOff>200025</xdr:rowOff>
              </from>
              <to>
                <xdr:col>667</xdr:col>
                <xdr:colOff>219075</xdr:colOff>
                <xdr:row>181</xdr:row>
                <xdr:rowOff>285750</xdr:rowOff>
              </to>
            </anchor>
          </objectPr>
        </oleObject>
      </mc:Choice>
      <mc:Fallback>
        <oleObject progId="Equation.DSMT4" shapeId="1374" r:id="rId142"/>
      </mc:Fallback>
    </mc:AlternateContent>
    <mc:AlternateContent xmlns:mc="http://schemas.openxmlformats.org/markup-compatibility/2006">
      <mc:Choice Requires="x14">
        <oleObject progId="Equation.DSMT4" shapeId="1398" r:id="rId144">
          <objectPr defaultSize="0" autoPict="0" r:id="rId145">
            <anchor moveWithCells="1">
              <from>
                <xdr:col>944</xdr:col>
                <xdr:colOff>285750</xdr:colOff>
                <xdr:row>17</xdr:row>
                <xdr:rowOff>152400</xdr:rowOff>
              </from>
              <to>
                <xdr:col>950</xdr:col>
                <xdr:colOff>142875</xdr:colOff>
                <xdr:row>18</xdr:row>
                <xdr:rowOff>466725</xdr:rowOff>
              </to>
            </anchor>
          </objectPr>
        </oleObject>
      </mc:Choice>
      <mc:Fallback>
        <oleObject progId="Equation.DSMT4" shapeId="1398" r:id="rId144"/>
      </mc:Fallback>
    </mc:AlternateContent>
    <mc:AlternateContent xmlns:mc="http://schemas.openxmlformats.org/markup-compatibility/2006">
      <mc:Choice Requires="x14">
        <oleObject progId="Equation.DSMT4" shapeId="1400" r:id="rId146">
          <objectPr defaultSize="0" autoPict="0" r:id="rId147">
            <anchor moveWithCells="1">
              <from>
                <xdr:col>944</xdr:col>
                <xdr:colOff>247650</xdr:colOff>
                <xdr:row>40</xdr:row>
                <xdr:rowOff>161925</xdr:rowOff>
              </from>
              <to>
                <xdr:col>948</xdr:col>
                <xdr:colOff>400050</xdr:colOff>
                <xdr:row>41</xdr:row>
                <xdr:rowOff>190500</xdr:rowOff>
              </to>
            </anchor>
          </objectPr>
        </oleObject>
      </mc:Choice>
      <mc:Fallback>
        <oleObject progId="Equation.DSMT4" shapeId="1400" r:id="rId146"/>
      </mc:Fallback>
    </mc:AlternateContent>
    <mc:AlternateContent xmlns:mc="http://schemas.openxmlformats.org/markup-compatibility/2006">
      <mc:Choice Requires="x14">
        <oleObject progId="Equation.DSMT4" shapeId="1402" r:id="rId148">
          <objectPr defaultSize="0" autoPict="0" r:id="rId149">
            <anchor moveWithCells="1">
              <from>
                <xdr:col>944</xdr:col>
                <xdr:colOff>257175</xdr:colOff>
                <xdr:row>43</xdr:row>
                <xdr:rowOff>428625</xdr:rowOff>
              </from>
              <to>
                <xdr:col>954</xdr:col>
                <xdr:colOff>152400</xdr:colOff>
                <xdr:row>45</xdr:row>
                <xdr:rowOff>504825</xdr:rowOff>
              </to>
            </anchor>
          </objectPr>
        </oleObject>
      </mc:Choice>
      <mc:Fallback>
        <oleObject progId="Equation.DSMT4" shapeId="1402" r:id="rId148"/>
      </mc:Fallback>
    </mc:AlternateContent>
    <mc:AlternateContent xmlns:mc="http://schemas.openxmlformats.org/markup-compatibility/2006">
      <mc:Choice Requires="x14">
        <oleObject progId="Equation.DSMT4" shapeId="1403" r:id="rId150">
          <objectPr defaultSize="0" autoPict="0" r:id="rId151">
            <anchor moveWithCells="1">
              <from>
                <xdr:col>944</xdr:col>
                <xdr:colOff>285750</xdr:colOff>
                <xdr:row>56</xdr:row>
                <xdr:rowOff>314325</xdr:rowOff>
              </from>
              <to>
                <xdr:col>949</xdr:col>
                <xdr:colOff>257175</xdr:colOff>
                <xdr:row>57</xdr:row>
                <xdr:rowOff>257175</xdr:rowOff>
              </to>
            </anchor>
          </objectPr>
        </oleObject>
      </mc:Choice>
      <mc:Fallback>
        <oleObject progId="Equation.DSMT4" shapeId="1403" r:id="rId150"/>
      </mc:Fallback>
    </mc:AlternateContent>
    <mc:AlternateContent xmlns:mc="http://schemas.openxmlformats.org/markup-compatibility/2006">
      <mc:Choice Requires="x14">
        <oleObject progId="Equation.DSMT4" shapeId="1404" r:id="rId152">
          <objectPr defaultSize="0" autoPict="0" r:id="rId153">
            <anchor moveWithCells="1">
              <from>
                <xdr:col>944</xdr:col>
                <xdr:colOff>209550</xdr:colOff>
                <xdr:row>82</xdr:row>
                <xdr:rowOff>285750</xdr:rowOff>
              </from>
              <to>
                <xdr:col>955</xdr:col>
                <xdr:colOff>228600</xdr:colOff>
                <xdr:row>84</xdr:row>
                <xdr:rowOff>371475</xdr:rowOff>
              </to>
            </anchor>
          </objectPr>
        </oleObject>
      </mc:Choice>
      <mc:Fallback>
        <oleObject progId="Equation.DSMT4" shapeId="1404" r:id="rId152"/>
      </mc:Fallback>
    </mc:AlternateContent>
    <mc:AlternateContent xmlns:mc="http://schemas.openxmlformats.org/markup-compatibility/2006">
      <mc:Choice Requires="x14">
        <oleObject progId="Equation.DSMT4" shapeId="1408" r:id="rId154">
          <objectPr defaultSize="0" autoPict="0" r:id="rId155">
            <anchor moveWithCells="1">
              <from>
                <xdr:col>944</xdr:col>
                <xdr:colOff>295275</xdr:colOff>
                <xdr:row>97</xdr:row>
                <xdr:rowOff>200025</xdr:rowOff>
              </from>
              <to>
                <xdr:col>952</xdr:col>
                <xdr:colOff>533400</xdr:colOff>
                <xdr:row>99</xdr:row>
                <xdr:rowOff>371475</xdr:rowOff>
              </to>
            </anchor>
          </objectPr>
        </oleObject>
      </mc:Choice>
      <mc:Fallback>
        <oleObject progId="Equation.DSMT4" shapeId="1408" r:id="rId154"/>
      </mc:Fallback>
    </mc:AlternateContent>
    <mc:AlternateContent xmlns:mc="http://schemas.openxmlformats.org/markup-compatibility/2006">
      <mc:Choice Requires="x14">
        <oleObject progId="Equation.DSMT4" shapeId="1409" r:id="rId156">
          <objectPr defaultSize="0" autoPict="0" r:id="rId157">
            <anchor moveWithCells="1">
              <from>
                <xdr:col>944</xdr:col>
                <xdr:colOff>419100</xdr:colOff>
                <xdr:row>121</xdr:row>
                <xdr:rowOff>409575</xdr:rowOff>
              </from>
              <to>
                <xdr:col>959</xdr:col>
                <xdr:colOff>390525</xdr:colOff>
                <xdr:row>123</xdr:row>
                <xdr:rowOff>438150</xdr:rowOff>
              </to>
            </anchor>
          </objectPr>
        </oleObject>
      </mc:Choice>
      <mc:Fallback>
        <oleObject progId="Equation.DSMT4" shapeId="1409" r:id="rId156"/>
      </mc:Fallback>
    </mc:AlternateContent>
    <mc:AlternateContent xmlns:mc="http://schemas.openxmlformats.org/markup-compatibility/2006">
      <mc:Choice Requires="x14">
        <oleObject progId="Equation.DSMT4" shapeId="1410" r:id="rId158">
          <objectPr defaultSize="0" autoPict="0" r:id="rId159">
            <anchor moveWithCells="1">
              <from>
                <xdr:col>944</xdr:col>
                <xdr:colOff>285750</xdr:colOff>
                <xdr:row>126</xdr:row>
                <xdr:rowOff>95250</xdr:rowOff>
              </from>
              <to>
                <xdr:col>947</xdr:col>
                <xdr:colOff>257175</xdr:colOff>
                <xdr:row>127</xdr:row>
                <xdr:rowOff>447675</xdr:rowOff>
              </to>
            </anchor>
          </objectPr>
        </oleObject>
      </mc:Choice>
      <mc:Fallback>
        <oleObject progId="Equation.DSMT4" shapeId="1410" r:id="rId158"/>
      </mc:Fallback>
    </mc:AlternateContent>
    <mc:AlternateContent xmlns:mc="http://schemas.openxmlformats.org/markup-compatibility/2006">
      <mc:Choice Requires="x14">
        <oleObject progId="Equation.DSMT4" shapeId="1411" r:id="rId160">
          <objectPr defaultSize="0" autoPict="0" r:id="rId161">
            <anchor moveWithCells="1">
              <from>
                <xdr:col>944</xdr:col>
                <xdr:colOff>400050</xdr:colOff>
                <xdr:row>130</xdr:row>
                <xdr:rowOff>238125</xdr:rowOff>
              </from>
              <to>
                <xdr:col>954</xdr:col>
                <xdr:colOff>238125</xdr:colOff>
                <xdr:row>131</xdr:row>
                <xdr:rowOff>266700</xdr:rowOff>
              </to>
            </anchor>
          </objectPr>
        </oleObject>
      </mc:Choice>
      <mc:Fallback>
        <oleObject progId="Equation.DSMT4" shapeId="1411" r:id="rId160"/>
      </mc:Fallback>
    </mc:AlternateContent>
    <mc:AlternateContent xmlns:mc="http://schemas.openxmlformats.org/markup-compatibility/2006">
      <mc:Choice Requires="x14">
        <oleObject progId="Equation.DSMT4" shapeId="1412" r:id="rId162">
          <objectPr defaultSize="0" autoPict="0" r:id="rId163">
            <anchor moveWithCells="1">
              <from>
                <xdr:col>944</xdr:col>
                <xdr:colOff>314325</xdr:colOff>
                <xdr:row>134</xdr:row>
                <xdr:rowOff>219075</xdr:rowOff>
              </from>
              <to>
                <xdr:col>955</xdr:col>
                <xdr:colOff>123825</xdr:colOff>
                <xdr:row>135</xdr:row>
                <xdr:rowOff>190500</xdr:rowOff>
              </to>
            </anchor>
          </objectPr>
        </oleObject>
      </mc:Choice>
      <mc:Fallback>
        <oleObject progId="Equation.DSMT4" shapeId="1412" r:id="rId162"/>
      </mc:Fallback>
    </mc:AlternateContent>
    <mc:AlternateContent xmlns:mc="http://schemas.openxmlformats.org/markup-compatibility/2006">
      <mc:Choice Requires="x14">
        <oleObject progId="Equation.DSMT4" shapeId="1413" r:id="rId164">
          <objectPr defaultSize="0" autoPict="0" r:id="rId165">
            <anchor moveWithCells="1">
              <from>
                <xdr:col>945</xdr:col>
                <xdr:colOff>9525</xdr:colOff>
                <xdr:row>142</xdr:row>
                <xdr:rowOff>171450</xdr:rowOff>
              </from>
              <to>
                <xdr:col>953</xdr:col>
                <xdr:colOff>19050</xdr:colOff>
                <xdr:row>143</xdr:row>
                <xdr:rowOff>219075</xdr:rowOff>
              </to>
            </anchor>
          </objectPr>
        </oleObject>
      </mc:Choice>
      <mc:Fallback>
        <oleObject progId="Equation.DSMT4" shapeId="1413" r:id="rId164"/>
      </mc:Fallback>
    </mc:AlternateContent>
    <mc:AlternateContent xmlns:mc="http://schemas.openxmlformats.org/markup-compatibility/2006">
      <mc:Choice Requires="x14">
        <oleObject progId="Equation.DSMT4" shapeId="1414" r:id="rId166">
          <objectPr defaultSize="0" autoPict="0" r:id="rId167">
            <anchor moveWithCells="1">
              <from>
                <xdr:col>944</xdr:col>
                <xdr:colOff>371475</xdr:colOff>
                <xdr:row>150</xdr:row>
                <xdr:rowOff>238125</xdr:rowOff>
              </from>
              <to>
                <xdr:col>951</xdr:col>
                <xdr:colOff>0</xdr:colOff>
                <xdr:row>151</xdr:row>
                <xdr:rowOff>266700</xdr:rowOff>
              </to>
            </anchor>
          </objectPr>
        </oleObject>
      </mc:Choice>
      <mc:Fallback>
        <oleObject progId="Equation.DSMT4" shapeId="1414" r:id="rId166"/>
      </mc:Fallback>
    </mc:AlternateContent>
    <mc:AlternateContent xmlns:mc="http://schemas.openxmlformats.org/markup-compatibility/2006">
      <mc:Choice Requires="x14">
        <oleObject progId="Equation.DSMT4" shapeId="1415" r:id="rId168">
          <objectPr defaultSize="0" autoPict="0" r:id="rId169">
            <anchor moveWithCells="1">
              <from>
                <xdr:col>944</xdr:col>
                <xdr:colOff>295275</xdr:colOff>
                <xdr:row>146</xdr:row>
                <xdr:rowOff>180975</xdr:rowOff>
              </from>
              <to>
                <xdr:col>953</xdr:col>
                <xdr:colOff>47625</xdr:colOff>
                <xdr:row>147</xdr:row>
                <xdr:rowOff>209550</xdr:rowOff>
              </to>
            </anchor>
          </objectPr>
        </oleObject>
      </mc:Choice>
      <mc:Fallback>
        <oleObject progId="Equation.DSMT4" shapeId="1415" r:id="rId168"/>
      </mc:Fallback>
    </mc:AlternateContent>
    <mc:AlternateContent xmlns:mc="http://schemas.openxmlformats.org/markup-compatibility/2006">
      <mc:Choice Requires="x14">
        <oleObject progId="Equation.DSMT4" shapeId="1416" r:id="rId170">
          <objectPr defaultSize="0" autoPict="0" r:id="rId171">
            <anchor moveWithCells="1">
              <from>
                <xdr:col>945</xdr:col>
                <xdr:colOff>257175</xdr:colOff>
                <xdr:row>107</xdr:row>
                <xdr:rowOff>142875</xdr:rowOff>
              </from>
              <to>
                <xdr:col>951</xdr:col>
                <xdr:colOff>266700</xdr:colOff>
                <xdr:row>108</xdr:row>
                <xdr:rowOff>285750</xdr:rowOff>
              </to>
            </anchor>
          </objectPr>
        </oleObject>
      </mc:Choice>
      <mc:Fallback>
        <oleObject progId="Equation.DSMT4" shapeId="1416" r:id="rId170"/>
      </mc:Fallback>
    </mc:AlternateContent>
    <mc:AlternateContent xmlns:mc="http://schemas.openxmlformats.org/markup-compatibility/2006">
      <mc:Choice Requires="x14">
        <oleObject progId="Equation.DSMT4" shapeId="1417" r:id="rId172">
          <objectPr defaultSize="0" autoPict="0" r:id="rId173">
            <anchor moveWithCells="1">
              <from>
                <xdr:col>944</xdr:col>
                <xdr:colOff>257175</xdr:colOff>
                <xdr:row>164</xdr:row>
                <xdr:rowOff>533400</xdr:rowOff>
              </from>
              <to>
                <xdr:col>947</xdr:col>
                <xdr:colOff>590550</xdr:colOff>
                <xdr:row>166</xdr:row>
                <xdr:rowOff>495300</xdr:rowOff>
              </to>
            </anchor>
          </objectPr>
        </oleObject>
      </mc:Choice>
      <mc:Fallback>
        <oleObject progId="Equation.DSMT4" shapeId="1417" r:id="rId172"/>
      </mc:Fallback>
    </mc:AlternateContent>
    <mc:AlternateContent xmlns:mc="http://schemas.openxmlformats.org/markup-compatibility/2006">
      <mc:Choice Requires="x14">
        <oleObject progId="Equation.DSMT4" shapeId="1418" r:id="rId174">
          <objectPr defaultSize="0" autoPict="0" r:id="rId175">
            <anchor moveWithCells="1">
              <from>
                <xdr:col>944</xdr:col>
                <xdr:colOff>342900</xdr:colOff>
                <xdr:row>168</xdr:row>
                <xdr:rowOff>476250</xdr:rowOff>
              </from>
              <to>
                <xdr:col>948</xdr:col>
                <xdr:colOff>238125</xdr:colOff>
                <xdr:row>170</xdr:row>
                <xdr:rowOff>466725</xdr:rowOff>
              </to>
            </anchor>
          </objectPr>
        </oleObject>
      </mc:Choice>
      <mc:Fallback>
        <oleObject progId="Equation.DSMT4" shapeId="1418" r:id="rId174"/>
      </mc:Fallback>
    </mc:AlternateContent>
    <mc:AlternateContent xmlns:mc="http://schemas.openxmlformats.org/markup-compatibility/2006">
      <mc:Choice Requires="x14">
        <oleObject progId="Equation.DSMT4" shapeId="1421" r:id="rId176">
          <objectPr defaultSize="0" autoPict="0" r:id="rId177">
            <anchor moveWithCells="1">
              <from>
                <xdr:col>946</xdr:col>
                <xdr:colOff>504825</xdr:colOff>
                <xdr:row>228</xdr:row>
                <xdr:rowOff>0</xdr:rowOff>
              </from>
              <to>
                <xdr:col>948</xdr:col>
                <xdr:colOff>238125</xdr:colOff>
                <xdr:row>229</xdr:row>
                <xdr:rowOff>247650</xdr:rowOff>
              </to>
            </anchor>
          </objectPr>
        </oleObject>
      </mc:Choice>
      <mc:Fallback>
        <oleObject progId="Equation.DSMT4" shapeId="1421" r:id="rId176"/>
      </mc:Fallback>
    </mc:AlternateContent>
    <mc:AlternateContent xmlns:mc="http://schemas.openxmlformats.org/markup-compatibility/2006">
      <mc:Choice Requires="x14">
        <oleObject progId="Equation.DSMT4" shapeId="1423" r:id="rId178">
          <objectPr defaultSize="0" autoPict="0" r:id="rId179">
            <anchor moveWithCells="1">
              <from>
                <xdr:col>947</xdr:col>
                <xdr:colOff>371475</xdr:colOff>
                <xdr:row>216</xdr:row>
                <xdr:rowOff>257175</xdr:rowOff>
              </from>
              <to>
                <xdr:col>952</xdr:col>
                <xdr:colOff>0</xdr:colOff>
                <xdr:row>217</xdr:row>
                <xdr:rowOff>247650</xdr:rowOff>
              </to>
            </anchor>
          </objectPr>
        </oleObject>
      </mc:Choice>
      <mc:Fallback>
        <oleObject progId="Equation.DSMT4" shapeId="1423" r:id="rId178"/>
      </mc:Fallback>
    </mc:AlternateContent>
    <mc:AlternateContent xmlns:mc="http://schemas.openxmlformats.org/markup-compatibility/2006">
      <mc:Choice Requires="x14">
        <oleObject progId="Equation.DSMT4" shapeId="1563" r:id="rId180">
          <objectPr defaultSize="0" autoPict="0" r:id="rId181">
            <anchor moveWithCells="1">
              <from>
                <xdr:col>944</xdr:col>
                <xdr:colOff>342900</xdr:colOff>
                <xdr:row>102</xdr:row>
                <xdr:rowOff>171450</xdr:rowOff>
              </from>
              <to>
                <xdr:col>951</xdr:col>
                <xdr:colOff>9525</xdr:colOff>
                <xdr:row>103</xdr:row>
                <xdr:rowOff>161925</xdr:rowOff>
              </to>
            </anchor>
          </objectPr>
        </oleObject>
      </mc:Choice>
      <mc:Fallback>
        <oleObject progId="Equation.DSMT4" shapeId="1563" r:id="rId180"/>
      </mc:Fallback>
    </mc:AlternateContent>
    <mc:AlternateContent xmlns:mc="http://schemas.openxmlformats.org/markup-compatibility/2006">
      <mc:Choice Requires="x14">
        <oleObject progId="Equation.DSMT4" shapeId="1564" r:id="rId182">
          <objectPr defaultSize="0" autoPict="0" r:id="rId183">
            <anchor moveWithCells="1">
              <from>
                <xdr:col>944</xdr:col>
                <xdr:colOff>123825</xdr:colOff>
                <xdr:row>186</xdr:row>
                <xdr:rowOff>85725</xdr:rowOff>
              </from>
              <to>
                <xdr:col>947</xdr:col>
                <xdr:colOff>276225</xdr:colOff>
                <xdr:row>187</xdr:row>
                <xdr:rowOff>314325</xdr:rowOff>
              </to>
            </anchor>
          </objectPr>
        </oleObject>
      </mc:Choice>
      <mc:Fallback>
        <oleObject progId="Equation.DSMT4" shapeId="1564" r:id="rId182"/>
      </mc:Fallback>
    </mc:AlternateContent>
    <mc:AlternateContent xmlns:mc="http://schemas.openxmlformats.org/markup-compatibility/2006">
      <mc:Choice Requires="x14">
        <oleObject progId="Equation.DSMT4" shapeId="1572" r:id="rId184">
          <objectPr defaultSize="0" autoPict="0" r:id="rId185">
            <anchor moveWithCells="1">
              <from>
                <xdr:col>945</xdr:col>
                <xdr:colOff>152400</xdr:colOff>
                <xdr:row>177</xdr:row>
                <xdr:rowOff>28575</xdr:rowOff>
              </from>
              <to>
                <xdr:col>967</xdr:col>
                <xdr:colOff>85725</xdr:colOff>
                <xdr:row>178</xdr:row>
                <xdr:rowOff>123825</xdr:rowOff>
              </to>
            </anchor>
          </objectPr>
        </oleObject>
      </mc:Choice>
      <mc:Fallback>
        <oleObject progId="Equation.DSMT4" shapeId="1572" r:id="rId184"/>
      </mc:Fallback>
    </mc:AlternateContent>
    <mc:AlternateContent xmlns:mc="http://schemas.openxmlformats.org/markup-compatibility/2006">
      <mc:Choice Requires="x14">
        <oleObject progId="Equation.DSMT4" shapeId="1573" r:id="rId186">
          <objectPr defaultSize="0" autoPict="0" r:id="rId187">
            <anchor moveWithCells="1">
              <from>
                <xdr:col>954</xdr:col>
                <xdr:colOff>333375</xdr:colOff>
                <xdr:row>142</xdr:row>
                <xdr:rowOff>0</xdr:rowOff>
              </from>
              <to>
                <xdr:col>970</xdr:col>
                <xdr:colOff>285750</xdr:colOff>
                <xdr:row>143</xdr:row>
                <xdr:rowOff>438150</xdr:rowOff>
              </to>
            </anchor>
          </objectPr>
        </oleObject>
      </mc:Choice>
      <mc:Fallback>
        <oleObject progId="Equation.DSMT4" shapeId="1573" r:id="rId186"/>
      </mc:Fallback>
    </mc:AlternateContent>
    <mc:AlternateContent xmlns:mc="http://schemas.openxmlformats.org/markup-compatibility/2006">
      <mc:Choice Requires="x14">
        <oleObject progId="Equation.DSMT4" shapeId="1580" r:id="rId188">
          <objectPr defaultSize="0" autoPict="0" r:id="rId189">
            <anchor moveWithCells="1">
              <from>
                <xdr:col>210</xdr:col>
                <xdr:colOff>152400</xdr:colOff>
                <xdr:row>126</xdr:row>
                <xdr:rowOff>361950</xdr:rowOff>
              </from>
              <to>
                <xdr:col>213</xdr:col>
                <xdr:colOff>447675</xdr:colOff>
                <xdr:row>127</xdr:row>
                <xdr:rowOff>285750</xdr:rowOff>
              </to>
            </anchor>
          </objectPr>
        </oleObject>
      </mc:Choice>
      <mc:Fallback>
        <oleObject progId="Equation.DSMT4" shapeId="1580" r:id="rId188"/>
      </mc:Fallback>
    </mc:AlternateContent>
    <mc:AlternateContent xmlns:mc="http://schemas.openxmlformats.org/markup-compatibility/2006">
      <mc:Choice Requires="x14">
        <oleObject progId="Equation.DSMT4" shapeId="1603" r:id="rId190">
          <objectPr defaultSize="0" autoPict="0" r:id="rId191">
            <anchor moveWithCells="1">
              <from>
                <xdr:col>97</xdr:col>
                <xdr:colOff>323850</xdr:colOff>
                <xdr:row>23</xdr:row>
                <xdr:rowOff>114300</xdr:rowOff>
              </from>
              <to>
                <xdr:col>100</xdr:col>
                <xdr:colOff>266700</xdr:colOff>
                <xdr:row>24</xdr:row>
                <xdr:rowOff>495300</xdr:rowOff>
              </to>
            </anchor>
          </objectPr>
        </oleObject>
      </mc:Choice>
      <mc:Fallback>
        <oleObject progId="Equation.DSMT4" shapeId="1603" r:id="rId190"/>
      </mc:Fallback>
    </mc:AlternateContent>
    <mc:AlternateContent xmlns:mc="http://schemas.openxmlformats.org/markup-compatibility/2006">
      <mc:Choice Requires="x14">
        <oleObject progId="Equation.DSMT4" shapeId="1607" r:id="rId192">
          <objectPr defaultSize="0" autoPict="0" r:id="rId193">
            <anchor moveWithCells="1">
              <from>
                <xdr:col>97</xdr:col>
                <xdr:colOff>361950</xdr:colOff>
                <xdr:row>51</xdr:row>
                <xdr:rowOff>142875</xdr:rowOff>
              </from>
              <to>
                <xdr:col>102</xdr:col>
                <xdr:colOff>266700</xdr:colOff>
                <xdr:row>52</xdr:row>
                <xdr:rowOff>447675</xdr:rowOff>
              </to>
            </anchor>
          </objectPr>
        </oleObject>
      </mc:Choice>
      <mc:Fallback>
        <oleObject progId="Equation.DSMT4" shapeId="1607" r:id="rId192"/>
      </mc:Fallback>
    </mc:AlternateContent>
    <mc:AlternateContent xmlns:mc="http://schemas.openxmlformats.org/markup-compatibility/2006">
      <mc:Choice Requires="x14">
        <oleObject progId="Equation.DSMT4" shapeId="1614" r:id="rId194">
          <objectPr defaultSize="0" autoPict="0" r:id="rId195">
            <anchor moveWithCells="1">
              <from>
                <xdr:col>103</xdr:col>
                <xdr:colOff>123825</xdr:colOff>
                <xdr:row>125</xdr:row>
                <xdr:rowOff>228600</xdr:rowOff>
              </from>
              <to>
                <xdr:col>106</xdr:col>
                <xdr:colOff>447675</xdr:colOff>
                <xdr:row>126</xdr:row>
                <xdr:rowOff>219075</xdr:rowOff>
              </to>
            </anchor>
          </objectPr>
        </oleObject>
      </mc:Choice>
      <mc:Fallback>
        <oleObject progId="Equation.DSMT4" shapeId="1614" r:id="rId194"/>
      </mc:Fallback>
    </mc:AlternateContent>
    <mc:AlternateContent xmlns:mc="http://schemas.openxmlformats.org/markup-compatibility/2006">
      <mc:Choice Requires="x14">
        <oleObject progId="Equation.DSMT4" shapeId="1618" r:id="rId196">
          <objectPr defaultSize="0" autoPict="0" r:id="rId197">
            <anchor moveWithCells="1">
              <from>
                <xdr:col>273</xdr:col>
                <xdr:colOff>161925</xdr:colOff>
                <xdr:row>146</xdr:row>
                <xdr:rowOff>238125</xdr:rowOff>
              </from>
              <to>
                <xdr:col>280</xdr:col>
                <xdr:colOff>209550</xdr:colOff>
                <xdr:row>147</xdr:row>
                <xdr:rowOff>171450</xdr:rowOff>
              </to>
            </anchor>
          </objectPr>
        </oleObject>
      </mc:Choice>
      <mc:Fallback>
        <oleObject progId="Equation.DSMT4" shapeId="1618" r:id="rId196"/>
      </mc:Fallback>
    </mc:AlternateContent>
    <mc:AlternateContent xmlns:mc="http://schemas.openxmlformats.org/markup-compatibility/2006">
      <mc:Choice Requires="x14">
        <oleObject progId="Equation.DSMT4" shapeId="1620" r:id="rId198">
          <objectPr defaultSize="0" autoPict="0" r:id="rId199">
            <anchor moveWithCells="1">
              <from>
                <xdr:col>803</xdr:col>
                <xdr:colOff>266700</xdr:colOff>
                <xdr:row>18</xdr:row>
                <xdr:rowOff>323850</xdr:rowOff>
              </from>
              <to>
                <xdr:col>806</xdr:col>
                <xdr:colOff>295275</xdr:colOff>
                <xdr:row>19</xdr:row>
                <xdr:rowOff>238125</xdr:rowOff>
              </to>
            </anchor>
          </objectPr>
        </oleObject>
      </mc:Choice>
      <mc:Fallback>
        <oleObject progId="Equation.DSMT4" shapeId="1620" r:id="rId198"/>
      </mc:Fallback>
    </mc:AlternateContent>
    <mc:AlternateContent xmlns:mc="http://schemas.openxmlformats.org/markup-compatibility/2006">
      <mc:Choice Requires="x14">
        <oleObject progId="Equation.DSMT4" shapeId="1623" r:id="rId200">
          <objectPr defaultSize="0" autoPict="0" r:id="rId201">
            <anchor moveWithCells="1">
              <from>
                <xdr:col>803</xdr:col>
                <xdr:colOff>323850</xdr:colOff>
                <xdr:row>60</xdr:row>
                <xdr:rowOff>247650</xdr:rowOff>
              </from>
              <to>
                <xdr:col>808</xdr:col>
                <xdr:colOff>361950</xdr:colOff>
                <xdr:row>62</xdr:row>
                <xdr:rowOff>304800</xdr:rowOff>
              </to>
            </anchor>
          </objectPr>
        </oleObject>
      </mc:Choice>
      <mc:Fallback>
        <oleObject progId="Equation.DSMT4" shapeId="1623" r:id="rId200"/>
      </mc:Fallback>
    </mc:AlternateContent>
    <mc:AlternateContent xmlns:mc="http://schemas.openxmlformats.org/markup-compatibility/2006">
      <mc:Choice Requires="x14">
        <oleObject progId="Equation.DSMT4" shapeId="1625" r:id="rId202">
          <objectPr defaultSize="0" autoPict="0" r:id="rId203">
            <anchor moveWithCells="1">
              <from>
                <xdr:col>628</xdr:col>
                <xdr:colOff>276225</xdr:colOff>
                <xdr:row>20</xdr:row>
                <xdr:rowOff>361950</xdr:rowOff>
              </from>
              <to>
                <xdr:col>630</xdr:col>
                <xdr:colOff>285750</xdr:colOff>
                <xdr:row>21</xdr:row>
                <xdr:rowOff>295275</xdr:rowOff>
              </to>
            </anchor>
          </objectPr>
        </oleObject>
      </mc:Choice>
      <mc:Fallback>
        <oleObject progId="Equation.DSMT4" shapeId="1625" r:id="rId202"/>
      </mc:Fallback>
    </mc:AlternateContent>
    <mc:AlternateContent xmlns:mc="http://schemas.openxmlformats.org/markup-compatibility/2006">
      <mc:Choice Requires="x14">
        <oleObject progId="Equation.DSMT4" shapeId="1626" r:id="rId204">
          <objectPr defaultSize="0" autoPict="0" r:id="rId205">
            <anchor moveWithCells="1">
              <from>
                <xdr:col>628</xdr:col>
                <xdr:colOff>285750</xdr:colOff>
                <xdr:row>22</xdr:row>
                <xdr:rowOff>333375</xdr:rowOff>
              </from>
              <to>
                <xdr:col>630</xdr:col>
                <xdr:colOff>371475</xdr:colOff>
                <xdr:row>23</xdr:row>
                <xdr:rowOff>295275</xdr:rowOff>
              </to>
            </anchor>
          </objectPr>
        </oleObject>
      </mc:Choice>
      <mc:Fallback>
        <oleObject progId="Equation.DSMT4" shapeId="1626" r:id="rId204"/>
      </mc:Fallback>
    </mc:AlternateContent>
    <mc:AlternateContent xmlns:mc="http://schemas.openxmlformats.org/markup-compatibility/2006">
      <mc:Choice Requires="x14">
        <oleObject progId="Equation.DSMT4" shapeId="1627" r:id="rId206">
          <objectPr defaultSize="0" autoPict="0" r:id="rId207">
            <anchor moveWithCells="1">
              <from>
                <xdr:col>628</xdr:col>
                <xdr:colOff>133350</xdr:colOff>
                <xdr:row>26</xdr:row>
                <xdr:rowOff>314325</xdr:rowOff>
              </from>
              <to>
                <xdr:col>631</xdr:col>
                <xdr:colOff>352425</xdr:colOff>
                <xdr:row>27</xdr:row>
                <xdr:rowOff>190500</xdr:rowOff>
              </to>
            </anchor>
          </objectPr>
        </oleObject>
      </mc:Choice>
      <mc:Fallback>
        <oleObject progId="Equation.DSMT4" shapeId="1627" r:id="rId206"/>
      </mc:Fallback>
    </mc:AlternateContent>
    <mc:AlternateContent xmlns:mc="http://schemas.openxmlformats.org/markup-compatibility/2006">
      <mc:Choice Requires="x14">
        <oleObject progId="Equation.DSMT4" shapeId="1628" r:id="rId208">
          <objectPr defaultSize="0" autoPict="0" r:id="rId209">
            <anchor moveWithCells="1">
              <from>
                <xdr:col>628</xdr:col>
                <xdr:colOff>152400</xdr:colOff>
                <xdr:row>28</xdr:row>
                <xdr:rowOff>247650</xdr:rowOff>
              </from>
              <to>
                <xdr:col>631</xdr:col>
                <xdr:colOff>400050</xdr:colOff>
                <xdr:row>29</xdr:row>
                <xdr:rowOff>180975</xdr:rowOff>
              </to>
            </anchor>
          </objectPr>
        </oleObject>
      </mc:Choice>
      <mc:Fallback>
        <oleObject progId="Equation.DSMT4" shapeId="1628" r:id="rId208"/>
      </mc:Fallback>
    </mc:AlternateContent>
    <mc:AlternateContent xmlns:mc="http://schemas.openxmlformats.org/markup-compatibility/2006">
      <mc:Choice Requires="x14">
        <oleObject progId="Equation.DSMT4" shapeId="1629" r:id="rId210">
          <objectPr defaultSize="0" autoPict="0" r:id="rId211">
            <anchor moveWithCells="1">
              <from>
                <xdr:col>628</xdr:col>
                <xdr:colOff>247650</xdr:colOff>
                <xdr:row>30</xdr:row>
                <xdr:rowOff>314325</xdr:rowOff>
              </from>
              <to>
                <xdr:col>631</xdr:col>
                <xdr:colOff>304800</xdr:colOff>
                <xdr:row>31</xdr:row>
                <xdr:rowOff>228600</xdr:rowOff>
              </to>
            </anchor>
          </objectPr>
        </oleObject>
      </mc:Choice>
      <mc:Fallback>
        <oleObject progId="Equation.DSMT4" shapeId="1629" r:id="rId210"/>
      </mc:Fallback>
    </mc:AlternateContent>
    <mc:AlternateContent xmlns:mc="http://schemas.openxmlformats.org/markup-compatibility/2006">
      <mc:Choice Requires="x14">
        <oleObject progId="Equation.DSMT4" shapeId="1630" r:id="rId212">
          <objectPr defaultSize="0" autoPict="0" r:id="rId213">
            <anchor moveWithCells="1">
              <from>
                <xdr:col>628</xdr:col>
                <xdr:colOff>257175</xdr:colOff>
                <xdr:row>32</xdr:row>
                <xdr:rowOff>266700</xdr:rowOff>
              </from>
              <to>
                <xdr:col>631</xdr:col>
                <xdr:colOff>476250</xdr:colOff>
                <xdr:row>33</xdr:row>
                <xdr:rowOff>171450</xdr:rowOff>
              </to>
            </anchor>
          </objectPr>
        </oleObject>
      </mc:Choice>
      <mc:Fallback>
        <oleObject progId="Equation.DSMT4" shapeId="1630" r:id="rId212"/>
      </mc:Fallback>
    </mc:AlternateContent>
    <mc:AlternateContent xmlns:mc="http://schemas.openxmlformats.org/markup-compatibility/2006">
      <mc:Choice Requires="x14">
        <oleObject progId="Equation.DSMT4" shapeId="1632" r:id="rId214">
          <objectPr defaultSize="0" autoPict="0" r:id="rId215">
            <anchor moveWithCells="1">
              <from>
                <xdr:col>628</xdr:col>
                <xdr:colOff>247650</xdr:colOff>
                <xdr:row>36</xdr:row>
                <xdr:rowOff>333375</xdr:rowOff>
              </from>
              <to>
                <xdr:col>632</xdr:col>
                <xdr:colOff>323850</xdr:colOff>
                <xdr:row>37</xdr:row>
                <xdr:rowOff>190500</xdr:rowOff>
              </to>
            </anchor>
          </objectPr>
        </oleObject>
      </mc:Choice>
      <mc:Fallback>
        <oleObject progId="Equation.DSMT4" shapeId="1632" r:id="rId214"/>
      </mc:Fallback>
    </mc:AlternateContent>
    <mc:AlternateContent xmlns:mc="http://schemas.openxmlformats.org/markup-compatibility/2006">
      <mc:Choice Requires="x14">
        <oleObject progId="Equation.DSMT4" shapeId="1633" r:id="rId216">
          <objectPr defaultSize="0" autoPict="0" r:id="rId217">
            <anchor moveWithCells="1">
              <from>
                <xdr:col>628</xdr:col>
                <xdr:colOff>209550</xdr:colOff>
                <xdr:row>38</xdr:row>
                <xdr:rowOff>390525</xdr:rowOff>
              </from>
              <to>
                <xdr:col>632</xdr:col>
                <xdr:colOff>390525</xdr:colOff>
                <xdr:row>39</xdr:row>
                <xdr:rowOff>257175</xdr:rowOff>
              </to>
            </anchor>
          </objectPr>
        </oleObject>
      </mc:Choice>
      <mc:Fallback>
        <oleObject progId="Equation.DSMT4" shapeId="1633" r:id="rId216"/>
      </mc:Fallback>
    </mc:AlternateContent>
    <mc:AlternateContent xmlns:mc="http://schemas.openxmlformats.org/markup-compatibility/2006">
      <mc:Choice Requires="x14">
        <oleObject progId="Equation.DSMT4" shapeId="1634" r:id="rId218">
          <objectPr defaultSize="0" autoPict="0" r:id="rId219">
            <anchor moveWithCells="1">
              <from>
                <xdr:col>628</xdr:col>
                <xdr:colOff>200025</xdr:colOff>
                <xdr:row>40</xdr:row>
                <xdr:rowOff>200025</xdr:rowOff>
              </from>
              <to>
                <xdr:col>631</xdr:col>
                <xdr:colOff>466725</xdr:colOff>
                <xdr:row>41</xdr:row>
                <xdr:rowOff>161925</xdr:rowOff>
              </to>
            </anchor>
          </objectPr>
        </oleObject>
      </mc:Choice>
      <mc:Fallback>
        <oleObject progId="Equation.DSMT4" shapeId="1634" r:id="rId218"/>
      </mc:Fallback>
    </mc:AlternateContent>
    <mc:AlternateContent xmlns:mc="http://schemas.openxmlformats.org/markup-compatibility/2006">
      <mc:Choice Requires="x14">
        <oleObject progId="Equation.DSMT4" shapeId="1635" r:id="rId220">
          <objectPr defaultSize="0" autoPict="0" r:id="rId221">
            <anchor moveWithCells="1">
              <from>
                <xdr:col>628</xdr:col>
                <xdr:colOff>161925</xdr:colOff>
                <xdr:row>42</xdr:row>
                <xdr:rowOff>342900</xdr:rowOff>
              </from>
              <to>
                <xdr:col>630</xdr:col>
                <xdr:colOff>323850</xdr:colOff>
                <xdr:row>43</xdr:row>
                <xdr:rowOff>200025</xdr:rowOff>
              </to>
            </anchor>
          </objectPr>
        </oleObject>
      </mc:Choice>
      <mc:Fallback>
        <oleObject progId="Equation.DSMT4" shapeId="1635" r:id="rId220"/>
      </mc:Fallback>
    </mc:AlternateContent>
    <mc:AlternateContent xmlns:mc="http://schemas.openxmlformats.org/markup-compatibility/2006">
      <mc:Choice Requires="x14">
        <oleObject progId="Equation.DSMT4" shapeId="1636" r:id="rId222">
          <objectPr defaultSize="0" autoPict="0" r:id="rId223">
            <anchor moveWithCells="1">
              <from>
                <xdr:col>628</xdr:col>
                <xdr:colOff>171450</xdr:colOff>
                <xdr:row>44</xdr:row>
                <xdr:rowOff>295275</xdr:rowOff>
              </from>
              <to>
                <xdr:col>632</xdr:col>
                <xdr:colOff>200025</xdr:colOff>
                <xdr:row>45</xdr:row>
                <xdr:rowOff>152400</xdr:rowOff>
              </to>
            </anchor>
          </objectPr>
        </oleObject>
      </mc:Choice>
      <mc:Fallback>
        <oleObject progId="Equation.DSMT4" shapeId="1636" r:id="rId222"/>
      </mc:Fallback>
    </mc:AlternateContent>
    <mc:AlternateContent xmlns:mc="http://schemas.openxmlformats.org/markup-compatibility/2006">
      <mc:Choice Requires="x14">
        <oleObject progId="Equation.DSMT4" shapeId="1637" r:id="rId224">
          <objectPr defaultSize="0" autoPict="0" r:id="rId225">
            <anchor moveWithCells="1">
              <from>
                <xdr:col>628</xdr:col>
                <xdr:colOff>180975</xdr:colOff>
                <xdr:row>46</xdr:row>
                <xdr:rowOff>257175</xdr:rowOff>
              </from>
              <to>
                <xdr:col>632</xdr:col>
                <xdr:colOff>0</xdr:colOff>
                <xdr:row>47</xdr:row>
                <xdr:rowOff>114300</xdr:rowOff>
              </to>
            </anchor>
          </objectPr>
        </oleObject>
      </mc:Choice>
      <mc:Fallback>
        <oleObject progId="Equation.DSMT4" shapeId="1637" r:id="rId224"/>
      </mc:Fallback>
    </mc:AlternateContent>
    <mc:AlternateContent xmlns:mc="http://schemas.openxmlformats.org/markup-compatibility/2006">
      <mc:Choice Requires="x14">
        <oleObject progId="Equation.DSMT4" shapeId="1638" r:id="rId226">
          <objectPr defaultSize="0" autoPict="0" r:id="rId227">
            <anchor moveWithCells="1">
              <from>
                <xdr:col>628</xdr:col>
                <xdr:colOff>133350</xdr:colOff>
                <xdr:row>48</xdr:row>
                <xdr:rowOff>342900</xdr:rowOff>
              </from>
              <to>
                <xdr:col>631</xdr:col>
                <xdr:colOff>447675</xdr:colOff>
                <xdr:row>49</xdr:row>
                <xdr:rowOff>161925</xdr:rowOff>
              </to>
            </anchor>
          </objectPr>
        </oleObject>
      </mc:Choice>
      <mc:Fallback>
        <oleObject progId="Equation.DSMT4" shapeId="1638" r:id="rId226"/>
      </mc:Fallback>
    </mc:AlternateContent>
    <mc:AlternateContent xmlns:mc="http://schemas.openxmlformats.org/markup-compatibility/2006">
      <mc:Choice Requires="x14">
        <oleObject progId="Equation.DSMT4" shapeId="1639" r:id="rId228">
          <objectPr defaultSize="0" autoPict="0" r:id="rId229">
            <anchor moveWithCells="1">
              <from>
                <xdr:col>628</xdr:col>
                <xdr:colOff>133350</xdr:colOff>
                <xdr:row>50</xdr:row>
                <xdr:rowOff>142875</xdr:rowOff>
              </from>
              <to>
                <xdr:col>633</xdr:col>
                <xdr:colOff>66675</xdr:colOff>
                <xdr:row>51</xdr:row>
                <xdr:rowOff>352425</xdr:rowOff>
              </to>
            </anchor>
          </objectPr>
        </oleObject>
      </mc:Choice>
      <mc:Fallback>
        <oleObject progId="Equation.DSMT4" shapeId="1639" r:id="rId228"/>
      </mc:Fallback>
    </mc:AlternateContent>
    <mc:AlternateContent xmlns:mc="http://schemas.openxmlformats.org/markup-compatibility/2006">
      <mc:Choice Requires="x14">
        <oleObject progId="Equation.DSMT4" shapeId="1640" r:id="rId230">
          <objectPr defaultSize="0" autoPict="0" r:id="rId231">
            <anchor moveWithCells="1">
              <from>
                <xdr:col>628</xdr:col>
                <xdr:colOff>209550</xdr:colOff>
                <xdr:row>54</xdr:row>
                <xdr:rowOff>409575</xdr:rowOff>
              </from>
              <to>
                <xdr:col>631</xdr:col>
                <xdr:colOff>552450</xdr:colOff>
                <xdr:row>55</xdr:row>
                <xdr:rowOff>304800</xdr:rowOff>
              </to>
            </anchor>
          </objectPr>
        </oleObject>
      </mc:Choice>
      <mc:Fallback>
        <oleObject progId="Equation.DSMT4" shapeId="1640" r:id="rId230"/>
      </mc:Fallback>
    </mc:AlternateContent>
    <mc:AlternateContent xmlns:mc="http://schemas.openxmlformats.org/markup-compatibility/2006">
      <mc:Choice Requires="x14">
        <oleObject progId="Equation.DSMT4" shapeId="1641" r:id="rId232">
          <objectPr defaultSize="0" autoPict="0" r:id="rId233">
            <anchor moveWithCells="1">
              <from>
                <xdr:col>628</xdr:col>
                <xdr:colOff>200025</xdr:colOff>
                <xdr:row>56</xdr:row>
                <xdr:rowOff>400050</xdr:rowOff>
              </from>
              <to>
                <xdr:col>631</xdr:col>
                <xdr:colOff>571500</xdr:colOff>
                <xdr:row>57</xdr:row>
                <xdr:rowOff>285750</xdr:rowOff>
              </to>
            </anchor>
          </objectPr>
        </oleObject>
      </mc:Choice>
      <mc:Fallback>
        <oleObject progId="Equation.DSMT4" shapeId="1641" r:id="rId232"/>
      </mc:Fallback>
    </mc:AlternateContent>
    <mc:AlternateContent xmlns:mc="http://schemas.openxmlformats.org/markup-compatibility/2006">
      <mc:Choice Requires="x14">
        <oleObject progId="Equation.DSMT4" shapeId="1642" r:id="rId234">
          <objectPr defaultSize="0" autoPict="0" r:id="rId235">
            <anchor moveWithCells="1">
              <from>
                <xdr:col>628</xdr:col>
                <xdr:colOff>257175</xdr:colOff>
                <xdr:row>58</xdr:row>
                <xdr:rowOff>438150</xdr:rowOff>
              </from>
              <to>
                <xdr:col>631</xdr:col>
                <xdr:colOff>552450</xdr:colOff>
                <xdr:row>59</xdr:row>
                <xdr:rowOff>285750</xdr:rowOff>
              </to>
            </anchor>
          </objectPr>
        </oleObject>
      </mc:Choice>
      <mc:Fallback>
        <oleObject progId="Equation.DSMT4" shapeId="1642" r:id="rId234"/>
      </mc:Fallback>
    </mc:AlternateContent>
    <mc:AlternateContent xmlns:mc="http://schemas.openxmlformats.org/markup-compatibility/2006">
      <mc:Choice Requires="x14">
        <oleObject progId="Equation.DSMT4" shapeId="1653" r:id="rId236">
          <objectPr defaultSize="0" autoPict="0" r:id="rId237">
            <anchor moveWithCells="1">
              <from>
                <xdr:col>628</xdr:col>
                <xdr:colOff>114300</xdr:colOff>
                <xdr:row>24</xdr:row>
                <xdr:rowOff>304800</xdr:rowOff>
              </from>
              <to>
                <xdr:col>631</xdr:col>
                <xdr:colOff>438150</xdr:colOff>
                <xdr:row>25</xdr:row>
                <xdr:rowOff>209550</xdr:rowOff>
              </to>
            </anchor>
          </objectPr>
        </oleObject>
      </mc:Choice>
      <mc:Fallback>
        <oleObject progId="Equation.DSMT4" shapeId="1653" r:id="rId236"/>
      </mc:Fallback>
    </mc:AlternateContent>
    <mc:AlternateContent xmlns:mc="http://schemas.openxmlformats.org/markup-compatibility/2006">
      <mc:Choice Requires="x14">
        <oleObject progId="Equation.DSMT4" shapeId="1658" r:id="rId238">
          <objectPr defaultSize="0" autoPict="0" r:id="rId239">
            <anchor moveWithCells="1">
              <from>
                <xdr:col>628</xdr:col>
                <xdr:colOff>276225</xdr:colOff>
                <xdr:row>34</xdr:row>
                <xdr:rowOff>361950</xdr:rowOff>
              </from>
              <to>
                <xdr:col>631</xdr:col>
                <xdr:colOff>266700</xdr:colOff>
                <xdr:row>35</xdr:row>
                <xdr:rowOff>190500</xdr:rowOff>
              </to>
            </anchor>
          </objectPr>
        </oleObject>
      </mc:Choice>
      <mc:Fallback>
        <oleObject progId="Equation.DSMT4" shapeId="1658" r:id="rId238"/>
      </mc:Fallback>
    </mc:AlternateContent>
    <mc:AlternateContent xmlns:mc="http://schemas.openxmlformats.org/markup-compatibility/2006">
      <mc:Choice Requires="x14">
        <oleObject progId="Equation.DSMT4" shapeId="1659" r:id="rId240">
          <objectPr defaultSize="0" autoPict="0" r:id="rId241">
            <anchor moveWithCells="1">
              <from>
                <xdr:col>628</xdr:col>
                <xdr:colOff>276225</xdr:colOff>
                <xdr:row>52</xdr:row>
                <xdr:rowOff>180975</xdr:rowOff>
              </from>
              <to>
                <xdr:col>632</xdr:col>
                <xdr:colOff>247650</xdr:colOff>
                <xdr:row>53</xdr:row>
                <xdr:rowOff>466725</xdr:rowOff>
              </to>
            </anchor>
          </objectPr>
        </oleObject>
      </mc:Choice>
      <mc:Fallback>
        <oleObject progId="Equation.DSMT4" shapeId="1659" r:id="rId240"/>
      </mc:Fallback>
    </mc:AlternateContent>
    <mc:AlternateContent xmlns:mc="http://schemas.openxmlformats.org/markup-compatibility/2006">
      <mc:Choice Requires="x14">
        <oleObject progId="Equation.DSMT4" shapeId="1678" r:id="rId242">
          <objectPr defaultSize="0" autoPict="0" r:id="rId243">
            <anchor moveWithCells="1">
              <from>
                <xdr:col>944</xdr:col>
                <xdr:colOff>333375</xdr:colOff>
                <xdr:row>39</xdr:row>
                <xdr:rowOff>400050</xdr:rowOff>
              </from>
              <to>
                <xdr:col>949</xdr:col>
                <xdr:colOff>533400</xdr:colOff>
                <xdr:row>41</xdr:row>
                <xdr:rowOff>266700</xdr:rowOff>
              </to>
            </anchor>
          </objectPr>
        </oleObject>
      </mc:Choice>
      <mc:Fallback>
        <oleObject progId="Equation.DSMT4" shapeId="1678" r:id="rId242"/>
      </mc:Fallback>
    </mc:AlternateContent>
    <mc:AlternateContent xmlns:mc="http://schemas.openxmlformats.org/markup-compatibility/2006">
      <mc:Choice Requires="x14">
        <oleObject progId="Equation.DSMT4" shapeId="1679" r:id="rId244">
          <objectPr defaultSize="0" autoPict="0" r:id="rId245">
            <anchor moveWithCells="1">
              <from>
                <xdr:col>944</xdr:col>
                <xdr:colOff>409575</xdr:colOff>
                <xdr:row>86</xdr:row>
                <xdr:rowOff>314325</xdr:rowOff>
              </from>
              <to>
                <xdr:col>950</xdr:col>
                <xdr:colOff>38100</xdr:colOff>
                <xdr:row>88</xdr:row>
                <xdr:rowOff>219075</xdr:rowOff>
              </to>
            </anchor>
          </objectPr>
        </oleObject>
      </mc:Choice>
      <mc:Fallback>
        <oleObject progId="Equation.DSMT4" shapeId="1679" r:id="rId244"/>
      </mc:Fallback>
    </mc:AlternateContent>
    <mc:AlternateContent xmlns:mc="http://schemas.openxmlformats.org/markup-compatibility/2006">
      <mc:Choice Requires="x14">
        <oleObject progId="Equation.DSMT4" shapeId="1680" r:id="rId246">
          <objectPr defaultSize="0" autoPict="0" r:id="rId247">
            <anchor moveWithCells="1">
              <from>
                <xdr:col>945</xdr:col>
                <xdr:colOff>28575</xdr:colOff>
                <xdr:row>238</xdr:row>
                <xdr:rowOff>47625</xdr:rowOff>
              </from>
              <to>
                <xdr:col>947</xdr:col>
                <xdr:colOff>9525</xdr:colOff>
                <xdr:row>239</xdr:row>
                <xdr:rowOff>28575</xdr:rowOff>
              </to>
            </anchor>
          </objectPr>
        </oleObject>
      </mc:Choice>
      <mc:Fallback>
        <oleObject progId="Equation.DSMT4" shapeId="1680" r:id="rId246"/>
      </mc:Fallback>
    </mc:AlternateContent>
    <mc:AlternateContent xmlns:mc="http://schemas.openxmlformats.org/markup-compatibility/2006">
      <mc:Choice Requires="x14">
        <oleObject progId="Equation.DSMT4" shapeId="1681" r:id="rId248">
          <objectPr defaultSize="0" autoPict="0" r:id="rId249">
            <anchor moveWithCells="1">
              <from>
                <xdr:col>952</xdr:col>
                <xdr:colOff>66675</xdr:colOff>
                <xdr:row>231</xdr:row>
                <xdr:rowOff>314325</xdr:rowOff>
              </from>
              <to>
                <xdr:col>953</xdr:col>
                <xdr:colOff>19050</xdr:colOff>
                <xdr:row>232</xdr:row>
                <xdr:rowOff>361950</xdr:rowOff>
              </to>
            </anchor>
          </objectPr>
        </oleObject>
      </mc:Choice>
      <mc:Fallback>
        <oleObject progId="Equation.DSMT4" shapeId="1681" r:id="rId248"/>
      </mc:Fallback>
    </mc:AlternateContent>
    <mc:AlternateContent xmlns:mc="http://schemas.openxmlformats.org/markup-compatibility/2006">
      <mc:Choice Requires="x14">
        <oleObject progId="Equation.DSMT4" shapeId="1682" r:id="rId250">
          <objectPr defaultSize="0" autoPict="0" r:id="rId251">
            <anchor moveWithCells="1">
              <from>
                <xdr:col>950</xdr:col>
                <xdr:colOff>133350</xdr:colOff>
                <xdr:row>232</xdr:row>
                <xdr:rowOff>219075</xdr:rowOff>
              </from>
              <to>
                <xdr:col>951</xdr:col>
                <xdr:colOff>57150</xdr:colOff>
                <xdr:row>233</xdr:row>
                <xdr:rowOff>228600</xdr:rowOff>
              </to>
            </anchor>
          </objectPr>
        </oleObject>
      </mc:Choice>
      <mc:Fallback>
        <oleObject progId="Equation.DSMT4" shapeId="1682" r:id="rId250"/>
      </mc:Fallback>
    </mc:AlternateContent>
    <mc:AlternateContent xmlns:mc="http://schemas.openxmlformats.org/markup-compatibility/2006">
      <mc:Choice Requires="x14">
        <oleObject progId="Equation.DSMT4" shapeId="1687" r:id="rId252">
          <objectPr defaultSize="0" autoPict="0" r:id="rId253">
            <anchor moveWithCells="1">
              <from>
                <xdr:col>944</xdr:col>
                <xdr:colOff>333375</xdr:colOff>
                <xdr:row>192</xdr:row>
                <xdr:rowOff>66675</xdr:rowOff>
              </from>
              <to>
                <xdr:col>952</xdr:col>
                <xdr:colOff>342900</xdr:colOff>
                <xdr:row>193</xdr:row>
                <xdr:rowOff>466725</xdr:rowOff>
              </to>
            </anchor>
          </objectPr>
        </oleObject>
      </mc:Choice>
      <mc:Fallback>
        <oleObject progId="Equation.DSMT4" shapeId="1687" r:id="rId252"/>
      </mc:Fallback>
    </mc:AlternateContent>
    <mc:AlternateContent xmlns:mc="http://schemas.openxmlformats.org/markup-compatibility/2006">
      <mc:Choice Requires="x14">
        <oleObject progId="Equation.DSMT4" shapeId="1688" r:id="rId254">
          <objectPr defaultSize="0" autoPict="0" r:id="rId255">
            <anchor moveWithCells="1">
              <from>
                <xdr:col>945</xdr:col>
                <xdr:colOff>123825</xdr:colOff>
                <xdr:row>196</xdr:row>
                <xdr:rowOff>95250</xdr:rowOff>
              </from>
              <to>
                <xdr:col>949</xdr:col>
                <xdr:colOff>190500</xdr:colOff>
                <xdr:row>197</xdr:row>
                <xdr:rowOff>428625</xdr:rowOff>
              </to>
            </anchor>
          </objectPr>
        </oleObject>
      </mc:Choice>
      <mc:Fallback>
        <oleObject progId="Equation.DSMT4" shapeId="1688" r:id="rId254"/>
      </mc:Fallback>
    </mc:AlternateContent>
    <mc:AlternateContent xmlns:mc="http://schemas.openxmlformats.org/markup-compatibility/2006">
      <mc:Choice Requires="x14">
        <oleObject progId="Equation.DSMT4" shapeId="1689" r:id="rId256">
          <objectPr defaultSize="0" autoPict="0" r:id="rId257">
            <anchor moveWithCells="1">
              <from>
                <xdr:col>628</xdr:col>
                <xdr:colOff>438150</xdr:colOff>
                <xdr:row>18</xdr:row>
                <xdr:rowOff>419100</xdr:rowOff>
              </from>
              <to>
                <xdr:col>629</xdr:col>
                <xdr:colOff>180975</xdr:colOff>
                <xdr:row>19</xdr:row>
                <xdr:rowOff>247650</xdr:rowOff>
              </to>
            </anchor>
          </objectPr>
        </oleObject>
      </mc:Choice>
      <mc:Fallback>
        <oleObject progId="Equation.DSMT4" shapeId="1689" r:id="rId256"/>
      </mc:Fallback>
    </mc:AlternateContent>
    <mc:AlternateContent xmlns:mc="http://schemas.openxmlformats.org/markup-compatibility/2006">
      <mc:Choice Requires="x14">
        <oleObject progId="Equation.DSMT4" shapeId="1694" r:id="rId258">
          <objectPr defaultSize="0" autoPict="0" r:id="rId209">
            <anchor moveWithCells="1">
              <from>
                <xdr:col>492</xdr:col>
                <xdr:colOff>419100</xdr:colOff>
                <xdr:row>16</xdr:row>
                <xdr:rowOff>381000</xdr:rowOff>
              </from>
              <to>
                <xdr:col>495</xdr:col>
                <xdr:colOff>342900</xdr:colOff>
                <xdr:row>17</xdr:row>
                <xdr:rowOff>238125</xdr:rowOff>
              </to>
            </anchor>
          </objectPr>
        </oleObject>
      </mc:Choice>
      <mc:Fallback>
        <oleObject progId="Equation.DSMT4" shapeId="1694" r:id="rId258"/>
      </mc:Fallback>
    </mc:AlternateContent>
    <mc:AlternateContent xmlns:mc="http://schemas.openxmlformats.org/markup-compatibility/2006">
      <mc:Choice Requires="x14">
        <oleObject progId="Equation.DSMT4" shapeId="1700" r:id="rId259">
          <objectPr defaultSize="0" autoPict="0" r:id="rId221">
            <anchor moveWithCells="1">
              <from>
                <xdr:col>525</xdr:col>
                <xdr:colOff>180975</xdr:colOff>
                <xdr:row>16</xdr:row>
                <xdr:rowOff>333375</xdr:rowOff>
              </from>
              <to>
                <xdr:col>527</xdr:col>
                <xdr:colOff>314325</xdr:colOff>
                <xdr:row>17</xdr:row>
                <xdr:rowOff>180975</xdr:rowOff>
              </to>
            </anchor>
          </objectPr>
        </oleObject>
      </mc:Choice>
      <mc:Fallback>
        <oleObject progId="Equation.DSMT4" shapeId="1700" r:id="rId259"/>
      </mc:Fallback>
    </mc:AlternateContent>
    <mc:AlternateContent xmlns:mc="http://schemas.openxmlformats.org/markup-compatibility/2006">
      <mc:Choice Requires="x14">
        <oleObject progId="Equation.DSMT4" shapeId="1701" r:id="rId260">
          <objectPr defaultSize="0" autoPict="0" r:id="rId223">
            <anchor moveWithCells="1">
              <from>
                <xdr:col>528</xdr:col>
                <xdr:colOff>133350</xdr:colOff>
                <xdr:row>16</xdr:row>
                <xdr:rowOff>371475</xdr:rowOff>
              </from>
              <to>
                <xdr:col>531</xdr:col>
                <xdr:colOff>381000</xdr:colOff>
                <xdr:row>17</xdr:row>
                <xdr:rowOff>200025</xdr:rowOff>
              </to>
            </anchor>
          </objectPr>
        </oleObject>
      </mc:Choice>
      <mc:Fallback>
        <oleObject progId="Equation.DSMT4" shapeId="1701" r:id="rId260"/>
      </mc:Fallback>
    </mc:AlternateContent>
    <mc:AlternateContent xmlns:mc="http://schemas.openxmlformats.org/markup-compatibility/2006">
      <mc:Choice Requires="x14">
        <oleObject progId="Equation.DSMT4" shapeId="1702" r:id="rId261">
          <objectPr defaultSize="0" autoPict="0" r:id="rId225">
            <anchor moveWithCells="1">
              <from>
                <xdr:col>532</xdr:col>
                <xdr:colOff>123825</xdr:colOff>
                <xdr:row>16</xdr:row>
                <xdr:rowOff>371475</xdr:rowOff>
              </from>
              <to>
                <xdr:col>535</xdr:col>
                <xdr:colOff>371475</xdr:colOff>
                <xdr:row>17</xdr:row>
                <xdr:rowOff>200025</xdr:rowOff>
              </to>
            </anchor>
          </objectPr>
        </oleObject>
      </mc:Choice>
      <mc:Fallback>
        <oleObject progId="Equation.DSMT4" shapeId="1702" r:id="rId261"/>
      </mc:Fallback>
    </mc:AlternateContent>
    <mc:AlternateContent xmlns:mc="http://schemas.openxmlformats.org/markup-compatibility/2006">
      <mc:Choice Requires="x14">
        <oleObject progId="Equation.DSMT4" shapeId="1703" r:id="rId262">
          <objectPr defaultSize="0" autoPict="0" r:id="rId227">
            <anchor moveWithCells="1">
              <from>
                <xdr:col>536</xdr:col>
                <xdr:colOff>104775</xdr:colOff>
                <xdr:row>16</xdr:row>
                <xdr:rowOff>409575</xdr:rowOff>
              </from>
              <to>
                <xdr:col>539</xdr:col>
                <xdr:colOff>381000</xdr:colOff>
                <xdr:row>17</xdr:row>
                <xdr:rowOff>238125</xdr:rowOff>
              </to>
            </anchor>
          </objectPr>
        </oleObject>
      </mc:Choice>
      <mc:Fallback>
        <oleObject progId="Equation.DSMT4" shapeId="1703" r:id="rId262"/>
      </mc:Fallback>
    </mc:AlternateContent>
    <mc:AlternateContent xmlns:mc="http://schemas.openxmlformats.org/markup-compatibility/2006">
      <mc:Choice Requires="x14">
        <oleObject progId="Equation.DSMT4" shapeId="1707" r:id="rId263">
          <objectPr defaultSize="0" autoPict="0" r:id="rId231">
            <anchor moveWithCells="1">
              <from>
                <xdr:col>556</xdr:col>
                <xdr:colOff>171450</xdr:colOff>
                <xdr:row>16</xdr:row>
                <xdr:rowOff>390525</xdr:rowOff>
              </from>
              <to>
                <xdr:col>559</xdr:col>
                <xdr:colOff>361950</xdr:colOff>
                <xdr:row>17</xdr:row>
                <xdr:rowOff>238125</xdr:rowOff>
              </to>
            </anchor>
          </objectPr>
        </oleObject>
      </mc:Choice>
      <mc:Fallback>
        <oleObject progId="Equation.DSMT4" shapeId="1707" r:id="rId263"/>
      </mc:Fallback>
    </mc:AlternateContent>
    <mc:AlternateContent xmlns:mc="http://schemas.openxmlformats.org/markup-compatibility/2006">
      <mc:Choice Requires="x14">
        <oleObject progId="Equation.DSMT4" shapeId="1733" r:id="rId264">
          <objectPr defaultSize="0" autoPict="0" r:id="rId265">
            <anchor moveWithCells="1">
              <from>
                <xdr:col>151</xdr:col>
                <xdr:colOff>352425</xdr:colOff>
                <xdr:row>122</xdr:row>
                <xdr:rowOff>238125</xdr:rowOff>
              </from>
              <to>
                <xdr:col>157</xdr:col>
                <xdr:colOff>247650</xdr:colOff>
                <xdr:row>123</xdr:row>
                <xdr:rowOff>142875</xdr:rowOff>
              </to>
            </anchor>
          </objectPr>
        </oleObject>
      </mc:Choice>
      <mc:Fallback>
        <oleObject progId="Equation.DSMT4" shapeId="1733" r:id="rId264"/>
      </mc:Fallback>
    </mc:AlternateContent>
    <mc:AlternateContent xmlns:mc="http://schemas.openxmlformats.org/markup-compatibility/2006">
      <mc:Choice Requires="x14">
        <oleObject progId="Equation.DSMT4" shapeId="1741" r:id="rId266">
          <objectPr defaultSize="0" autoPict="0" r:id="rId267">
            <anchor moveWithCells="1">
              <from>
                <xdr:col>152</xdr:col>
                <xdr:colOff>161925</xdr:colOff>
                <xdr:row>90</xdr:row>
                <xdr:rowOff>323850</xdr:rowOff>
              </from>
              <to>
                <xdr:col>156</xdr:col>
                <xdr:colOff>342900</xdr:colOff>
                <xdr:row>91</xdr:row>
                <xdr:rowOff>247650</xdr:rowOff>
              </to>
            </anchor>
          </objectPr>
        </oleObject>
      </mc:Choice>
      <mc:Fallback>
        <oleObject progId="Equation.DSMT4" shapeId="1741" r:id="rId266"/>
      </mc:Fallback>
    </mc:AlternateContent>
    <mc:AlternateContent xmlns:mc="http://schemas.openxmlformats.org/markup-compatibility/2006">
      <mc:Choice Requires="x14">
        <oleObject progId="Equation.DSMT4" shapeId="1743" r:id="rId268">
          <objectPr defaultSize="0" autoPict="0" r:id="rId269">
            <anchor moveWithCells="1">
              <from>
                <xdr:col>152</xdr:col>
                <xdr:colOff>266700</xdr:colOff>
                <xdr:row>98</xdr:row>
                <xdr:rowOff>361950</xdr:rowOff>
              </from>
              <to>
                <xdr:col>157</xdr:col>
                <xdr:colOff>457200</xdr:colOff>
                <xdr:row>99</xdr:row>
                <xdr:rowOff>257175</xdr:rowOff>
              </to>
            </anchor>
          </objectPr>
        </oleObject>
      </mc:Choice>
      <mc:Fallback>
        <oleObject progId="Equation.DSMT4" shapeId="1743" r:id="rId268"/>
      </mc:Fallback>
    </mc:AlternateContent>
    <mc:AlternateContent xmlns:mc="http://schemas.openxmlformats.org/markup-compatibility/2006">
      <mc:Choice Requires="x14">
        <oleObject progId="Equation.DSMT4" shapeId="1750" r:id="rId270">
          <objectPr defaultSize="0" autoPict="0" r:id="rId271">
            <anchor moveWithCells="1">
              <from>
                <xdr:col>209</xdr:col>
                <xdr:colOff>361950</xdr:colOff>
                <xdr:row>134</xdr:row>
                <xdr:rowOff>104775</xdr:rowOff>
              </from>
              <to>
                <xdr:col>211</xdr:col>
                <xdr:colOff>485775</xdr:colOff>
                <xdr:row>135</xdr:row>
                <xdr:rowOff>390525</xdr:rowOff>
              </to>
            </anchor>
          </objectPr>
        </oleObject>
      </mc:Choice>
      <mc:Fallback>
        <oleObject progId="Equation.DSMT4" shapeId="1750" r:id="rId270"/>
      </mc:Fallback>
    </mc:AlternateContent>
    <mc:AlternateContent xmlns:mc="http://schemas.openxmlformats.org/markup-compatibility/2006">
      <mc:Choice Requires="x14">
        <oleObject progId="Equation.DSMT4" shapeId="1752" r:id="rId272">
          <objectPr defaultSize="0" autoPict="0" r:id="rId273">
            <anchor moveWithCells="1">
              <from>
                <xdr:col>273</xdr:col>
                <xdr:colOff>209550</xdr:colOff>
                <xdr:row>117</xdr:row>
                <xdr:rowOff>257175</xdr:rowOff>
              </from>
              <to>
                <xdr:col>278</xdr:col>
                <xdr:colOff>247650</xdr:colOff>
                <xdr:row>119</xdr:row>
                <xdr:rowOff>419100</xdr:rowOff>
              </to>
            </anchor>
          </objectPr>
        </oleObject>
      </mc:Choice>
      <mc:Fallback>
        <oleObject progId="Equation.DSMT4" shapeId="1752" r:id="rId272"/>
      </mc:Fallback>
    </mc:AlternateContent>
    <mc:AlternateContent xmlns:mc="http://schemas.openxmlformats.org/markup-compatibility/2006">
      <mc:Choice Requires="x14">
        <oleObject progId="Equation.DSMT4" shapeId="1897" r:id="rId274">
          <objectPr defaultSize="0" autoPict="0" r:id="rId275">
            <anchor moveWithCells="1">
              <from>
                <xdr:col>273</xdr:col>
                <xdr:colOff>485775</xdr:colOff>
                <xdr:row>30</xdr:row>
                <xdr:rowOff>95250</xdr:rowOff>
              </from>
              <to>
                <xdr:col>277</xdr:col>
                <xdr:colOff>38100</xdr:colOff>
                <xdr:row>31</xdr:row>
                <xdr:rowOff>476250</xdr:rowOff>
              </to>
            </anchor>
          </objectPr>
        </oleObject>
      </mc:Choice>
      <mc:Fallback>
        <oleObject progId="Equation.DSMT4" shapeId="1897" r:id="rId274"/>
      </mc:Fallback>
    </mc:AlternateContent>
    <mc:AlternateContent xmlns:mc="http://schemas.openxmlformats.org/markup-compatibility/2006">
      <mc:Choice Requires="x14">
        <oleObject progId="Equation.DSMT4" shapeId="1898" r:id="rId276">
          <objectPr defaultSize="0" autoPict="0" r:id="rId277">
            <anchor moveWithCells="1">
              <from>
                <xdr:col>273</xdr:col>
                <xdr:colOff>209550</xdr:colOff>
                <xdr:row>21</xdr:row>
                <xdr:rowOff>333375</xdr:rowOff>
              </from>
              <to>
                <xdr:col>278</xdr:col>
                <xdr:colOff>428625</xdr:colOff>
                <xdr:row>23</xdr:row>
                <xdr:rowOff>323850</xdr:rowOff>
              </to>
            </anchor>
          </objectPr>
        </oleObject>
      </mc:Choice>
      <mc:Fallback>
        <oleObject progId="Equation.DSMT4" shapeId="1898" r:id="rId276"/>
      </mc:Fallback>
    </mc:AlternateContent>
    <mc:AlternateContent xmlns:mc="http://schemas.openxmlformats.org/markup-compatibility/2006">
      <mc:Choice Requires="x14">
        <oleObject progId="Equation.DSMT4" shapeId="1899" r:id="rId278">
          <objectPr defaultSize="0" autoPict="0" r:id="rId279">
            <anchor moveWithCells="1">
              <from>
                <xdr:col>273</xdr:col>
                <xdr:colOff>381000</xdr:colOff>
                <xdr:row>69</xdr:row>
                <xdr:rowOff>342900</xdr:rowOff>
              </from>
              <to>
                <xdr:col>278</xdr:col>
                <xdr:colOff>123825</xdr:colOff>
                <xdr:row>71</xdr:row>
                <xdr:rowOff>133350</xdr:rowOff>
              </to>
            </anchor>
          </objectPr>
        </oleObject>
      </mc:Choice>
      <mc:Fallback>
        <oleObject progId="Equation.DSMT4" shapeId="1899" r:id="rId278"/>
      </mc:Fallback>
    </mc:AlternateContent>
    <mc:AlternateContent xmlns:mc="http://schemas.openxmlformats.org/markup-compatibility/2006">
      <mc:Choice Requires="x14">
        <oleObject progId="Equation.DSMT4" shapeId="1911" r:id="rId280">
          <objectPr defaultSize="0" autoPict="0" r:id="rId281">
            <anchor moveWithCells="1">
              <from>
                <xdr:col>273</xdr:col>
                <xdr:colOff>238125</xdr:colOff>
                <xdr:row>36</xdr:row>
                <xdr:rowOff>247650</xdr:rowOff>
              </from>
              <to>
                <xdr:col>276</xdr:col>
                <xdr:colOff>419100</xdr:colOff>
                <xdr:row>37</xdr:row>
                <xdr:rowOff>352425</xdr:rowOff>
              </to>
            </anchor>
          </objectPr>
        </oleObject>
      </mc:Choice>
      <mc:Fallback>
        <oleObject progId="Equation.DSMT4" shapeId="1911" r:id="rId280"/>
      </mc:Fallback>
    </mc:AlternateContent>
    <mc:AlternateContent xmlns:mc="http://schemas.openxmlformats.org/markup-compatibility/2006">
      <mc:Choice Requires="x14">
        <oleObject progId="Equation.DSMT4" shapeId="1917" r:id="rId282">
          <objectPr defaultSize="0" autoPict="0" r:id="rId283">
            <anchor moveWithCells="1">
              <from>
                <xdr:col>273</xdr:col>
                <xdr:colOff>304800</xdr:colOff>
                <xdr:row>26</xdr:row>
                <xdr:rowOff>123825</xdr:rowOff>
              </from>
              <to>
                <xdr:col>277</xdr:col>
                <xdr:colOff>333375</xdr:colOff>
                <xdr:row>27</xdr:row>
                <xdr:rowOff>438150</xdr:rowOff>
              </to>
            </anchor>
          </objectPr>
        </oleObject>
      </mc:Choice>
      <mc:Fallback>
        <oleObject progId="Equation.DSMT4" shapeId="1917" r:id="rId282"/>
      </mc:Fallback>
    </mc:AlternateContent>
    <mc:AlternateContent xmlns:mc="http://schemas.openxmlformats.org/markup-compatibility/2006">
      <mc:Choice Requires="x14">
        <oleObject progId="Equation.DSMT4" shapeId="1919" r:id="rId284">
          <objectPr defaultSize="0" autoPict="0" r:id="rId285">
            <anchor moveWithCells="1">
              <from>
                <xdr:col>152</xdr:col>
                <xdr:colOff>171450</xdr:colOff>
                <xdr:row>70</xdr:row>
                <xdr:rowOff>352425</xdr:rowOff>
              </from>
              <to>
                <xdr:col>158</xdr:col>
                <xdr:colOff>400050</xdr:colOff>
                <xdr:row>72</xdr:row>
                <xdr:rowOff>219075</xdr:rowOff>
              </to>
            </anchor>
          </objectPr>
        </oleObject>
      </mc:Choice>
      <mc:Fallback>
        <oleObject progId="Equation.DSMT4" shapeId="1919" r:id="rId284"/>
      </mc:Fallback>
    </mc:AlternateContent>
    <mc:AlternateContent xmlns:mc="http://schemas.openxmlformats.org/markup-compatibility/2006">
      <mc:Choice Requires="x14">
        <oleObject progId="Equation.DSMT4" shapeId="1935" r:id="rId286">
          <objectPr defaultSize="0" autoPict="0" r:id="rId287">
            <anchor moveWithCells="1">
              <from>
                <xdr:col>209</xdr:col>
                <xdr:colOff>276225</xdr:colOff>
                <xdr:row>51</xdr:row>
                <xdr:rowOff>142875</xdr:rowOff>
              </from>
              <to>
                <xdr:col>212</xdr:col>
                <xdr:colOff>381000</xdr:colOff>
                <xdr:row>52</xdr:row>
                <xdr:rowOff>352425</xdr:rowOff>
              </to>
            </anchor>
          </objectPr>
        </oleObject>
      </mc:Choice>
      <mc:Fallback>
        <oleObject progId="Equation.DSMT4" shapeId="1935" r:id="rId286"/>
      </mc:Fallback>
    </mc:AlternateContent>
    <mc:AlternateContent xmlns:mc="http://schemas.openxmlformats.org/markup-compatibility/2006">
      <mc:Choice Requires="x14">
        <oleObject progId="Equation.DSMT4" shapeId="1937" r:id="rId288">
          <objectPr defaultSize="0" autoPict="0" r:id="rId289">
            <anchor moveWithCells="1">
              <from>
                <xdr:col>209</xdr:col>
                <xdr:colOff>314325</xdr:colOff>
                <xdr:row>47</xdr:row>
                <xdr:rowOff>228600</xdr:rowOff>
              </from>
              <to>
                <xdr:col>213</xdr:col>
                <xdr:colOff>171450</xdr:colOff>
                <xdr:row>48</xdr:row>
                <xdr:rowOff>200025</xdr:rowOff>
              </to>
            </anchor>
          </objectPr>
        </oleObject>
      </mc:Choice>
      <mc:Fallback>
        <oleObject progId="Equation.DSMT4" shapeId="1937" r:id="rId288"/>
      </mc:Fallback>
    </mc:AlternateContent>
    <mc:AlternateContent xmlns:mc="http://schemas.openxmlformats.org/markup-compatibility/2006">
      <mc:Choice Requires="x14">
        <oleObject progId="Equation.DSMT4" shapeId="1953" r:id="rId290">
          <objectPr defaultSize="0" autoPict="0" r:id="rId291">
            <anchor moveWithCells="1">
              <from>
                <xdr:col>273</xdr:col>
                <xdr:colOff>142875</xdr:colOff>
                <xdr:row>65</xdr:row>
                <xdr:rowOff>209550</xdr:rowOff>
              </from>
              <to>
                <xdr:col>279</xdr:col>
                <xdr:colOff>238125</xdr:colOff>
                <xdr:row>66</xdr:row>
                <xdr:rowOff>219075</xdr:rowOff>
              </to>
            </anchor>
          </objectPr>
        </oleObject>
      </mc:Choice>
      <mc:Fallback>
        <oleObject progId="Equation.DSMT4" shapeId="1953" r:id="rId290"/>
      </mc:Fallback>
    </mc:AlternateContent>
    <mc:AlternateContent xmlns:mc="http://schemas.openxmlformats.org/markup-compatibility/2006">
      <mc:Choice Requires="x14">
        <oleObject progId="Equation.DSMT4" shapeId="1959" r:id="rId292">
          <objectPr defaultSize="0" autoPict="0" r:id="rId293">
            <anchor moveWithCells="1">
              <from>
                <xdr:col>209</xdr:col>
                <xdr:colOff>323850</xdr:colOff>
                <xdr:row>80</xdr:row>
                <xdr:rowOff>152400</xdr:rowOff>
              </from>
              <to>
                <xdr:col>214</xdr:col>
                <xdr:colOff>142875</xdr:colOff>
                <xdr:row>81</xdr:row>
                <xdr:rowOff>495300</xdr:rowOff>
              </to>
            </anchor>
          </objectPr>
        </oleObject>
      </mc:Choice>
      <mc:Fallback>
        <oleObject progId="Equation.DSMT4" shapeId="1959" r:id="rId292"/>
      </mc:Fallback>
    </mc:AlternateContent>
    <mc:AlternateContent xmlns:mc="http://schemas.openxmlformats.org/markup-compatibility/2006">
      <mc:Choice Requires="x14">
        <oleObject progId="Equation.DSMT4" shapeId="1965" r:id="rId294">
          <objectPr defaultSize="0" autoPict="0" r:id="rId295">
            <anchor moveWithCells="1">
              <from>
                <xdr:col>210</xdr:col>
                <xdr:colOff>285750</xdr:colOff>
                <xdr:row>89</xdr:row>
                <xdr:rowOff>238125</xdr:rowOff>
              </from>
              <to>
                <xdr:col>217</xdr:col>
                <xdr:colOff>238125</xdr:colOff>
                <xdr:row>92</xdr:row>
                <xdr:rowOff>304800</xdr:rowOff>
              </to>
            </anchor>
          </objectPr>
        </oleObject>
      </mc:Choice>
      <mc:Fallback>
        <oleObject progId="Equation.DSMT4" shapeId="1965" r:id="rId294"/>
      </mc:Fallback>
    </mc:AlternateContent>
    <mc:AlternateContent xmlns:mc="http://schemas.openxmlformats.org/markup-compatibility/2006">
      <mc:Choice Requires="x14">
        <oleObject progId="Equation.DSMT4" shapeId="1968" r:id="rId296">
          <objectPr defaultSize="0" autoPict="0" r:id="rId297">
            <anchor moveWithCells="1">
              <from>
                <xdr:col>152</xdr:col>
                <xdr:colOff>219075</xdr:colOff>
                <xdr:row>48</xdr:row>
                <xdr:rowOff>285750</xdr:rowOff>
              </from>
              <to>
                <xdr:col>159</xdr:col>
                <xdr:colOff>104775</xdr:colOff>
                <xdr:row>50</xdr:row>
                <xdr:rowOff>285750</xdr:rowOff>
              </to>
            </anchor>
          </objectPr>
        </oleObject>
      </mc:Choice>
      <mc:Fallback>
        <oleObject progId="Equation.DSMT4" shapeId="1968" r:id="rId296"/>
      </mc:Fallback>
    </mc:AlternateContent>
    <mc:AlternateContent xmlns:mc="http://schemas.openxmlformats.org/markup-compatibility/2006">
      <mc:Choice Requires="x14">
        <oleObject progId="Equation.DSMT4" shapeId="1972" r:id="rId298">
          <objectPr defaultSize="0" autoPict="0" r:id="rId299">
            <anchor moveWithCells="1">
              <from>
                <xdr:col>151</xdr:col>
                <xdr:colOff>257175</xdr:colOff>
                <xdr:row>118</xdr:row>
                <xdr:rowOff>266700</xdr:rowOff>
              </from>
              <to>
                <xdr:col>157</xdr:col>
                <xdr:colOff>190500</xdr:colOff>
                <xdr:row>119</xdr:row>
                <xdr:rowOff>190500</xdr:rowOff>
              </to>
            </anchor>
          </objectPr>
        </oleObject>
      </mc:Choice>
      <mc:Fallback>
        <oleObject progId="Equation.DSMT4" shapeId="1972" r:id="rId298"/>
      </mc:Fallback>
    </mc:AlternateContent>
    <mc:AlternateContent xmlns:mc="http://schemas.openxmlformats.org/markup-compatibility/2006">
      <mc:Choice Requires="x14">
        <oleObject progId="Equation.DSMT4" shapeId="1978" r:id="rId300">
          <objectPr defaultSize="0" autoPict="0" r:id="rId301">
            <anchor moveWithCells="1">
              <from>
                <xdr:col>152</xdr:col>
                <xdr:colOff>285750</xdr:colOff>
                <xdr:row>106</xdr:row>
                <xdr:rowOff>257175</xdr:rowOff>
              </from>
              <to>
                <xdr:col>158</xdr:col>
                <xdr:colOff>361950</xdr:colOff>
                <xdr:row>107</xdr:row>
                <xdr:rowOff>228600</xdr:rowOff>
              </to>
            </anchor>
          </objectPr>
        </oleObject>
      </mc:Choice>
      <mc:Fallback>
        <oleObject progId="Equation.DSMT4" shapeId="1978" r:id="rId300"/>
      </mc:Fallback>
    </mc:AlternateContent>
    <mc:AlternateContent xmlns:mc="http://schemas.openxmlformats.org/markup-compatibility/2006">
      <mc:Choice Requires="x14">
        <oleObject progId="Equation.DSMT4" shapeId="1980" r:id="rId302">
          <objectPr defaultSize="0" autoPict="0" r:id="rId303">
            <anchor moveWithCells="1">
              <from>
                <xdr:col>151</xdr:col>
                <xdr:colOff>219075</xdr:colOff>
                <xdr:row>110</xdr:row>
                <xdr:rowOff>190500</xdr:rowOff>
              </from>
              <to>
                <xdr:col>160</xdr:col>
                <xdr:colOff>400050</xdr:colOff>
                <xdr:row>111</xdr:row>
                <xdr:rowOff>476250</xdr:rowOff>
              </to>
            </anchor>
          </objectPr>
        </oleObject>
      </mc:Choice>
      <mc:Fallback>
        <oleObject progId="Equation.DSMT4" shapeId="1980" r:id="rId302"/>
      </mc:Fallback>
    </mc:AlternateContent>
    <mc:AlternateContent xmlns:mc="http://schemas.openxmlformats.org/markup-compatibility/2006">
      <mc:Choice Requires="x14">
        <oleObject progId="Equation.DSMT4" shapeId="1982" r:id="rId304">
          <objectPr defaultSize="0" autoPict="0" r:id="rId305">
            <anchor moveWithCells="1">
              <from>
                <xdr:col>209</xdr:col>
                <xdr:colOff>247650</xdr:colOff>
                <xdr:row>138</xdr:row>
                <xdr:rowOff>342900</xdr:rowOff>
              </from>
              <to>
                <xdr:col>213</xdr:col>
                <xdr:colOff>190500</xdr:colOff>
                <xdr:row>139</xdr:row>
                <xdr:rowOff>209550</xdr:rowOff>
              </to>
            </anchor>
          </objectPr>
        </oleObject>
      </mc:Choice>
      <mc:Fallback>
        <oleObject progId="Equation.DSMT4" shapeId="1982" r:id="rId304"/>
      </mc:Fallback>
    </mc:AlternateContent>
    <mc:AlternateContent xmlns:mc="http://schemas.openxmlformats.org/markup-compatibility/2006">
      <mc:Choice Requires="x14">
        <oleObject progId="Equation.DSMT4" shapeId="1984" r:id="rId306">
          <objectPr defaultSize="0" autoPict="0" r:id="rId307">
            <anchor moveWithCells="1">
              <from>
                <xdr:col>210</xdr:col>
                <xdr:colOff>342900</xdr:colOff>
                <xdr:row>100</xdr:row>
                <xdr:rowOff>361950</xdr:rowOff>
              </from>
              <to>
                <xdr:col>222</xdr:col>
                <xdr:colOff>76200</xdr:colOff>
                <xdr:row>102</xdr:row>
                <xdr:rowOff>209550</xdr:rowOff>
              </to>
            </anchor>
          </objectPr>
        </oleObject>
      </mc:Choice>
      <mc:Fallback>
        <oleObject progId="Equation.DSMT4" shapeId="1984" r:id="rId306"/>
      </mc:Fallback>
    </mc:AlternateContent>
    <mc:AlternateContent xmlns:mc="http://schemas.openxmlformats.org/markup-compatibility/2006">
      <mc:Choice Requires="x14">
        <oleObject progId="Equation.DSMT4" shapeId="1985" r:id="rId308">
          <objectPr defaultSize="0" autoPict="0" r:id="rId309">
            <anchor moveWithCells="1">
              <from>
                <xdr:col>210</xdr:col>
                <xdr:colOff>342900</xdr:colOff>
                <xdr:row>105</xdr:row>
                <xdr:rowOff>447675</xdr:rowOff>
              </from>
              <to>
                <xdr:col>221</xdr:col>
                <xdr:colOff>533400</xdr:colOff>
                <xdr:row>107</xdr:row>
                <xdr:rowOff>190500</xdr:rowOff>
              </to>
            </anchor>
          </objectPr>
        </oleObject>
      </mc:Choice>
      <mc:Fallback>
        <oleObject progId="Equation.DSMT4" shapeId="1985" r:id="rId308"/>
      </mc:Fallback>
    </mc:AlternateContent>
    <mc:AlternateContent xmlns:mc="http://schemas.openxmlformats.org/markup-compatibility/2006">
      <mc:Choice Requires="x14">
        <oleObject progId="Equation.DSMT4" shapeId="1988" r:id="rId310">
          <objectPr defaultSize="0" autoPict="0" r:id="rId311">
            <anchor moveWithCells="1">
              <from>
                <xdr:col>210</xdr:col>
                <xdr:colOff>257175</xdr:colOff>
                <xdr:row>84</xdr:row>
                <xdr:rowOff>352425</xdr:rowOff>
              </from>
              <to>
                <xdr:col>222</xdr:col>
                <xdr:colOff>219075</xdr:colOff>
                <xdr:row>86</xdr:row>
                <xdr:rowOff>257175</xdr:rowOff>
              </to>
            </anchor>
          </objectPr>
        </oleObject>
      </mc:Choice>
      <mc:Fallback>
        <oleObject progId="Equation.DSMT4" shapeId="1988" r:id="rId310"/>
      </mc:Fallback>
    </mc:AlternateContent>
    <mc:AlternateContent xmlns:mc="http://schemas.openxmlformats.org/markup-compatibility/2006">
      <mc:Choice Requires="x14">
        <oleObject progId="Equation.DSMT4" shapeId="1996" r:id="rId312">
          <objectPr defaultSize="0" autoPict="0" r:id="rId313">
            <anchor moveWithCells="1">
              <from>
                <xdr:col>209</xdr:col>
                <xdr:colOff>200025</xdr:colOff>
                <xdr:row>130</xdr:row>
                <xdr:rowOff>238125</xdr:rowOff>
              </from>
              <to>
                <xdr:col>213</xdr:col>
                <xdr:colOff>333375</xdr:colOff>
                <xdr:row>131</xdr:row>
                <xdr:rowOff>219075</xdr:rowOff>
              </to>
            </anchor>
          </objectPr>
        </oleObject>
      </mc:Choice>
      <mc:Fallback>
        <oleObject progId="Equation.DSMT4" shapeId="1996" r:id="rId312"/>
      </mc:Fallback>
    </mc:AlternateContent>
    <mc:AlternateContent xmlns:mc="http://schemas.openxmlformats.org/markup-compatibility/2006">
      <mc:Choice Requires="x14">
        <oleObject progId="Equation.DSMT4" shapeId="2000" r:id="rId314">
          <objectPr defaultSize="0" autoPict="0" r:id="rId315">
            <anchor moveWithCells="1">
              <from>
                <xdr:col>151</xdr:col>
                <xdr:colOff>209550</xdr:colOff>
                <xdr:row>27</xdr:row>
                <xdr:rowOff>228600</xdr:rowOff>
              </from>
              <to>
                <xdr:col>156</xdr:col>
                <xdr:colOff>314325</xdr:colOff>
                <xdr:row>29</xdr:row>
                <xdr:rowOff>57150</xdr:rowOff>
              </to>
            </anchor>
          </objectPr>
        </oleObject>
      </mc:Choice>
      <mc:Fallback>
        <oleObject progId="Equation.DSMT4" shapeId="2000" r:id="rId314"/>
      </mc:Fallback>
    </mc:AlternateContent>
    <mc:AlternateContent xmlns:mc="http://schemas.openxmlformats.org/markup-compatibility/2006">
      <mc:Choice Requires="x14">
        <oleObject progId="Equation.DSMT4" shapeId="2001" r:id="rId316">
          <objectPr defaultSize="0" autoPict="0" r:id="rId317">
            <anchor moveWithCells="1">
              <from>
                <xdr:col>210</xdr:col>
                <xdr:colOff>95250</xdr:colOff>
                <xdr:row>95</xdr:row>
                <xdr:rowOff>304800</xdr:rowOff>
              </from>
              <to>
                <xdr:col>216</xdr:col>
                <xdr:colOff>228600</xdr:colOff>
                <xdr:row>97</xdr:row>
                <xdr:rowOff>0</xdr:rowOff>
              </to>
            </anchor>
          </objectPr>
        </oleObject>
      </mc:Choice>
      <mc:Fallback>
        <oleObject progId="Equation.DSMT4" shapeId="2001" r:id="rId316"/>
      </mc:Fallback>
    </mc:AlternateContent>
    <mc:AlternateContent xmlns:mc="http://schemas.openxmlformats.org/markup-compatibility/2006">
      <mc:Choice Requires="x14">
        <oleObject progId="Equation.DSMT4" shapeId="2009" r:id="rId318">
          <objectPr defaultSize="0" autoPict="0" r:id="rId319">
            <anchor moveWithCells="1">
              <from>
                <xdr:col>273</xdr:col>
                <xdr:colOff>200025</xdr:colOff>
                <xdr:row>50</xdr:row>
                <xdr:rowOff>371475</xdr:rowOff>
              </from>
              <to>
                <xdr:col>277</xdr:col>
                <xdr:colOff>219075</xdr:colOff>
                <xdr:row>52</xdr:row>
                <xdr:rowOff>171450</xdr:rowOff>
              </to>
            </anchor>
          </objectPr>
        </oleObject>
      </mc:Choice>
      <mc:Fallback>
        <oleObject progId="Equation.DSMT4" shapeId="2009" r:id="rId318"/>
      </mc:Fallback>
    </mc:AlternateContent>
    <mc:AlternateContent xmlns:mc="http://schemas.openxmlformats.org/markup-compatibility/2006">
      <mc:Choice Requires="x14">
        <oleObject progId="Equation.DSMT4" shapeId="2017" r:id="rId320">
          <objectPr defaultSize="0" autoPict="0" r:id="rId321">
            <anchor moveWithCells="1">
              <from>
                <xdr:col>209</xdr:col>
                <xdr:colOff>419100</xdr:colOff>
                <xdr:row>35</xdr:row>
                <xdr:rowOff>238125</xdr:rowOff>
              </from>
              <to>
                <xdr:col>213</xdr:col>
                <xdr:colOff>152400</xdr:colOff>
                <xdr:row>36</xdr:row>
                <xdr:rowOff>285750</xdr:rowOff>
              </to>
            </anchor>
          </objectPr>
        </oleObject>
      </mc:Choice>
      <mc:Fallback>
        <oleObject progId="Equation.DSMT4" shapeId="2017" r:id="rId320"/>
      </mc:Fallback>
    </mc:AlternateContent>
    <mc:AlternateContent xmlns:mc="http://schemas.openxmlformats.org/markup-compatibility/2006">
      <mc:Choice Requires="x14">
        <oleObject progId="Equation.DSMT4" shapeId="2019" r:id="rId322">
          <objectPr defaultSize="0" autoPict="0" r:id="rId323">
            <anchor moveWithCells="1">
              <from>
                <xdr:col>273</xdr:col>
                <xdr:colOff>333375</xdr:colOff>
                <xdr:row>90</xdr:row>
                <xdr:rowOff>381000</xdr:rowOff>
              </from>
              <to>
                <xdr:col>277</xdr:col>
                <xdr:colOff>266700</xdr:colOff>
                <xdr:row>92</xdr:row>
                <xdr:rowOff>209550</xdr:rowOff>
              </to>
            </anchor>
          </objectPr>
        </oleObject>
      </mc:Choice>
      <mc:Fallback>
        <oleObject progId="Equation.DSMT4" shapeId="2019" r:id="rId322"/>
      </mc:Fallback>
    </mc:AlternateContent>
    <mc:AlternateContent xmlns:mc="http://schemas.openxmlformats.org/markup-compatibility/2006">
      <mc:Choice Requires="x14">
        <oleObject progId="Equation.DSMT4" shapeId="2020" r:id="rId324">
          <objectPr defaultSize="0" autoPict="0" r:id="rId325">
            <anchor moveWithCells="1">
              <from>
                <xdr:col>103</xdr:col>
                <xdr:colOff>333375</xdr:colOff>
                <xdr:row>103</xdr:row>
                <xdr:rowOff>95250</xdr:rowOff>
              </from>
              <to>
                <xdr:col>106</xdr:col>
                <xdr:colOff>371475</xdr:colOff>
                <xdr:row>104</xdr:row>
                <xdr:rowOff>466725</xdr:rowOff>
              </to>
            </anchor>
          </objectPr>
        </oleObject>
      </mc:Choice>
      <mc:Fallback>
        <oleObject progId="Equation.DSMT4" shapeId="2020" r:id="rId324"/>
      </mc:Fallback>
    </mc:AlternateContent>
    <mc:AlternateContent xmlns:mc="http://schemas.openxmlformats.org/markup-compatibility/2006">
      <mc:Choice Requires="x14">
        <oleObject progId="Equation.DSMT4" shapeId="13323" r:id="rId326">
          <objectPr defaultSize="0" autoPict="0" r:id="rId327">
            <anchor moveWithCells="1">
              <from>
                <xdr:col>97</xdr:col>
                <xdr:colOff>209550</xdr:colOff>
                <xdr:row>75</xdr:row>
                <xdr:rowOff>333375</xdr:rowOff>
              </from>
              <to>
                <xdr:col>100</xdr:col>
                <xdr:colOff>314325</xdr:colOff>
                <xdr:row>76</xdr:row>
                <xdr:rowOff>247650</xdr:rowOff>
              </to>
            </anchor>
          </objectPr>
        </oleObject>
      </mc:Choice>
      <mc:Fallback>
        <oleObject progId="Equation.DSMT4" shapeId="13323" r:id="rId326"/>
      </mc:Fallback>
    </mc:AlternateContent>
    <mc:AlternateContent xmlns:mc="http://schemas.openxmlformats.org/markup-compatibility/2006">
      <mc:Choice Requires="x14">
        <oleObject progId="Equation.DSMT4" shapeId="13331" r:id="rId328">
          <objectPr defaultSize="0" autoPict="0" r:id="rId329">
            <anchor moveWithCells="1">
              <from>
                <xdr:col>97</xdr:col>
                <xdr:colOff>152400</xdr:colOff>
                <xdr:row>87</xdr:row>
                <xdr:rowOff>171450</xdr:rowOff>
              </from>
              <to>
                <xdr:col>101</xdr:col>
                <xdr:colOff>419100</xdr:colOff>
                <xdr:row>88</xdr:row>
                <xdr:rowOff>447675</xdr:rowOff>
              </to>
            </anchor>
          </objectPr>
        </oleObject>
      </mc:Choice>
      <mc:Fallback>
        <oleObject progId="Equation.DSMT4" shapeId="13331" r:id="rId328"/>
      </mc:Fallback>
    </mc:AlternateContent>
    <mc:AlternateContent xmlns:mc="http://schemas.openxmlformats.org/markup-compatibility/2006">
      <mc:Choice Requires="x14">
        <oleObject progId="Equation.DSMT4" shapeId="13332" r:id="rId330">
          <objectPr defaultSize="0" autoPict="0" r:id="rId331">
            <anchor moveWithCells="1">
              <from>
                <xdr:col>273</xdr:col>
                <xdr:colOff>333375</xdr:colOff>
                <xdr:row>158</xdr:row>
                <xdr:rowOff>123825</xdr:rowOff>
              </from>
              <to>
                <xdr:col>277</xdr:col>
                <xdr:colOff>238125</xdr:colOff>
                <xdr:row>159</xdr:row>
                <xdr:rowOff>371475</xdr:rowOff>
              </to>
            </anchor>
          </objectPr>
        </oleObject>
      </mc:Choice>
      <mc:Fallback>
        <oleObject progId="Equation.DSMT4" shapeId="13332" r:id="rId330"/>
      </mc:Fallback>
    </mc:AlternateContent>
    <mc:AlternateContent xmlns:mc="http://schemas.openxmlformats.org/markup-compatibility/2006">
      <mc:Choice Requires="x14">
        <oleObject progId="Equation.DSMT4" shapeId="13340" r:id="rId332">
          <objectPr defaultSize="0" autoPict="0" r:id="rId333">
            <anchor moveWithCells="1">
              <from>
                <xdr:col>496</xdr:col>
                <xdr:colOff>228600</xdr:colOff>
                <xdr:row>16</xdr:row>
                <xdr:rowOff>333375</xdr:rowOff>
              </from>
              <to>
                <xdr:col>499</xdr:col>
                <xdr:colOff>228600</xdr:colOff>
                <xdr:row>17</xdr:row>
                <xdr:rowOff>209550</xdr:rowOff>
              </to>
            </anchor>
          </objectPr>
        </oleObject>
      </mc:Choice>
      <mc:Fallback>
        <oleObject progId="Equation.DSMT4" shapeId="13340" r:id="rId332"/>
      </mc:Fallback>
    </mc:AlternateContent>
    <mc:AlternateContent xmlns:mc="http://schemas.openxmlformats.org/markup-compatibility/2006">
      <mc:Choice Requires="x14">
        <oleObject progId="Equation.DSMT4" shapeId="13341" r:id="rId334">
          <objectPr defaultSize="0" autoPict="0" r:id="rId335">
            <anchor moveWithCells="1">
              <from>
                <xdr:col>560</xdr:col>
                <xdr:colOff>247650</xdr:colOff>
                <xdr:row>16</xdr:row>
                <xdr:rowOff>142875</xdr:rowOff>
              </from>
              <to>
                <xdr:col>563</xdr:col>
                <xdr:colOff>323850</xdr:colOff>
                <xdr:row>17</xdr:row>
                <xdr:rowOff>419100</xdr:rowOff>
              </to>
            </anchor>
          </objectPr>
        </oleObject>
      </mc:Choice>
      <mc:Fallback>
        <oleObject progId="Equation.DSMT4" shapeId="13341" r:id="rId334"/>
      </mc:Fallback>
    </mc:AlternateContent>
    <mc:AlternateContent xmlns:mc="http://schemas.openxmlformats.org/markup-compatibility/2006">
      <mc:Choice Requires="x14">
        <oleObject progId="Equation.DSMT4" shapeId="13345" r:id="rId336">
          <objectPr defaultSize="0" autoPict="0" r:id="rId337">
            <anchor moveWithCells="1">
              <from>
                <xdr:col>564</xdr:col>
                <xdr:colOff>533400</xdr:colOff>
                <xdr:row>16</xdr:row>
                <xdr:rowOff>190500</xdr:rowOff>
              </from>
              <to>
                <xdr:col>567</xdr:col>
                <xdr:colOff>428625</xdr:colOff>
                <xdr:row>17</xdr:row>
                <xdr:rowOff>390525</xdr:rowOff>
              </to>
            </anchor>
          </objectPr>
        </oleObject>
      </mc:Choice>
      <mc:Fallback>
        <oleObject progId="Equation.DSMT4" shapeId="13345" r:id="rId336"/>
      </mc:Fallback>
    </mc:AlternateContent>
    <mc:AlternateContent xmlns:mc="http://schemas.openxmlformats.org/markup-compatibility/2006">
      <mc:Choice Requires="x14">
        <oleObject progId="Equation.DSMT4" shapeId="13802" r:id="rId338">
          <objectPr defaultSize="0" autoPict="0" r:id="rId339">
            <anchor moveWithCells="1">
              <from>
                <xdr:col>359</xdr:col>
                <xdr:colOff>295275</xdr:colOff>
                <xdr:row>30</xdr:row>
                <xdr:rowOff>333375</xdr:rowOff>
              </from>
              <to>
                <xdr:col>363</xdr:col>
                <xdr:colOff>171450</xdr:colOff>
                <xdr:row>31</xdr:row>
                <xdr:rowOff>228600</xdr:rowOff>
              </to>
            </anchor>
          </objectPr>
        </oleObject>
      </mc:Choice>
      <mc:Fallback>
        <oleObject progId="Equation.DSMT4" shapeId="13802" r:id="rId338"/>
      </mc:Fallback>
    </mc:AlternateContent>
    <mc:AlternateContent xmlns:mc="http://schemas.openxmlformats.org/markup-compatibility/2006">
      <mc:Choice Requires="x14">
        <oleObject progId="Equation.DSMT4" shapeId="13803" r:id="rId340">
          <objectPr defaultSize="0" autoPict="0" r:id="rId341">
            <anchor moveWithCells="1">
              <from>
                <xdr:col>359</xdr:col>
                <xdr:colOff>228600</xdr:colOff>
                <xdr:row>34</xdr:row>
                <xdr:rowOff>381000</xdr:rowOff>
              </from>
              <to>
                <xdr:col>363</xdr:col>
                <xdr:colOff>323850</xdr:colOff>
                <xdr:row>35</xdr:row>
                <xdr:rowOff>266700</xdr:rowOff>
              </to>
            </anchor>
          </objectPr>
        </oleObject>
      </mc:Choice>
      <mc:Fallback>
        <oleObject progId="Equation.DSMT4" shapeId="13803" r:id="rId340"/>
      </mc:Fallback>
    </mc:AlternateContent>
    <mc:AlternateContent xmlns:mc="http://schemas.openxmlformats.org/markup-compatibility/2006">
      <mc:Choice Requires="x14">
        <oleObject progId="Equation.DSMT4" shapeId="13807" r:id="rId342">
          <objectPr defaultSize="0" autoPict="0" r:id="rId343">
            <anchor moveWithCells="1">
              <from>
                <xdr:col>359</xdr:col>
                <xdr:colOff>190500</xdr:colOff>
                <xdr:row>52</xdr:row>
                <xdr:rowOff>47625</xdr:rowOff>
              </from>
              <to>
                <xdr:col>362</xdr:col>
                <xdr:colOff>228600</xdr:colOff>
                <xdr:row>53</xdr:row>
                <xdr:rowOff>409575</xdr:rowOff>
              </to>
            </anchor>
          </objectPr>
        </oleObject>
      </mc:Choice>
      <mc:Fallback>
        <oleObject progId="Equation.DSMT4" shapeId="13807" r:id="rId342"/>
      </mc:Fallback>
    </mc:AlternateContent>
    <mc:AlternateContent xmlns:mc="http://schemas.openxmlformats.org/markup-compatibility/2006">
      <mc:Choice Requires="x14">
        <oleObject progId="Equation.DSMT4" shapeId="13808" r:id="rId344">
          <objectPr defaultSize="0" autoPict="0" r:id="rId345">
            <anchor moveWithCells="1">
              <from>
                <xdr:col>359</xdr:col>
                <xdr:colOff>219075</xdr:colOff>
                <xdr:row>22</xdr:row>
                <xdr:rowOff>123825</xdr:rowOff>
              </from>
              <to>
                <xdr:col>361</xdr:col>
                <xdr:colOff>371475</xdr:colOff>
                <xdr:row>23</xdr:row>
                <xdr:rowOff>390525</xdr:rowOff>
              </to>
            </anchor>
          </objectPr>
        </oleObject>
      </mc:Choice>
      <mc:Fallback>
        <oleObject progId="Equation.DSMT4" shapeId="13808" r:id="rId344"/>
      </mc:Fallback>
    </mc:AlternateContent>
    <mc:AlternateContent xmlns:mc="http://schemas.openxmlformats.org/markup-compatibility/2006">
      <mc:Choice Requires="x14">
        <oleObject progId="Equation.DSMT4" shapeId="13827" r:id="rId346">
          <objectPr defaultSize="0" autoPict="0" r:id="rId347">
            <anchor moveWithCells="1">
              <from>
                <xdr:col>359</xdr:col>
                <xdr:colOff>123825</xdr:colOff>
                <xdr:row>68</xdr:row>
                <xdr:rowOff>123825</xdr:rowOff>
              </from>
              <to>
                <xdr:col>361</xdr:col>
                <xdr:colOff>419100</xdr:colOff>
                <xdr:row>69</xdr:row>
                <xdr:rowOff>476250</xdr:rowOff>
              </to>
            </anchor>
          </objectPr>
        </oleObject>
      </mc:Choice>
      <mc:Fallback>
        <oleObject progId="Equation.DSMT4" shapeId="13827" r:id="rId346"/>
      </mc:Fallback>
    </mc:AlternateContent>
    <mc:AlternateContent xmlns:mc="http://schemas.openxmlformats.org/markup-compatibility/2006">
      <mc:Choice Requires="x14">
        <oleObject progId="Equation.DSMT4" shapeId="13850" r:id="rId348">
          <objectPr defaultSize="0" autoPict="0" r:id="rId349">
            <anchor moveWithCells="1">
              <from>
                <xdr:col>359</xdr:col>
                <xdr:colOff>200025</xdr:colOff>
                <xdr:row>85</xdr:row>
                <xdr:rowOff>114300</xdr:rowOff>
              </from>
              <to>
                <xdr:col>364</xdr:col>
                <xdr:colOff>381000</xdr:colOff>
                <xdr:row>86</xdr:row>
                <xdr:rowOff>466725</xdr:rowOff>
              </to>
            </anchor>
          </objectPr>
        </oleObject>
      </mc:Choice>
      <mc:Fallback>
        <oleObject progId="Equation.DSMT4" shapeId="13850" r:id="rId348"/>
      </mc:Fallback>
    </mc:AlternateContent>
    <mc:AlternateContent xmlns:mc="http://schemas.openxmlformats.org/markup-compatibility/2006">
      <mc:Choice Requires="x14">
        <oleObject progId="Equation.DSMT4" shapeId="13853" r:id="rId350">
          <objectPr defaultSize="0" autoPict="0" r:id="rId351">
            <anchor moveWithCells="1">
              <from>
                <xdr:col>359</xdr:col>
                <xdr:colOff>295275</xdr:colOff>
                <xdr:row>91</xdr:row>
                <xdr:rowOff>161925</xdr:rowOff>
              </from>
              <to>
                <xdr:col>363</xdr:col>
                <xdr:colOff>152400</xdr:colOff>
                <xdr:row>92</xdr:row>
                <xdr:rowOff>438150</xdr:rowOff>
              </to>
            </anchor>
          </objectPr>
        </oleObject>
      </mc:Choice>
      <mc:Fallback>
        <oleObject progId="Equation.DSMT4" shapeId="13853" r:id="rId350"/>
      </mc:Fallback>
    </mc:AlternateContent>
    <mc:AlternateContent xmlns:mc="http://schemas.openxmlformats.org/markup-compatibility/2006">
      <mc:Choice Requires="x14">
        <oleObject progId="Equation.DSMT4" shapeId="13858" r:id="rId352">
          <objectPr defaultSize="0" autoPict="0" r:id="rId353">
            <anchor moveWithCells="1">
              <from>
                <xdr:col>347</xdr:col>
                <xdr:colOff>361950</xdr:colOff>
                <xdr:row>100</xdr:row>
                <xdr:rowOff>104775</xdr:rowOff>
              </from>
              <to>
                <xdr:col>356</xdr:col>
                <xdr:colOff>457200</xdr:colOff>
                <xdr:row>101</xdr:row>
                <xdr:rowOff>438150</xdr:rowOff>
              </to>
            </anchor>
          </objectPr>
        </oleObject>
      </mc:Choice>
      <mc:Fallback>
        <oleObject progId="Equation.DSMT4" shapeId="13858" r:id="rId352"/>
      </mc:Fallback>
    </mc:AlternateContent>
    <mc:AlternateContent xmlns:mc="http://schemas.openxmlformats.org/markup-compatibility/2006">
      <mc:Choice Requires="x14">
        <oleObject progId="Equation.DSMT4" shapeId="13890" r:id="rId354">
          <objectPr defaultSize="0" autoPict="0" r:id="rId355">
            <anchor moveWithCells="1">
              <from>
                <xdr:col>401</xdr:col>
                <xdr:colOff>209550</xdr:colOff>
                <xdr:row>122</xdr:row>
                <xdr:rowOff>304800</xdr:rowOff>
              </from>
              <to>
                <xdr:col>406</xdr:col>
                <xdr:colOff>419100</xdr:colOff>
                <xdr:row>123</xdr:row>
                <xdr:rowOff>323850</xdr:rowOff>
              </to>
            </anchor>
          </objectPr>
        </oleObject>
      </mc:Choice>
      <mc:Fallback>
        <oleObject progId="Equation.DSMT4" shapeId="13890" r:id="rId354"/>
      </mc:Fallback>
    </mc:AlternateContent>
    <mc:AlternateContent xmlns:mc="http://schemas.openxmlformats.org/markup-compatibility/2006">
      <mc:Choice Requires="x14">
        <oleObject progId="Equation.DSMT4" shapeId="13898" r:id="rId356">
          <objectPr defaultSize="0" autoPict="0" r:id="rId357">
            <anchor moveWithCells="1">
              <from>
                <xdr:col>359</xdr:col>
                <xdr:colOff>190500</xdr:colOff>
                <xdr:row>42</xdr:row>
                <xdr:rowOff>142875</xdr:rowOff>
              </from>
              <to>
                <xdr:col>364</xdr:col>
                <xdr:colOff>219075</xdr:colOff>
                <xdr:row>43</xdr:row>
                <xdr:rowOff>457200</xdr:rowOff>
              </to>
            </anchor>
          </objectPr>
        </oleObject>
      </mc:Choice>
      <mc:Fallback>
        <oleObject progId="Equation.DSMT4" shapeId="13898" r:id="rId356"/>
      </mc:Fallback>
    </mc:AlternateContent>
    <mc:AlternateContent xmlns:mc="http://schemas.openxmlformats.org/markup-compatibility/2006">
      <mc:Choice Requires="x14">
        <oleObject progId="Equation.DSMT4" shapeId="13899" r:id="rId358">
          <objectPr defaultSize="0" autoPict="0" r:id="rId359">
            <anchor moveWithCells="1">
              <from>
                <xdr:col>364</xdr:col>
                <xdr:colOff>161925</xdr:colOff>
                <xdr:row>122</xdr:row>
                <xdr:rowOff>238125</xdr:rowOff>
              </from>
              <to>
                <xdr:col>370</xdr:col>
                <xdr:colOff>228600</xdr:colOff>
                <xdr:row>123</xdr:row>
                <xdr:rowOff>228600</xdr:rowOff>
              </to>
            </anchor>
          </objectPr>
        </oleObject>
      </mc:Choice>
      <mc:Fallback>
        <oleObject progId="Equation.DSMT4" shapeId="13899" r:id="rId358"/>
      </mc:Fallback>
    </mc:AlternateContent>
    <mc:AlternateContent xmlns:mc="http://schemas.openxmlformats.org/markup-compatibility/2006">
      <mc:Choice Requires="x14">
        <oleObject progId="Equation.DSMT4" shapeId="13901" r:id="rId360">
          <objectPr defaultSize="0" autoPict="0" r:id="rId361">
            <anchor moveWithCells="1">
              <from>
                <xdr:col>375</xdr:col>
                <xdr:colOff>0</xdr:colOff>
                <xdr:row>128</xdr:row>
                <xdr:rowOff>295275</xdr:rowOff>
              </from>
              <to>
                <xdr:col>380</xdr:col>
                <xdr:colOff>171450</xdr:colOff>
                <xdr:row>129</xdr:row>
                <xdr:rowOff>180975</xdr:rowOff>
              </to>
            </anchor>
          </objectPr>
        </oleObject>
      </mc:Choice>
      <mc:Fallback>
        <oleObject progId="Equation.DSMT4" shapeId="13901" r:id="rId360"/>
      </mc:Fallback>
    </mc:AlternateContent>
    <mc:AlternateContent xmlns:mc="http://schemas.openxmlformats.org/markup-compatibility/2006">
      <mc:Choice Requires="x14">
        <oleObject progId="Equation.DSMT4" shapeId="13903" r:id="rId362">
          <objectPr defaultSize="0" autoPict="0" r:id="rId363">
            <anchor moveWithCells="1">
              <from>
                <xdr:col>360</xdr:col>
                <xdr:colOff>285750</xdr:colOff>
                <xdr:row>136</xdr:row>
                <xdr:rowOff>285750</xdr:rowOff>
              </from>
              <to>
                <xdr:col>370</xdr:col>
                <xdr:colOff>257175</xdr:colOff>
                <xdr:row>138</xdr:row>
                <xdr:rowOff>333375</xdr:rowOff>
              </to>
            </anchor>
          </objectPr>
        </oleObject>
      </mc:Choice>
      <mc:Fallback>
        <oleObject progId="Equation.DSMT4" shapeId="13903" r:id="rId362"/>
      </mc:Fallback>
    </mc:AlternateContent>
    <mc:AlternateContent xmlns:mc="http://schemas.openxmlformats.org/markup-compatibility/2006">
      <mc:Choice Requires="x14">
        <oleObject progId="Equation.DSMT4" shapeId="13913" r:id="rId364">
          <objectPr defaultSize="0" autoPict="0" r:id="rId365">
            <anchor moveWithCells="1">
              <from>
                <xdr:col>360</xdr:col>
                <xdr:colOff>295275</xdr:colOff>
                <xdr:row>216</xdr:row>
                <xdr:rowOff>352425</xdr:rowOff>
              </from>
              <to>
                <xdr:col>369</xdr:col>
                <xdr:colOff>371475</xdr:colOff>
                <xdr:row>218</xdr:row>
                <xdr:rowOff>419100</xdr:rowOff>
              </to>
            </anchor>
          </objectPr>
        </oleObject>
      </mc:Choice>
      <mc:Fallback>
        <oleObject progId="Equation.DSMT4" shapeId="13913" r:id="rId364"/>
      </mc:Fallback>
    </mc:AlternateContent>
    <mc:AlternateContent xmlns:mc="http://schemas.openxmlformats.org/markup-compatibility/2006">
      <mc:Choice Requires="x14">
        <oleObject progId="Equation.DSMT4" shapeId="13917" r:id="rId366">
          <objectPr defaultSize="0" autoPict="0" r:id="rId367">
            <anchor moveWithCells="1">
              <from>
                <xdr:col>359</xdr:col>
                <xdr:colOff>333375</xdr:colOff>
                <xdr:row>203</xdr:row>
                <xdr:rowOff>352425</xdr:rowOff>
              </from>
              <to>
                <xdr:col>365</xdr:col>
                <xdr:colOff>238125</xdr:colOff>
                <xdr:row>205</xdr:row>
                <xdr:rowOff>257175</xdr:rowOff>
              </to>
            </anchor>
          </objectPr>
        </oleObject>
      </mc:Choice>
      <mc:Fallback>
        <oleObject progId="Equation.DSMT4" shapeId="13917" r:id="rId366"/>
      </mc:Fallback>
    </mc:AlternateContent>
    <mc:AlternateContent xmlns:mc="http://schemas.openxmlformats.org/markup-compatibility/2006">
      <mc:Choice Requires="x14">
        <oleObject progId="Equation.DSMT4" shapeId="13919" r:id="rId368">
          <objectPr defaultSize="0" autoPict="0" r:id="rId369">
            <anchor moveWithCells="1">
              <from>
                <xdr:col>359</xdr:col>
                <xdr:colOff>314325</xdr:colOff>
                <xdr:row>141</xdr:row>
                <xdr:rowOff>381000</xdr:rowOff>
              </from>
              <to>
                <xdr:col>365</xdr:col>
                <xdr:colOff>219075</xdr:colOff>
                <xdr:row>143</xdr:row>
                <xdr:rowOff>342900</xdr:rowOff>
              </to>
            </anchor>
          </objectPr>
        </oleObject>
      </mc:Choice>
      <mc:Fallback>
        <oleObject progId="Equation.DSMT4" shapeId="13919" r:id="rId368"/>
      </mc:Fallback>
    </mc:AlternateContent>
    <mc:AlternateContent xmlns:mc="http://schemas.openxmlformats.org/markup-compatibility/2006">
      <mc:Choice Requires="x14">
        <oleObject progId="Equation.DSMT4" shapeId="13921" r:id="rId370">
          <objectPr defaultSize="0" autoPict="0" r:id="rId371">
            <anchor moveWithCells="1">
              <from>
                <xdr:col>359</xdr:col>
                <xdr:colOff>304800</xdr:colOff>
                <xdr:row>228</xdr:row>
                <xdr:rowOff>285750</xdr:rowOff>
              </from>
              <to>
                <xdr:col>367</xdr:col>
                <xdr:colOff>133350</xdr:colOff>
                <xdr:row>230</xdr:row>
                <xdr:rowOff>342900</xdr:rowOff>
              </to>
            </anchor>
          </objectPr>
        </oleObject>
      </mc:Choice>
      <mc:Fallback>
        <oleObject progId="Equation.DSMT4" shapeId="13921" r:id="rId370"/>
      </mc:Fallback>
    </mc:AlternateContent>
    <mc:AlternateContent xmlns:mc="http://schemas.openxmlformats.org/markup-compatibility/2006">
      <mc:Choice Requires="x14">
        <oleObject progId="Equation.DSMT4" shapeId="13925" r:id="rId372">
          <objectPr defaultSize="0" autoPict="0" r:id="rId373">
            <anchor moveWithCells="1">
              <from>
                <xdr:col>361</xdr:col>
                <xdr:colOff>209550</xdr:colOff>
                <xdr:row>146</xdr:row>
                <xdr:rowOff>314325</xdr:rowOff>
              </from>
              <to>
                <xdr:col>371</xdr:col>
                <xdr:colOff>409575</xdr:colOff>
                <xdr:row>148</xdr:row>
                <xdr:rowOff>276225</xdr:rowOff>
              </to>
            </anchor>
          </objectPr>
        </oleObject>
      </mc:Choice>
      <mc:Fallback>
        <oleObject progId="Equation.DSMT4" shapeId="13925" r:id="rId372"/>
      </mc:Fallback>
    </mc:AlternateContent>
    <mc:AlternateContent xmlns:mc="http://schemas.openxmlformats.org/markup-compatibility/2006">
      <mc:Choice Requires="x14">
        <oleObject progId="Equation.DSMT4" shapeId="13933" r:id="rId374">
          <objectPr defaultSize="0" autoPict="0" r:id="rId375">
            <anchor moveWithCells="1">
              <from>
                <xdr:col>360</xdr:col>
                <xdr:colOff>209550</xdr:colOff>
                <xdr:row>187</xdr:row>
                <xdr:rowOff>333375</xdr:rowOff>
              </from>
              <to>
                <xdr:col>364</xdr:col>
                <xdr:colOff>104775</xdr:colOff>
                <xdr:row>189</xdr:row>
                <xdr:rowOff>247650</xdr:rowOff>
              </to>
            </anchor>
          </objectPr>
        </oleObject>
      </mc:Choice>
      <mc:Fallback>
        <oleObject progId="Equation.DSMT4" shapeId="13933" r:id="rId374"/>
      </mc:Fallback>
    </mc:AlternateContent>
    <mc:AlternateContent xmlns:mc="http://schemas.openxmlformats.org/markup-compatibility/2006">
      <mc:Choice Requires="x14">
        <oleObject progId="Equation.DSMT4" shapeId="13934" r:id="rId376">
          <objectPr defaultSize="0" autoPict="0" r:id="rId377">
            <anchor moveWithCells="1">
              <from>
                <xdr:col>152</xdr:col>
                <xdr:colOff>295275</xdr:colOff>
                <xdr:row>81</xdr:row>
                <xdr:rowOff>238125</xdr:rowOff>
              </from>
              <to>
                <xdr:col>164</xdr:col>
                <xdr:colOff>323850</xdr:colOff>
                <xdr:row>83</xdr:row>
                <xdr:rowOff>314325</xdr:rowOff>
              </to>
            </anchor>
          </objectPr>
        </oleObject>
      </mc:Choice>
      <mc:Fallback>
        <oleObject progId="Equation.DSMT4" shapeId="13934" r:id="rId376"/>
      </mc:Fallback>
    </mc:AlternateContent>
    <mc:AlternateContent xmlns:mc="http://schemas.openxmlformats.org/markup-compatibility/2006">
      <mc:Choice Requires="x14">
        <oleObject progId="Equation.DSMT4" shapeId="13935" r:id="rId378">
          <objectPr defaultSize="0" autoPict="0" r:id="rId379">
            <anchor moveWithCells="1">
              <from>
                <xdr:col>210</xdr:col>
                <xdr:colOff>219075</xdr:colOff>
                <xdr:row>59</xdr:row>
                <xdr:rowOff>257175</xdr:rowOff>
              </from>
              <to>
                <xdr:col>213</xdr:col>
                <xdr:colOff>400050</xdr:colOff>
                <xdr:row>61</xdr:row>
                <xdr:rowOff>276225</xdr:rowOff>
              </to>
            </anchor>
          </objectPr>
        </oleObject>
      </mc:Choice>
      <mc:Fallback>
        <oleObject progId="Equation.DSMT4" shapeId="13935" r:id="rId378"/>
      </mc:Fallback>
    </mc:AlternateContent>
    <mc:AlternateContent xmlns:mc="http://schemas.openxmlformats.org/markup-compatibility/2006">
      <mc:Choice Requires="x14">
        <oleObject progId="Equation.DSMT4" shapeId="13936" r:id="rId380">
          <objectPr defaultSize="0" autoPict="0" r:id="rId381">
            <anchor moveWithCells="1">
              <from>
                <xdr:col>359</xdr:col>
                <xdr:colOff>314325</xdr:colOff>
                <xdr:row>221</xdr:row>
                <xdr:rowOff>238125</xdr:rowOff>
              </from>
              <to>
                <xdr:col>367</xdr:col>
                <xdr:colOff>342900</xdr:colOff>
                <xdr:row>223</xdr:row>
                <xdr:rowOff>276225</xdr:rowOff>
              </to>
            </anchor>
          </objectPr>
        </oleObject>
      </mc:Choice>
      <mc:Fallback>
        <oleObject progId="Equation.DSMT4" shapeId="13936" r:id="rId380"/>
      </mc:Fallback>
    </mc:AlternateContent>
    <mc:AlternateContent xmlns:mc="http://schemas.openxmlformats.org/markup-compatibility/2006">
      <mc:Choice Requires="x14">
        <oleObject progId="Equation.DSMT4" shapeId="13946" r:id="rId382">
          <objectPr defaultSize="0" autoPict="0" r:id="rId383">
            <anchor moveWithCells="1">
              <from>
                <xdr:col>273</xdr:col>
                <xdr:colOff>228600</xdr:colOff>
                <xdr:row>164</xdr:row>
                <xdr:rowOff>504825</xdr:rowOff>
              </from>
              <to>
                <xdr:col>276</xdr:col>
                <xdr:colOff>152400</xdr:colOff>
                <xdr:row>166</xdr:row>
                <xdr:rowOff>333375</xdr:rowOff>
              </to>
            </anchor>
          </objectPr>
        </oleObject>
      </mc:Choice>
      <mc:Fallback>
        <oleObject progId="Equation.DSMT4" shapeId="13946" r:id="rId382"/>
      </mc:Fallback>
    </mc:AlternateContent>
    <mc:AlternateContent xmlns:mc="http://schemas.openxmlformats.org/markup-compatibility/2006">
      <mc:Choice Requires="x14">
        <oleObject progId="Equation.DSMT4" shapeId="13948" r:id="rId384">
          <objectPr defaultSize="0" autoPict="0" r:id="rId385">
            <anchor moveWithCells="1">
              <from>
                <xdr:col>623</xdr:col>
                <xdr:colOff>238125</xdr:colOff>
                <xdr:row>91</xdr:row>
                <xdr:rowOff>238125</xdr:rowOff>
              </from>
              <to>
                <xdr:col>629</xdr:col>
                <xdr:colOff>390525</xdr:colOff>
                <xdr:row>92</xdr:row>
                <xdr:rowOff>266700</xdr:rowOff>
              </to>
            </anchor>
          </objectPr>
        </oleObject>
      </mc:Choice>
      <mc:Fallback>
        <oleObject progId="Equation.DSMT4" shapeId="13948" r:id="rId384"/>
      </mc:Fallback>
    </mc:AlternateContent>
    <mc:AlternateContent xmlns:mc="http://schemas.openxmlformats.org/markup-compatibility/2006">
      <mc:Choice Requires="x14">
        <oleObject progId="Equation.DSMT4" shapeId="13959" r:id="rId386">
          <objectPr defaultSize="0" autoPict="0" r:id="rId387">
            <anchor moveWithCells="1">
              <from>
                <xdr:col>360</xdr:col>
                <xdr:colOff>238125</xdr:colOff>
                <xdr:row>152</xdr:row>
                <xdr:rowOff>266700</xdr:rowOff>
              </from>
              <to>
                <xdr:col>371</xdr:col>
                <xdr:colOff>314325</xdr:colOff>
                <xdr:row>154</xdr:row>
                <xdr:rowOff>323850</xdr:rowOff>
              </to>
            </anchor>
          </objectPr>
        </oleObject>
      </mc:Choice>
      <mc:Fallback>
        <oleObject progId="Equation.DSMT4" shapeId="13959" r:id="rId386"/>
      </mc:Fallback>
    </mc:AlternateContent>
    <mc:AlternateContent xmlns:mc="http://schemas.openxmlformats.org/markup-compatibility/2006">
      <mc:Choice Requires="x14">
        <oleObject progId="Equation.DSMT4" shapeId="13967" r:id="rId388">
          <objectPr defaultSize="0" autoPict="0" r:id="rId389">
            <anchor moveWithCells="1">
              <from>
                <xdr:col>660</xdr:col>
                <xdr:colOff>400050</xdr:colOff>
                <xdr:row>61</xdr:row>
                <xdr:rowOff>142875</xdr:rowOff>
              </from>
              <to>
                <xdr:col>662</xdr:col>
                <xdr:colOff>238125</xdr:colOff>
                <xdr:row>62</xdr:row>
                <xdr:rowOff>428625</xdr:rowOff>
              </to>
            </anchor>
          </objectPr>
        </oleObject>
      </mc:Choice>
      <mc:Fallback>
        <oleObject progId="Equation.DSMT4" shapeId="13967" r:id="rId388"/>
      </mc:Fallback>
    </mc:AlternateContent>
    <mc:AlternateContent xmlns:mc="http://schemas.openxmlformats.org/markup-compatibility/2006">
      <mc:Choice Requires="x14">
        <oleObject progId="Equation.DSMT4" shapeId="14032" r:id="rId390">
          <objectPr defaultSize="0" autoPict="0" r:id="rId391">
            <anchor moveWithCells="1">
              <from>
                <xdr:col>660</xdr:col>
                <xdr:colOff>352425</xdr:colOff>
                <xdr:row>66</xdr:row>
                <xdr:rowOff>142875</xdr:rowOff>
              </from>
              <to>
                <xdr:col>662</xdr:col>
                <xdr:colOff>190500</xdr:colOff>
                <xdr:row>67</xdr:row>
                <xdr:rowOff>428625</xdr:rowOff>
              </to>
            </anchor>
          </objectPr>
        </oleObject>
      </mc:Choice>
      <mc:Fallback>
        <oleObject progId="Equation.DSMT4" shapeId="14032" r:id="rId390"/>
      </mc:Fallback>
    </mc:AlternateContent>
    <mc:AlternateContent xmlns:mc="http://schemas.openxmlformats.org/markup-compatibility/2006">
      <mc:Choice Requires="x14">
        <oleObject progId="Equation.DSMT4" shapeId="14038" r:id="rId392">
          <objectPr defaultSize="0" autoPict="0" r:id="rId393">
            <anchor moveWithCells="1">
              <from>
                <xdr:col>152</xdr:col>
                <xdr:colOff>238125</xdr:colOff>
                <xdr:row>61</xdr:row>
                <xdr:rowOff>209550</xdr:rowOff>
              </from>
              <to>
                <xdr:col>165</xdr:col>
                <xdr:colOff>209550</xdr:colOff>
                <xdr:row>63</xdr:row>
                <xdr:rowOff>85725</xdr:rowOff>
              </to>
            </anchor>
          </objectPr>
        </oleObject>
      </mc:Choice>
      <mc:Fallback>
        <oleObject progId="Equation.DSMT4" shapeId="14038" r:id="rId392"/>
      </mc:Fallback>
    </mc:AlternateContent>
    <mc:AlternateContent xmlns:mc="http://schemas.openxmlformats.org/markup-compatibility/2006">
      <mc:Choice Requires="x14">
        <oleObject progId="Equation.DSMT4" shapeId="14068" r:id="rId394">
          <objectPr defaultSize="0" autoPict="0" r:id="rId395">
            <anchor moveWithCells="1">
              <from>
                <xdr:col>663</xdr:col>
                <xdr:colOff>257175</xdr:colOff>
                <xdr:row>313</xdr:row>
                <xdr:rowOff>257175</xdr:rowOff>
              </from>
              <to>
                <xdr:col>669</xdr:col>
                <xdr:colOff>381000</xdr:colOff>
                <xdr:row>314</xdr:row>
                <xdr:rowOff>257175</xdr:rowOff>
              </to>
            </anchor>
          </objectPr>
        </oleObject>
      </mc:Choice>
      <mc:Fallback>
        <oleObject progId="Equation.DSMT4" shapeId="14068" r:id="rId394"/>
      </mc:Fallback>
    </mc:AlternateContent>
    <mc:AlternateContent xmlns:mc="http://schemas.openxmlformats.org/markup-compatibility/2006">
      <mc:Choice Requires="x14">
        <oleObject progId="Equation.DSMT4" shapeId="14069" r:id="rId396">
          <objectPr defaultSize="0" autoPict="0" r:id="rId397">
            <anchor moveWithCells="1">
              <from>
                <xdr:col>662</xdr:col>
                <xdr:colOff>190500</xdr:colOff>
                <xdr:row>309</xdr:row>
                <xdr:rowOff>333375</xdr:rowOff>
              </from>
              <to>
                <xdr:col>668</xdr:col>
                <xdr:colOff>333375</xdr:colOff>
                <xdr:row>310</xdr:row>
                <xdr:rowOff>361950</xdr:rowOff>
              </to>
            </anchor>
          </objectPr>
        </oleObject>
      </mc:Choice>
      <mc:Fallback>
        <oleObject progId="Equation.DSMT4" shapeId="14069" r:id="rId396"/>
      </mc:Fallback>
    </mc:AlternateContent>
    <mc:AlternateContent xmlns:mc="http://schemas.openxmlformats.org/markup-compatibility/2006">
      <mc:Choice Requires="x14">
        <oleObject progId="Equation.DSMT4" shapeId="14070" r:id="rId398">
          <objectPr defaultSize="0" autoPict="0" r:id="rId399">
            <anchor moveWithCells="1">
              <from>
                <xdr:col>660</xdr:col>
                <xdr:colOff>285750</xdr:colOff>
                <xdr:row>304</xdr:row>
                <xdr:rowOff>238125</xdr:rowOff>
              </from>
              <to>
                <xdr:col>668</xdr:col>
                <xdr:colOff>247650</xdr:colOff>
                <xdr:row>306</xdr:row>
                <xdr:rowOff>333375</xdr:rowOff>
              </to>
            </anchor>
          </objectPr>
        </oleObject>
      </mc:Choice>
      <mc:Fallback>
        <oleObject progId="Equation.DSMT4" shapeId="14070" r:id="rId398"/>
      </mc:Fallback>
    </mc:AlternateContent>
    <mc:AlternateContent xmlns:mc="http://schemas.openxmlformats.org/markup-compatibility/2006">
      <mc:Choice Requires="x14">
        <oleObject progId="Equation.DSMT4" shapeId="14071" r:id="rId400">
          <objectPr defaultSize="0" autoPict="0" r:id="rId401">
            <anchor moveWithCells="1">
              <from>
                <xdr:col>660</xdr:col>
                <xdr:colOff>285750</xdr:colOff>
                <xdr:row>293</xdr:row>
                <xdr:rowOff>152400</xdr:rowOff>
              </from>
              <to>
                <xdr:col>662</xdr:col>
                <xdr:colOff>219075</xdr:colOff>
                <xdr:row>294</xdr:row>
                <xdr:rowOff>485775</xdr:rowOff>
              </to>
            </anchor>
          </objectPr>
        </oleObject>
      </mc:Choice>
      <mc:Fallback>
        <oleObject progId="Equation.DSMT4" shapeId="14071" r:id="rId400"/>
      </mc:Fallback>
    </mc:AlternateContent>
    <mc:AlternateContent xmlns:mc="http://schemas.openxmlformats.org/markup-compatibility/2006">
      <mc:Choice Requires="x14">
        <oleObject progId="Equation.DSMT4" shapeId="14083" r:id="rId402">
          <objectPr defaultSize="0" autoPict="0" r:id="rId403">
            <anchor moveWithCells="1">
              <from>
                <xdr:col>661</xdr:col>
                <xdr:colOff>190500</xdr:colOff>
                <xdr:row>99</xdr:row>
                <xdr:rowOff>228600</xdr:rowOff>
              </from>
              <to>
                <xdr:col>667</xdr:col>
                <xdr:colOff>400050</xdr:colOff>
                <xdr:row>100</xdr:row>
                <xdr:rowOff>257175</xdr:rowOff>
              </to>
            </anchor>
          </objectPr>
        </oleObject>
      </mc:Choice>
      <mc:Fallback>
        <oleObject progId="Equation.DSMT4" shapeId="14083" r:id="rId402"/>
      </mc:Fallback>
    </mc:AlternateContent>
    <mc:AlternateContent xmlns:mc="http://schemas.openxmlformats.org/markup-compatibility/2006">
      <mc:Choice Requires="x14">
        <oleObject progId="Equation.DSMT4" shapeId="14084" r:id="rId404">
          <objectPr defaultSize="0" autoPict="0" r:id="rId405">
            <anchor moveWithCells="1">
              <from>
                <xdr:col>661</xdr:col>
                <xdr:colOff>200025</xdr:colOff>
                <xdr:row>107</xdr:row>
                <xdr:rowOff>285750</xdr:rowOff>
              </from>
              <to>
                <xdr:col>668</xdr:col>
                <xdr:colOff>447675</xdr:colOff>
                <xdr:row>108</xdr:row>
                <xdr:rowOff>304800</xdr:rowOff>
              </to>
            </anchor>
          </objectPr>
        </oleObject>
      </mc:Choice>
      <mc:Fallback>
        <oleObject progId="Equation.DSMT4" shapeId="14084" r:id="rId404"/>
      </mc:Fallback>
    </mc:AlternateContent>
    <mc:AlternateContent xmlns:mc="http://schemas.openxmlformats.org/markup-compatibility/2006">
      <mc:Choice Requires="x14">
        <oleObject progId="Equation.DSMT4" shapeId="14085" r:id="rId406">
          <objectPr defaultSize="0" autoPict="0" r:id="rId407">
            <anchor moveWithCells="1">
              <from>
                <xdr:col>660</xdr:col>
                <xdr:colOff>228600</xdr:colOff>
                <xdr:row>113</xdr:row>
                <xdr:rowOff>342900</xdr:rowOff>
              </from>
              <to>
                <xdr:col>666</xdr:col>
                <xdr:colOff>419100</xdr:colOff>
                <xdr:row>115</xdr:row>
                <xdr:rowOff>228600</xdr:rowOff>
              </to>
            </anchor>
          </objectPr>
        </oleObject>
      </mc:Choice>
      <mc:Fallback>
        <oleObject progId="Equation.DSMT4" shapeId="14085" r:id="rId406"/>
      </mc:Fallback>
    </mc:AlternateContent>
    <mc:AlternateContent xmlns:mc="http://schemas.openxmlformats.org/markup-compatibility/2006">
      <mc:Choice Requires="x14">
        <oleObject progId="Equation.DSMT4" shapeId="14086" r:id="rId408">
          <objectPr defaultSize="0" autoPict="0" r:id="rId409">
            <anchor moveWithCells="1">
              <from>
                <xdr:col>803</xdr:col>
                <xdr:colOff>304800</xdr:colOff>
                <xdr:row>43</xdr:row>
                <xdr:rowOff>304800</xdr:rowOff>
              </from>
              <to>
                <xdr:col>811</xdr:col>
                <xdr:colOff>123825</xdr:colOff>
                <xdr:row>44</xdr:row>
                <xdr:rowOff>342900</xdr:rowOff>
              </to>
            </anchor>
          </objectPr>
        </oleObject>
      </mc:Choice>
      <mc:Fallback>
        <oleObject progId="Equation.DSMT4" shapeId="14086" r:id="rId408"/>
      </mc:Fallback>
    </mc:AlternateContent>
    <mc:AlternateContent xmlns:mc="http://schemas.openxmlformats.org/markup-compatibility/2006">
      <mc:Choice Requires="x14">
        <oleObject progId="Equation.DSMT4" shapeId="14103" r:id="rId410">
          <objectPr defaultSize="0" autoPict="0" r:id="rId411">
            <anchor moveWithCells="1">
              <from>
                <xdr:col>803</xdr:col>
                <xdr:colOff>247650</xdr:colOff>
                <xdr:row>47</xdr:row>
                <xdr:rowOff>257175</xdr:rowOff>
              </from>
              <to>
                <xdr:col>811</xdr:col>
                <xdr:colOff>381000</xdr:colOff>
                <xdr:row>49</xdr:row>
                <xdr:rowOff>314325</xdr:rowOff>
              </to>
            </anchor>
          </objectPr>
        </oleObject>
      </mc:Choice>
      <mc:Fallback>
        <oleObject progId="Equation.DSMT4" shapeId="14103" r:id="rId410"/>
      </mc:Fallback>
    </mc:AlternateContent>
    <mc:AlternateContent xmlns:mc="http://schemas.openxmlformats.org/markup-compatibility/2006">
      <mc:Choice Requires="x14">
        <oleObject progId="Equation.DSMT4" shapeId="14120" r:id="rId412">
          <objectPr defaultSize="0" autoPict="0" r:id="rId413">
            <anchor moveWithCells="1">
              <from>
                <xdr:col>660</xdr:col>
                <xdr:colOff>257175</xdr:colOff>
                <xdr:row>14</xdr:row>
                <xdr:rowOff>295275</xdr:rowOff>
              </from>
              <to>
                <xdr:col>665</xdr:col>
                <xdr:colOff>428625</xdr:colOff>
                <xdr:row>16</xdr:row>
                <xdr:rowOff>228600</xdr:rowOff>
              </to>
            </anchor>
          </objectPr>
        </oleObject>
      </mc:Choice>
      <mc:Fallback>
        <oleObject progId="Equation.DSMT4" shapeId="14120" r:id="rId412"/>
      </mc:Fallback>
    </mc:AlternateContent>
    <mc:AlternateContent xmlns:mc="http://schemas.openxmlformats.org/markup-compatibility/2006">
      <mc:Choice Requires="x14">
        <oleObject progId="Equation.DSMT4" shapeId="14125" r:id="rId414">
          <objectPr defaultSize="0" autoPict="0" r:id="rId415">
            <anchor moveWithCells="1">
              <from>
                <xdr:col>660</xdr:col>
                <xdr:colOff>381000</xdr:colOff>
                <xdr:row>320</xdr:row>
                <xdr:rowOff>276225</xdr:rowOff>
              </from>
              <to>
                <xdr:col>667</xdr:col>
                <xdr:colOff>504825</xdr:colOff>
                <xdr:row>322</xdr:row>
                <xdr:rowOff>295275</xdr:rowOff>
              </to>
            </anchor>
          </objectPr>
        </oleObject>
      </mc:Choice>
      <mc:Fallback>
        <oleObject progId="Equation.DSMT4" shapeId="14125" r:id="rId414"/>
      </mc:Fallback>
    </mc:AlternateContent>
    <mc:AlternateContent xmlns:mc="http://schemas.openxmlformats.org/markup-compatibility/2006">
      <mc:Choice Requires="x14">
        <oleObject progId="Equation.DSMT4" shapeId="14129" r:id="rId416">
          <objectPr defaultSize="0" autoPict="0" r:id="rId417">
            <anchor moveWithCells="1">
              <from>
                <xdr:col>661</xdr:col>
                <xdr:colOff>552450</xdr:colOff>
                <xdr:row>232</xdr:row>
                <xdr:rowOff>238125</xdr:rowOff>
              </from>
              <to>
                <xdr:col>668</xdr:col>
                <xdr:colOff>38100</xdr:colOff>
                <xdr:row>233</xdr:row>
                <xdr:rowOff>228600</xdr:rowOff>
              </to>
            </anchor>
          </objectPr>
        </oleObject>
      </mc:Choice>
      <mc:Fallback>
        <oleObject progId="Equation.DSMT4" shapeId="14129" r:id="rId416"/>
      </mc:Fallback>
    </mc:AlternateContent>
    <mc:AlternateContent xmlns:mc="http://schemas.openxmlformats.org/markup-compatibility/2006">
      <mc:Choice Requires="x14">
        <oleObject progId="Equation.DSMT4" shapeId="14150" r:id="rId418">
          <objectPr defaultSize="0" autoPict="0" r:id="rId419">
            <anchor moveWithCells="1">
              <from>
                <xdr:col>803</xdr:col>
                <xdr:colOff>228600</xdr:colOff>
                <xdr:row>63</xdr:row>
                <xdr:rowOff>200025</xdr:rowOff>
              </from>
              <to>
                <xdr:col>811</xdr:col>
                <xdr:colOff>514350</xdr:colOff>
                <xdr:row>65</xdr:row>
                <xdr:rowOff>428625</xdr:rowOff>
              </to>
            </anchor>
          </objectPr>
        </oleObject>
      </mc:Choice>
      <mc:Fallback>
        <oleObject progId="Equation.DSMT4" shapeId="14150" r:id="rId418"/>
      </mc:Fallback>
    </mc:AlternateContent>
    <mc:AlternateContent xmlns:mc="http://schemas.openxmlformats.org/markup-compatibility/2006">
      <mc:Choice Requires="x14">
        <oleObject progId="Equation.DSMT4" shapeId="14151" r:id="rId420">
          <objectPr defaultSize="0" autoPict="0" r:id="rId421">
            <anchor moveWithCells="1">
              <from>
                <xdr:col>661</xdr:col>
                <xdr:colOff>381000</xdr:colOff>
                <xdr:row>191</xdr:row>
                <xdr:rowOff>342900</xdr:rowOff>
              </from>
              <to>
                <xdr:col>667</xdr:col>
                <xdr:colOff>466725</xdr:colOff>
                <xdr:row>192</xdr:row>
                <xdr:rowOff>352425</xdr:rowOff>
              </to>
            </anchor>
          </objectPr>
        </oleObject>
      </mc:Choice>
      <mc:Fallback>
        <oleObject progId="Equation.DSMT4" shapeId="14151" r:id="rId420"/>
      </mc:Fallback>
    </mc:AlternateContent>
    <mc:AlternateContent xmlns:mc="http://schemas.openxmlformats.org/markup-compatibility/2006">
      <mc:Choice Requires="x14">
        <oleObject progId="Equation.DSMT4" shapeId="14156" r:id="rId422">
          <objectPr defaultSize="0" autoPict="0" r:id="rId423">
            <anchor moveWithCells="1">
              <from>
                <xdr:col>803</xdr:col>
                <xdr:colOff>285750</xdr:colOff>
                <xdr:row>45</xdr:row>
                <xdr:rowOff>314325</xdr:rowOff>
              </from>
              <to>
                <xdr:col>811</xdr:col>
                <xdr:colOff>314325</xdr:colOff>
                <xdr:row>46</xdr:row>
                <xdr:rowOff>342900</xdr:rowOff>
              </to>
            </anchor>
          </objectPr>
        </oleObject>
      </mc:Choice>
      <mc:Fallback>
        <oleObject progId="Equation.DSMT4" shapeId="14156" r:id="rId422"/>
      </mc:Fallback>
    </mc:AlternateContent>
    <mc:AlternateContent xmlns:mc="http://schemas.openxmlformats.org/markup-compatibility/2006">
      <mc:Choice Requires="x14">
        <oleObject progId="Equation.DSMT4" shapeId="14157" r:id="rId424">
          <objectPr defaultSize="0" autoPict="0" r:id="rId425">
            <anchor moveWithCells="1">
              <from>
                <xdr:col>660</xdr:col>
                <xdr:colOff>533400</xdr:colOff>
                <xdr:row>174</xdr:row>
                <xdr:rowOff>209550</xdr:rowOff>
              </from>
              <to>
                <xdr:col>667</xdr:col>
                <xdr:colOff>142875</xdr:colOff>
                <xdr:row>176</xdr:row>
                <xdr:rowOff>295275</xdr:rowOff>
              </to>
            </anchor>
          </objectPr>
        </oleObject>
      </mc:Choice>
      <mc:Fallback>
        <oleObject progId="Equation.DSMT4" shapeId="14157" r:id="rId424"/>
      </mc:Fallback>
    </mc:AlternateContent>
    <mc:AlternateContent xmlns:mc="http://schemas.openxmlformats.org/markup-compatibility/2006">
      <mc:Choice Requires="x14">
        <oleObject progId="Equation.DSMT4" shapeId="14160" r:id="rId426">
          <objectPr defaultSize="0" autoPict="0" r:id="rId427">
            <anchor moveWithCells="1">
              <from>
                <xdr:col>803</xdr:col>
                <xdr:colOff>428625</xdr:colOff>
                <xdr:row>11</xdr:row>
                <xdr:rowOff>381000</xdr:rowOff>
              </from>
              <to>
                <xdr:col>809</xdr:col>
                <xdr:colOff>390525</xdr:colOff>
                <xdr:row>12</xdr:row>
                <xdr:rowOff>419100</xdr:rowOff>
              </to>
            </anchor>
          </objectPr>
        </oleObject>
      </mc:Choice>
      <mc:Fallback>
        <oleObject progId="Equation.DSMT4" shapeId="14160" r:id="rId426"/>
      </mc:Fallback>
    </mc:AlternateContent>
    <mc:AlternateContent xmlns:mc="http://schemas.openxmlformats.org/markup-compatibility/2006">
      <mc:Choice Requires="x14">
        <oleObject progId="Equation.DSMT4" shapeId="14162" r:id="rId428">
          <objectPr defaultSize="0" autoPict="0" r:id="rId429">
            <anchor moveWithCells="1">
              <from>
                <xdr:col>803</xdr:col>
                <xdr:colOff>276225</xdr:colOff>
                <xdr:row>25</xdr:row>
                <xdr:rowOff>295275</xdr:rowOff>
              </from>
              <to>
                <xdr:col>807</xdr:col>
                <xdr:colOff>19050</xdr:colOff>
                <xdr:row>26</xdr:row>
                <xdr:rowOff>257175</xdr:rowOff>
              </to>
            </anchor>
          </objectPr>
        </oleObject>
      </mc:Choice>
      <mc:Fallback>
        <oleObject progId="Equation.DSMT4" shapeId="14162" r:id="rId428"/>
      </mc:Fallback>
    </mc:AlternateContent>
    <mc:AlternateContent xmlns:mc="http://schemas.openxmlformats.org/markup-compatibility/2006">
      <mc:Choice Requires="x14">
        <oleObject progId="Equation.DSMT4" shapeId="14191" r:id="rId430">
          <objectPr defaultSize="0" autoPict="0" r:id="rId431">
            <anchor moveWithCells="1">
              <from>
                <xdr:col>620</xdr:col>
                <xdr:colOff>266700</xdr:colOff>
                <xdr:row>147</xdr:row>
                <xdr:rowOff>142875</xdr:rowOff>
              </from>
              <to>
                <xdr:col>633</xdr:col>
                <xdr:colOff>228600</xdr:colOff>
                <xdr:row>149</xdr:row>
                <xdr:rowOff>352425</xdr:rowOff>
              </to>
            </anchor>
          </objectPr>
        </oleObject>
      </mc:Choice>
      <mc:Fallback>
        <oleObject progId="Equation.DSMT4" shapeId="14191" r:id="rId430"/>
      </mc:Fallback>
    </mc:AlternateContent>
    <mc:AlternateContent xmlns:mc="http://schemas.openxmlformats.org/markup-compatibility/2006">
      <mc:Choice Requires="x14">
        <oleObject progId="Equation.DSMT4" shapeId="14194" r:id="rId432">
          <objectPr defaultSize="0" autoPict="0" r:id="rId433">
            <anchor moveWithCells="1">
              <from>
                <xdr:col>660</xdr:col>
                <xdr:colOff>352425</xdr:colOff>
                <xdr:row>77</xdr:row>
                <xdr:rowOff>142875</xdr:rowOff>
              </from>
              <to>
                <xdr:col>662</xdr:col>
                <xdr:colOff>295275</xdr:colOff>
                <xdr:row>78</xdr:row>
                <xdr:rowOff>495300</xdr:rowOff>
              </to>
            </anchor>
          </objectPr>
        </oleObject>
      </mc:Choice>
      <mc:Fallback>
        <oleObject progId="Equation.DSMT4" shapeId="14194" r:id="rId432"/>
      </mc:Fallback>
    </mc:AlternateContent>
    <mc:AlternateContent xmlns:mc="http://schemas.openxmlformats.org/markup-compatibility/2006">
      <mc:Choice Requires="x14">
        <oleObject progId="Equation.DSMT4" shapeId="14197" r:id="rId434">
          <objectPr defaultSize="0" autoPict="0" r:id="rId435">
            <anchor moveWithCells="1">
              <from>
                <xdr:col>660</xdr:col>
                <xdr:colOff>219075</xdr:colOff>
                <xdr:row>50</xdr:row>
                <xdr:rowOff>142875</xdr:rowOff>
              </from>
              <to>
                <xdr:col>662</xdr:col>
                <xdr:colOff>409575</xdr:colOff>
                <xdr:row>51</xdr:row>
                <xdr:rowOff>428625</xdr:rowOff>
              </to>
            </anchor>
          </objectPr>
        </oleObject>
      </mc:Choice>
      <mc:Fallback>
        <oleObject progId="Equation.DSMT4" shapeId="14197" r:id="rId434"/>
      </mc:Fallback>
    </mc:AlternateContent>
    <mc:AlternateContent xmlns:mc="http://schemas.openxmlformats.org/markup-compatibility/2006">
      <mc:Choice Requires="x14">
        <oleObject progId="Equation.DSMT4" shapeId="14268" r:id="rId436">
          <objectPr defaultSize="0" autoPict="0" r:id="rId437">
            <anchor moveWithCells="1">
              <from>
                <xdr:col>273</xdr:col>
                <xdr:colOff>257175</xdr:colOff>
                <xdr:row>82</xdr:row>
                <xdr:rowOff>190500</xdr:rowOff>
              </from>
              <to>
                <xdr:col>278</xdr:col>
                <xdr:colOff>428625</xdr:colOff>
                <xdr:row>83</xdr:row>
                <xdr:rowOff>466725</xdr:rowOff>
              </to>
            </anchor>
          </objectPr>
        </oleObject>
      </mc:Choice>
      <mc:Fallback>
        <oleObject progId="Equation.DSMT4" shapeId="14268" r:id="rId436"/>
      </mc:Fallback>
    </mc:AlternateContent>
    <mc:AlternateContent xmlns:mc="http://schemas.openxmlformats.org/markup-compatibility/2006">
      <mc:Choice Requires="x14">
        <oleObject progId="Equation.DSMT4" shapeId="14280" r:id="rId438">
          <objectPr defaultSize="0" autoPict="0" r:id="rId439">
            <anchor moveWithCells="1">
              <from>
                <xdr:col>661</xdr:col>
                <xdr:colOff>238125</xdr:colOff>
                <xdr:row>21</xdr:row>
                <xdr:rowOff>209550</xdr:rowOff>
              </from>
              <to>
                <xdr:col>670</xdr:col>
                <xdr:colOff>247650</xdr:colOff>
                <xdr:row>22</xdr:row>
                <xdr:rowOff>238125</xdr:rowOff>
              </to>
            </anchor>
          </objectPr>
        </oleObject>
      </mc:Choice>
      <mc:Fallback>
        <oleObject progId="Equation.DSMT4" shapeId="14280" r:id="rId438"/>
      </mc:Fallback>
    </mc:AlternateContent>
    <mc:AlternateContent xmlns:mc="http://schemas.openxmlformats.org/markup-compatibility/2006">
      <mc:Choice Requires="x14">
        <oleObject progId="Equation.DSMT4" shapeId="14297" r:id="rId440">
          <objectPr defaultSize="0" autoPict="0" r:id="rId441">
            <anchor moveWithCells="1">
              <from>
                <xdr:col>662</xdr:col>
                <xdr:colOff>266700</xdr:colOff>
                <xdr:row>25</xdr:row>
                <xdr:rowOff>285750</xdr:rowOff>
              </from>
              <to>
                <xdr:col>670</xdr:col>
                <xdr:colOff>219075</xdr:colOff>
                <xdr:row>26</xdr:row>
                <xdr:rowOff>314325</xdr:rowOff>
              </to>
            </anchor>
          </objectPr>
        </oleObject>
      </mc:Choice>
      <mc:Fallback>
        <oleObject progId="Equation.DSMT4" shapeId="14297" r:id="rId440"/>
      </mc:Fallback>
    </mc:AlternateContent>
    <mc:AlternateContent xmlns:mc="http://schemas.openxmlformats.org/markup-compatibility/2006">
      <mc:Choice Requires="x14">
        <oleObject progId="Equation.DSMT4" shapeId="14298" r:id="rId442">
          <objectPr defaultSize="0" autoPict="0" r:id="rId443">
            <anchor moveWithCells="1">
              <from>
                <xdr:col>662</xdr:col>
                <xdr:colOff>161925</xdr:colOff>
                <xdr:row>29</xdr:row>
                <xdr:rowOff>257175</xdr:rowOff>
              </from>
              <to>
                <xdr:col>670</xdr:col>
                <xdr:colOff>257175</xdr:colOff>
                <xdr:row>30</xdr:row>
                <xdr:rowOff>285750</xdr:rowOff>
              </to>
            </anchor>
          </objectPr>
        </oleObject>
      </mc:Choice>
      <mc:Fallback>
        <oleObject progId="Equation.DSMT4" shapeId="14298" r:id="rId442"/>
      </mc:Fallback>
    </mc:AlternateContent>
    <mc:AlternateContent xmlns:mc="http://schemas.openxmlformats.org/markup-compatibility/2006">
      <mc:Choice Requires="x14">
        <oleObject progId="Equation.DSMT4" shapeId="14303" r:id="rId444">
          <objectPr defaultSize="0" autoPict="0" r:id="rId445">
            <anchor moveWithCells="1">
              <from>
                <xdr:col>661</xdr:col>
                <xdr:colOff>285750</xdr:colOff>
                <xdr:row>243</xdr:row>
                <xdr:rowOff>257175</xdr:rowOff>
              </from>
              <to>
                <xdr:col>666</xdr:col>
                <xdr:colOff>361950</xdr:colOff>
                <xdr:row>244</xdr:row>
                <xdr:rowOff>304800</xdr:rowOff>
              </to>
            </anchor>
          </objectPr>
        </oleObject>
      </mc:Choice>
      <mc:Fallback>
        <oleObject progId="Equation.DSMT4" shapeId="14303" r:id="rId444"/>
      </mc:Fallback>
    </mc:AlternateContent>
    <mc:AlternateContent xmlns:mc="http://schemas.openxmlformats.org/markup-compatibility/2006">
      <mc:Choice Requires="x14">
        <oleObject progId="Equation.DSMT4" shapeId="14305" r:id="rId446">
          <objectPr defaultSize="0" autoPict="0" r:id="rId447">
            <anchor moveWithCells="1">
              <from>
                <xdr:col>660</xdr:col>
                <xdr:colOff>285750</xdr:colOff>
                <xdr:row>256</xdr:row>
                <xdr:rowOff>209550</xdr:rowOff>
              </from>
              <to>
                <xdr:col>665</xdr:col>
                <xdr:colOff>428625</xdr:colOff>
                <xdr:row>258</xdr:row>
                <xdr:rowOff>304800</xdr:rowOff>
              </to>
            </anchor>
          </objectPr>
        </oleObject>
      </mc:Choice>
      <mc:Fallback>
        <oleObject progId="Equation.DSMT4" shapeId="14305" r:id="rId446"/>
      </mc:Fallback>
    </mc:AlternateContent>
    <mc:AlternateContent xmlns:mc="http://schemas.openxmlformats.org/markup-compatibility/2006">
      <mc:Choice Requires="x14">
        <oleObject progId="Equation.DSMT4" shapeId="14306" r:id="rId448">
          <objectPr defaultSize="0" autoPict="0" r:id="rId449">
            <anchor moveWithCells="1">
              <from>
                <xdr:col>660</xdr:col>
                <xdr:colOff>238125</xdr:colOff>
                <xdr:row>145</xdr:row>
                <xdr:rowOff>257175</xdr:rowOff>
              </from>
              <to>
                <xdr:col>665</xdr:col>
                <xdr:colOff>304800</xdr:colOff>
                <xdr:row>147</xdr:row>
                <xdr:rowOff>238125</xdr:rowOff>
              </to>
            </anchor>
          </objectPr>
        </oleObject>
      </mc:Choice>
      <mc:Fallback>
        <oleObject progId="Equation.DSMT4" shapeId="14306" r:id="rId448"/>
      </mc:Fallback>
    </mc:AlternateContent>
    <mc:AlternateContent xmlns:mc="http://schemas.openxmlformats.org/markup-compatibility/2006">
      <mc:Choice Requires="x14">
        <oleObject progId="Equation.DSMT4" shapeId="14309" r:id="rId450">
          <objectPr defaultSize="0" autoPict="0" r:id="rId451">
            <anchor moveWithCells="1">
              <from>
                <xdr:col>273</xdr:col>
                <xdr:colOff>361950</xdr:colOff>
                <xdr:row>139</xdr:row>
                <xdr:rowOff>361950</xdr:rowOff>
              </from>
              <to>
                <xdr:col>279</xdr:col>
                <xdr:colOff>142875</xdr:colOff>
                <xdr:row>141</xdr:row>
                <xdr:rowOff>200025</xdr:rowOff>
              </to>
            </anchor>
          </objectPr>
        </oleObject>
      </mc:Choice>
      <mc:Fallback>
        <oleObject progId="Equation.DSMT4" shapeId="14309" r:id="rId450"/>
      </mc:Fallback>
    </mc:AlternateContent>
    <mc:AlternateContent xmlns:mc="http://schemas.openxmlformats.org/markup-compatibility/2006">
      <mc:Choice Requires="x14">
        <oleObject progId="Equation.DSMT4" shapeId="14312" r:id="rId452">
          <objectPr defaultSize="0" autoPict="0" r:id="rId453">
            <anchor moveWithCells="1">
              <from>
                <xdr:col>660</xdr:col>
                <xdr:colOff>285750</xdr:colOff>
                <xdr:row>131</xdr:row>
                <xdr:rowOff>352425</xdr:rowOff>
              </from>
              <to>
                <xdr:col>665</xdr:col>
                <xdr:colOff>190500</xdr:colOff>
                <xdr:row>133</xdr:row>
                <xdr:rowOff>314325</xdr:rowOff>
              </to>
            </anchor>
          </objectPr>
        </oleObject>
      </mc:Choice>
      <mc:Fallback>
        <oleObject progId="Equation.DSMT4" shapeId="14312" r:id="rId452"/>
      </mc:Fallback>
    </mc:AlternateContent>
    <mc:AlternateContent xmlns:mc="http://schemas.openxmlformats.org/markup-compatibility/2006">
      <mc:Choice Requires="x14">
        <oleObject progId="Equation.DSMT4" shapeId="14317" r:id="rId454">
          <objectPr defaultSize="0" autoPict="0" r:id="rId455">
            <anchor moveWithCells="1">
              <from>
                <xdr:col>660</xdr:col>
                <xdr:colOff>523875</xdr:colOff>
                <xdr:row>140</xdr:row>
                <xdr:rowOff>238125</xdr:rowOff>
              </from>
              <to>
                <xdr:col>668</xdr:col>
                <xdr:colOff>0</xdr:colOff>
                <xdr:row>142</xdr:row>
                <xdr:rowOff>247650</xdr:rowOff>
              </to>
            </anchor>
          </objectPr>
        </oleObject>
      </mc:Choice>
      <mc:Fallback>
        <oleObject progId="Equation.DSMT4" shapeId="14317" r:id="rId454"/>
      </mc:Fallback>
    </mc:AlternateContent>
    <mc:AlternateContent xmlns:mc="http://schemas.openxmlformats.org/markup-compatibility/2006">
      <mc:Choice Requires="x14">
        <oleObject progId="Equation.DSMT4" shapeId="14318" r:id="rId456">
          <objectPr defaultSize="0" autoPict="0" r:id="rId457">
            <anchor moveWithCells="1">
              <from>
                <xdr:col>359</xdr:col>
                <xdr:colOff>171450</xdr:colOff>
                <xdr:row>235</xdr:row>
                <xdr:rowOff>114300</xdr:rowOff>
              </from>
              <to>
                <xdr:col>363</xdr:col>
                <xdr:colOff>190500</xdr:colOff>
                <xdr:row>236</xdr:row>
                <xdr:rowOff>457200</xdr:rowOff>
              </to>
            </anchor>
          </objectPr>
        </oleObject>
      </mc:Choice>
      <mc:Fallback>
        <oleObject progId="Equation.DSMT4" shapeId="14318" r:id="rId456"/>
      </mc:Fallback>
    </mc:AlternateContent>
    <mc:AlternateContent xmlns:mc="http://schemas.openxmlformats.org/markup-compatibility/2006">
      <mc:Choice Requires="x14">
        <oleObject progId="Equation.DSMT4" shapeId="14319" r:id="rId458">
          <objectPr defaultSize="0" autoPict="0" r:id="rId459">
            <anchor moveWithCells="1">
              <from>
                <xdr:col>660</xdr:col>
                <xdr:colOff>238125</xdr:colOff>
                <xdr:row>83</xdr:row>
                <xdr:rowOff>304800</xdr:rowOff>
              </from>
              <to>
                <xdr:col>667</xdr:col>
                <xdr:colOff>342900</xdr:colOff>
                <xdr:row>85</xdr:row>
                <xdr:rowOff>247650</xdr:rowOff>
              </to>
            </anchor>
          </objectPr>
        </oleObject>
      </mc:Choice>
      <mc:Fallback>
        <oleObject progId="Equation.DSMT4" shapeId="14319" r:id="rId458"/>
      </mc:Fallback>
    </mc:AlternateContent>
    <mc:AlternateContent xmlns:mc="http://schemas.openxmlformats.org/markup-compatibility/2006">
      <mc:Choice Requires="x14">
        <oleObject progId="Equation.DSMT4" shapeId="14321" r:id="rId460">
          <objectPr defaultSize="0" autoPict="0" r:id="rId461">
            <anchor moveWithCells="1">
              <from>
                <xdr:col>661</xdr:col>
                <xdr:colOff>0</xdr:colOff>
                <xdr:row>136</xdr:row>
                <xdr:rowOff>257175</xdr:rowOff>
              </from>
              <to>
                <xdr:col>667</xdr:col>
                <xdr:colOff>581025</xdr:colOff>
                <xdr:row>137</xdr:row>
                <xdr:rowOff>295275</xdr:rowOff>
              </to>
            </anchor>
          </objectPr>
        </oleObject>
      </mc:Choice>
      <mc:Fallback>
        <oleObject progId="Equation.DSMT4" shapeId="14321" r:id="rId460"/>
      </mc:Fallback>
    </mc:AlternateContent>
    <mc:AlternateContent xmlns:mc="http://schemas.openxmlformats.org/markup-compatibility/2006">
      <mc:Choice Requires="x14">
        <oleObject progId="Equation.DSMT4" shapeId="20522" r:id="rId462">
          <objectPr defaultSize="0" autoPict="0" r:id="rId463">
            <anchor moveWithCells="1">
              <from>
                <xdr:col>661</xdr:col>
                <xdr:colOff>266700</xdr:colOff>
                <xdr:row>124</xdr:row>
                <xdr:rowOff>342900</xdr:rowOff>
              </from>
              <to>
                <xdr:col>666</xdr:col>
                <xdr:colOff>352425</xdr:colOff>
                <xdr:row>125</xdr:row>
                <xdr:rowOff>371475</xdr:rowOff>
              </to>
            </anchor>
          </objectPr>
        </oleObject>
      </mc:Choice>
      <mc:Fallback>
        <oleObject progId="Equation.DSMT4" shapeId="20522" r:id="rId462"/>
      </mc:Fallback>
    </mc:AlternateContent>
    <mc:AlternateContent xmlns:mc="http://schemas.openxmlformats.org/markup-compatibility/2006">
      <mc:Choice Requires="x14">
        <oleObject progId="Equation.DSMT4" shapeId="20524" r:id="rId464">
          <objectPr defaultSize="0" autoPict="0" r:id="rId465">
            <anchor moveWithCells="1">
              <from>
                <xdr:col>803</xdr:col>
                <xdr:colOff>361950</xdr:colOff>
                <xdr:row>84</xdr:row>
                <xdr:rowOff>257175</xdr:rowOff>
              </from>
              <to>
                <xdr:col>811</xdr:col>
                <xdr:colOff>419100</xdr:colOff>
                <xdr:row>85</xdr:row>
                <xdr:rowOff>295275</xdr:rowOff>
              </to>
            </anchor>
          </objectPr>
        </oleObject>
      </mc:Choice>
      <mc:Fallback>
        <oleObject progId="Equation.DSMT4" shapeId="20524" r:id="rId464"/>
      </mc:Fallback>
    </mc:AlternateContent>
    <mc:AlternateContent xmlns:mc="http://schemas.openxmlformats.org/markup-compatibility/2006">
      <mc:Choice Requires="x14">
        <oleObject progId="Equation.DSMT4" shapeId="20526" r:id="rId466">
          <objectPr defaultSize="0" autoPict="0" r:id="rId425">
            <anchor moveWithCells="1">
              <from>
                <xdr:col>803</xdr:col>
                <xdr:colOff>209550</xdr:colOff>
                <xdr:row>76</xdr:row>
                <xdr:rowOff>180975</xdr:rowOff>
              </from>
              <to>
                <xdr:col>809</xdr:col>
                <xdr:colOff>504825</xdr:colOff>
                <xdr:row>78</xdr:row>
                <xdr:rowOff>285750</xdr:rowOff>
              </to>
            </anchor>
          </objectPr>
        </oleObject>
      </mc:Choice>
      <mc:Fallback>
        <oleObject progId="Equation.DSMT4" shapeId="20526" r:id="rId466"/>
      </mc:Fallback>
    </mc:AlternateContent>
    <mc:AlternateContent xmlns:mc="http://schemas.openxmlformats.org/markup-compatibility/2006">
      <mc:Choice Requires="x14">
        <oleObject progId="Equation.DSMT4" shapeId="20528" r:id="rId467">
          <objectPr defaultSize="0" autoPict="0" r:id="rId468">
            <anchor moveWithCells="1">
              <from>
                <xdr:col>803</xdr:col>
                <xdr:colOff>171450</xdr:colOff>
                <xdr:row>88</xdr:row>
                <xdr:rowOff>180975</xdr:rowOff>
              </from>
              <to>
                <xdr:col>810</xdr:col>
                <xdr:colOff>361950</xdr:colOff>
                <xdr:row>89</xdr:row>
                <xdr:rowOff>352425</xdr:rowOff>
              </to>
            </anchor>
          </objectPr>
        </oleObject>
      </mc:Choice>
      <mc:Fallback>
        <oleObject progId="Equation.DSMT4" shapeId="20528" r:id="rId467"/>
      </mc:Fallback>
    </mc:AlternateContent>
    <mc:AlternateContent xmlns:mc="http://schemas.openxmlformats.org/markup-compatibility/2006">
      <mc:Choice Requires="x14">
        <oleObject progId="Equation.DSMT4" shapeId="20529" r:id="rId469">
          <objectPr defaultSize="0" autoPict="0" r:id="rId470">
            <anchor moveWithCells="1">
              <from>
                <xdr:col>803</xdr:col>
                <xdr:colOff>161925</xdr:colOff>
                <xdr:row>86</xdr:row>
                <xdr:rowOff>304800</xdr:rowOff>
              </from>
              <to>
                <xdr:col>810</xdr:col>
                <xdr:colOff>419100</xdr:colOff>
                <xdr:row>87</xdr:row>
                <xdr:rowOff>485775</xdr:rowOff>
              </to>
            </anchor>
          </objectPr>
        </oleObject>
      </mc:Choice>
      <mc:Fallback>
        <oleObject progId="Equation.DSMT4" shapeId="20529" r:id="rId469"/>
      </mc:Fallback>
    </mc:AlternateContent>
    <mc:AlternateContent xmlns:mc="http://schemas.openxmlformats.org/markup-compatibility/2006">
      <mc:Choice Requires="x14">
        <oleObject progId="Equation.DSMT4" shapeId="20531" r:id="rId471">
          <objectPr defaultSize="0" autoPict="0" r:id="rId472">
            <anchor moveWithCells="1">
              <from>
                <xdr:col>803</xdr:col>
                <xdr:colOff>190500</xdr:colOff>
                <xdr:row>69</xdr:row>
                <xdr:rowOff>390525</xdr:rowOff>
              </from>
              <to>
                <xdr:col>812</xdr:col>
                <xdr:colOff>352425</xdr:colOff>
                <xdr:row>71</xdr:row>
                <xdr:rowOff>228600</xdr:rowOff>
              </to>
            </anchor>
          </objectPr>
        </oleObject>
      </mc:Choice>
      <mc:Fallback>
        <oleObject progId="Equation.DSMT4" shapeId="20531" r:id="rId471"/>
      </mc:Fallback>
    </mc:AlternateContent>
    <mc:AlternateContent xmlns:mc="http://schemas.openxmlformats.org/markup-compatibility/2006">
      <mc:Choice Requires="x14">
        <oleObject progId="Equation.DSMT4" shapeId="20555" r:id="rId473">
          <objectPr defaultSize="0" autoPict="0" r:id="rId474">
            <anchor moveWithCells="1">
              <from>
                <xdr:col>661</xdr:col>
                <xdr:colOff>447675</xdr:colOff>
                <xdr:row>211</xdr:row>
                <xdr:rowOff>295275</xdr:rowOff>
              </from>
              <to>
                <xdr:col>666</xdr:col>
                <xdr:colOff>238125</xdr:colOff>
                <xdr:row>212</xdr:row>
                <xdr:rowOff>333375</xdr:rowOff>
              </to>
            </anchor>
          </objectPr>
        </oleObject>
      </mc:Choice>
      <mc:Fallback>
        <oleObject progId="Equation.DSMT4" shapeId="20555" r:id="rId473"/>
      </mc:Fallback>
    </mc:AlternateContent>
    <mc:AlternateContent xmlns:mc="http://schemas.openxmlformats.org/markup-compatibility/2006">
      <mc:Choice Requires="x14">
        <oleObject progId="Equation.DSMT4" shapeId="20577" r:id="rId475">
          <objectPr defaultSize="0" autoPict="0" r:id="rId476">
            <anchor moveWithCells="1">
              <from>
                <xdr:col>660</xdr:col>
                <xdr:colOff>285750</xdr:colOff>
                <xdr:row>150</xdr:row>
                <xdr:rowOff>161925</xdr:rowOff>
              </from>
              <to>
                <xdr:col>669</xdr:col>
                <xdr:colOff>9525</xdr:colOff>
                <xdr:row>152</xdr:row>
                <xdr:rowOff>361950</xdr:rowOff>
              </to>
            </anchor>
          </objectPr>
        </oleObject>
      </mc:Choice>
      <mc:Fallback>
        <oleObject progId="Equation.DSMT4" shapeId="20577" r:id="rId475"/>
      </mc:Fallback>
    </mc:AlternateContent>
    <mc:AlternateContent xmlns:mc="http://schemas.openxmlformats.org/markup-compatibility/2006">
      <mc:Choice Requires="x14">
        <oleObject progId="Equation.DSMT4" shapeId="20578" r:id="rId477">
          <objectPr defaultSize="0" autoPict="0" r:id="rId478">
            <anchor moveWithCells="1">
              <from>
                <xdr:col>663</xdr:col>
                <xdr:colOff>228600</xdr:colOff>
                <xdr:row>61</xdr:row>
                <xdr:rowOff>381000</xdr:rowOff>
              </from>
              <to>
                <xdr:col>672</xdr:col>
                <xdr:colOff>457200</xdr:colOff>
                <xdr:row>63</xdr:row>
                <xdr:rowOff>247650</xdr:rowOff>
              </to>
            </anchor>
          </objectPr>
        </oleObject>
      </mc:Choice>
      <mc:Fallback>
        <oleObject progId="Equation.DSMT4" shapeId="20578" r:id="rId477"/>
      </mc:Fallback>
    </mc:AlternateContent>
    <mc:AlternateContent xmlns:mc="http://schemas.openxmlformats.org/markup-compatibility/2006">
      <mc:Choice Requires="x14">
        <oleObject progId="Equation.DSMT4" shapeId="20579" r:id="rId479">
          <objectPr defaultSize="0" autoPict="0" r:id="rId480">
            <anchor moveWithCells="1">
              <from>
                <xdr:col>663</xdr:col>
                <xdr:colOff>333375</xdr:colOff>
                <xdr:row>66</xdr:row>
                <xdr:rowOff>314325</xdr:rowOff>
              </from>
              <to>
                <xdr:col>667</xdr:col>
                <xdr:colOff>66675</xdr:colOff>
                <xdr:row>68</xdr:row>
                <xdr:rowOff>247650</xdr:rowOff>
              </to>
            </anchor>
          </objectPr>
        </oleObject>
      </mc:Choice>
      <mc:Fallback>
        <oleObject progId="Equation.DSMT4" shapeId="20579" r:id="rId479"/>
      </mc:Fallback>
    </mc:AlternateContent>
    <mc:AlternateContent xmlns:mc="http://schemas.openxmlformats.org/markup-compatibility/2006">
      <mc:Choice Requires="x14">
        <oleObject progId="Equation.DSMT4" shapeId="20582" r:id="rId481">
          <objectPr defaultSize="0" autoPict="0" r:id="rId482">
            <anchor moveWithCells="1">
              <from>
                <xdr:col>660</xdr:col>
                <xdr:colOff>276225</xdr:colOff>
                <xdr:row>273</xdr:row>
                <xdr:rowOff>209550</xdr:rowOff>
              </from>
              <to>
                <xdr:col>670</xdr:col>
                <xdr:colOff>466725</xdr:colOff>
                <xdr:row>274</xdr:row>
                <xdr:rowOff>247650</xdr:rowOff>
              </to>
            </anchor>
          </objectPr>
        </oleObject>
      </mc:Choice>
      <mc:Fallback>
        <oleObject progId="Equation.DSMT4" shapeId="20582" r:id="rId481"/>
      </mc:Fallback>
    </mc:AlternateContent>
    <mc:AlternateContent xmlns:mc="http://schemas.openxmlformats.org/markup-compatibility/2006">
      <mc:Choice Requires="x14">
        <oleObject progId="Equation.DSMT4" shapeId="20603" r:id="rId483">
          <objectPr defaultSize="0" autoPict="0" r:id="rId484">
            <anchor moveWithCells="1">
              <from>
                <xdr:col>660</xdr:col>
                <xdr:colOff>228600</xdr:colOff>
                <xdr:row>222</xdr:row>
                <xdr:rowOff>209550</xdr:rowOff>
              </from>
              <to>
                <xdr:col>667</xdr:col>
                <xdr:colOff>438150</xdr:colOff>
                <xdr:row>223</xdr:row>
                <xdr:rowOff>361950</xdr:rowOff>
              </to>
            </anchor>
          </objectPr>
        </oleObject>
      </mc:Choice>
      <mc:Fallback>
        <oleObject progId="Equation.DSMT4" shapeId="20603" r:id="rId483"/>
      </mc:Fallback>
    </mc:AlternateContent>
    <mc:AlternateContent xmlns:mc="http://schemas.openxmlformats.org/markup-compatibility/2006">
      <mc:Choice Requires="x14">
        <oleObject progId="Equation.DSMT4" shapeId="20604" r:id="rId485">
          <objectPr defaultSize="0" autoPict="0" r:id="rId486">
            <anchor moveWithCells="1">
              <from>
                <xdr:col>660</xdr:col>
                <xdr:colOff>228600</xdr:colOff>
                <xdr:row>226</xdr:row>
                <xdr:rowOff>152400</xdr:rowOff>
              </from>
              <to>
                <xdr:col>667</xdr:col>
                <xdr:colOff>381000</xdr:colOff>
                <xdr:row>227</xdr:row>
                <xdr:rowOff>304800</xdr:rowOff>
              </to>
            </anchor>
          </objectPr>
        </oleObject>
      </mc:Choice>
      <mc:Fallback>
        <oleObject progId="Equation.DSMT4" shapeId="20604" r:id="rId485"/>
      </mc:Fallback>
    </mc:AlternateContent>
    <mc:AlternateContent xmlns:mc="http://schemas.openxmlformats.org/markup-compatibility/2006">
      <mc:Choice Requires="x14">
        <oleObject progId="Equation.DSMT4" shapeId="20605" r:id="rId487">
          <objectPr defaultSize="0" autoPict="0" r:id="rId488">
            <anchor moveWithCells="1">
              <from>
                <xdr:col>661</xdr:col>
                <xdr:colOff>295275</xdr:colOff>
                <xdr:row>197</xdr:row>
                <xdr:rowOff>295275</xdr:rowOff>
              </from>
              <to>
                <xdr:col>672</xdr:col>
                <xdr:colOff>238125</xdr:colOff>
                <xdr:row>199</xdr:row>
                <xdr:rowOff>190500</xdr:rowOff>
              </to>
            </anchor>
          </objectPr>
        </oleObject>
      </mc:Choice>
      <mc:Fallback>
        <oleObject progId="Equation.DSMT4" shapeId="20605" r:id="rId487"/>
      </mc:Fallback>
    </mc:AlternateContent>
    <mc:AlternateContent xmlns:mc="http://schemas.openxmlformats.org/markup-compatibility/2006">
      <mc:Choice Requires="x14">
        <oleObject progId="Equation.DSMT4" shapeId="20610" r:id="rId489">
          <objectPr defaultSize="0" autoPict="0" r:id="rId490">
            <anchor moveWithCells="1">
              <from>
                <xdr:col>661</xdr:col>
                <xdr:colOff>209550</xdr:colOff>
                <xdr:row>236</xdr:row>
                <xdr:rowOff>238125</xdr:rowOff>
              </from>
              <to>
                <xdr:col>669</xdr:col>
                <xdr:colOff>171450</xdr:colOff>
                <xdr:row>238</xdr:row>
                <xdr:rowOff>238125</xdr:rowOff>
              </to>
            </anchor>
          </objectPr>
        </oleObject>
      </mc:Choice>
      <mc:Fallback>
        <oleObject progId="Equation.DSMT4" shapeId="20610" r:id="rId489"/>
      </mc:Fallback>
    </mc:AlternateContent>
    <mc:AlternateContent xmlns:mc="http://schemas.openxmlformats.org/markup-compatibility/2006">
      <mc:Choice Requires="x14">
        <oleObject progId="Equation.DSMT4" shapeId="20617" r:id="rId491">
          <objectPr defaultSize="0" autoPict="0" r:id="rId492">
            <anchor moveWithCells="1">
              <from>
                <xdr:col>660</xdr:col>
                <xdr:colOff>238125</xdr:colOff>
                <xdr:row>277</xdr:row>
                <xdr:rowOff>295275</xdr:rowOff>
              </from>
              <to>
                <xdr:col>668</xdr:col>
                <xdr:colOff>485775</xdr:colOff>
                <xdr:row>279</xdr:row>
                <xdr:rowOff>209550</xdr:rowOff>
              </to>
            </anchor>
          </objectPr>
        </oleObject>
      </mc:Choice>
      <mc:Fallback>
        <oleObject progId="Equation.DSMT4" shapeId="20617" r:id="rId491"/>
      </mc:Fallback>
    </mc:AlternateContent>
    <mc:AlternateContent xmlns:mc="http://schemas.openxmlformats.org/markup-compatibility/2006">
      <mc:Choice Requires="x14">
        <oleObject progId="Equation.DSMT4" shapeId="20634" r:id="rId493">
          <objectPr defaultSize="0" autoPict="0" r:id="rId494">
            <anchor moveWithCells="1">
              <from>
                <xdr:col>660</xdr:col>
                <xdr:colOff>590550</xdr:colOff>
                <xdr:row>167</xdr:row>
                <xdr:rowOff>238125</xdr:rowOff>
              </from>
              <to>
                <xdr:col>674</xdr:col>
                <xdr:colOff>381000</xdr:colOff>
                <xdr:row>169</xdr:row>
                <xdr:rowOff>323850</xdr:rowOff>
              </to>
            </anchor>
          </objectPr>
        </oleObject>
      </mc:Choice>
      <mc:Fallback>
        <oleObject progId="Equation.DSMT4" shapeId="20634" r:id="rId493"/>
      </mc:Fallback>
    </mc:AlternateContent>
    <mc:AlternateContent xmlns:mc="http://schemas.openxmlformats.org/markup-compatibility/2006">
      <mc:Choice Requires="x14">
        <oleObject progId="Equation.DSMT4" shapeId="20648" r:id="rId495">
          <objectPr defaultSize="0" autoPict="0" r:id="rId496">
            <anchor moveWithCells="1">
              <from>
                <xdr:col>97</xdr:col>
                <xdr:colOff>238125</xdr:colOff>
                <xdr:row>59</xdr:row>
                <xdr:rowOff>257175</xdr:rowOff>
              </from>
              <to>
                <xdr:col>100</xdr:col>
                <xdr:colOff>304800</xdr:colOff>
                <xdr:row>60</xdr:row>
                <xdr:rowOff>295275</xdr:rowOff>
              </to>
            </anchor>
          </objectPr>
        </oleObject>
      </mc:Choice>
      <mc:Fallback>
        <oleObject progId="Equation.DSMT4" shapeId="20648" r:id="rId495"/>
      </mc:Fallback>
    </mc:AlternateContent>
    <mc:AlternateContent xmlns:mc="http://schemas.openxmlformats.org/markup-compatibility/2006">
      <mc:Choice Requires="x14">
        <oleObject progId="Equation.DSMT4" shapeId="20663" r:id="rId497">
          <objectPr defaultSize="0" autoPict="0" r:id="rId498">
            <anchor moveWithCells="1">
              <from>
                <xdr:col>98</xdr:col>
                <xdr:colOff>190500</xdr:colOff>
                <xdr:row>35</xdr:row>
                <xdr:rowOff>161925</xdr:rowOff>
              </from>
              <to>
                <xdr:col>101</xdr:col>
                <xdr:colOff>428625</xdr:colOff>
                <xdr:row>36</xdr:row>
                <xdr:rowOff>438150</xdr:rowOff>
              </to>
            </anchor>
          </objectPr>
        </oleObject>
      </mc:Choice>
      <mc:Fallback>
        <oleObject progId="Equation.DSMT4" shapeId="20663" r:id="rId497"/>
      </mc:Fallback>
    </mc:AlternateContent>
    <mc:AlternateContent xmlns:mc="http://schemas.openxmlformats.org/markup-compatibility/2006">
      <mc:Choice Requires="x14">
        <oleObject progId="Equation.DSMT4" shapeId="20664" r:id="rId499">
          <objectPr defaultSize="0" autoPict="0" r:id="rId500">
            <anchor moveWithCells="1">
              <from>
                <xdr:col>99</xdr:col>
                <xdr:colOff>238125</xdr:colOff>
                <xdr:row>47</xdr:row>
                <xdr:rowOff>114300</xdr:rowOff>
              </from>
              <to>
                <xdr:col>102</xdr:col>
                <xdr:colOff>323850</xdr:colOff>
                <xdr:row>48</xdr:row>
                <xdr:rowOff>504825</xdr:rowOff>
              </to>
            </anchor>
          </objectPr>
        </oleObject>
      </mc:Choice>
      <mc:Fallback>
        <oleObject progId="Equation.DSMT4" shapeId="20664" r:id="rId499"/>
      </mc:Fallback>
    </mc:AlternateContent>
    <mc:AlternateContent xmlns:mc="http://schemas.openxmlformats.org/markup-compatibility/2006">
      <mc:Choice Requires="x14">
        <oleObject progId="Equation.DSMT4" shapeId="20665" r:id="rId501">
          <objectPr defaultSize="0" autoPict="0" r:id="rId421">
            <anchor moveWithCells="1">
              <from>
                <xdr:col>803</xdr:col>
                <xdr:colOff>352425</xdr:colOff>
                <xdr:row>98</xdr:row>
                <xdr:rowOff>323850</xdr:rowOff>
              </from>
              <to>
                <xdr:col>809</xdr:col>
                <xdr:colOff>438150</xdr:colOff>
                <xdr:row>99</xdr:row>
                <xdr:rowOff>333375</xdr:rowOff>
              </to>
            </anchor>
          </objectPr>
        </oleObject>
      </mc:Choice>
      <mc:Fallback>
        <oleObject progId="Equation.DSMT4" shapeId="20665" r:id="rId501"/>
      </mc:Fallback>
    </mc:AlternateContent>
    <mc:AlternateContent xmlns:mc="http://schemas.openxmlformats.org/markup-compatibility/2006">
      <mc:Choice Requires="x14">
        <oleObject progId="Equation.DSMT4" shapeId="20666" r:id="rId502">
          <objectPr defaultSize="0" autoPict="0" r:id="rId474">
            <anchor moveWithCells="1">
              <from>
                <xdr:col>803</xdr:col>
                <xdr:colOff>400050</xdr:colOff>
                <xdr:row>100</xdr:row>
                <xdr:rowOff>180975</xdr:rowOff>
              </from>
              <to>
                <xdr:col>808</xdr:col>
                <xdr:colOff>200025</xdr:colOff>
                <xdr:row>101</xdr:row>
                <xdr:rowOff>219075</xdr:rowOff>
              </to>
            </anchor>
          </objectPr>
        </oleObject>
      </mc:Choice>
      <mc:Fallback>
        <oleObject progId="Equation.DSMT4" shapeId="20666" r:id="rId502"/>
      </mc:Fallback>
    </mc:AlternateContent>
    <mc:AlternateContent xmlns:mc="http://schemas.openxmlformats.org/markup-compatibility/2006">
      <mc:Choice Requires="x14">
        <oleObject progId="Equation.DSMT4" shapeId="20670" r:id="rId503">
          <objectPr defaultSize="0" autoPict="0" r:id="rId445">
            <anchor moveWithCells="1">
              <from>
                <xdr:col>803</xdr:col>
                <xdr:colOff>447675</xdr:colOff>
                <xdr:row>104</xdr:row>
                <xdr:rowOff>371475</xdr:rowOff>
              </from>
              <to>
                <xdr:col>808</xdr:col>
                <xdr:colOff>523875</xdr:colOff>
                <xdr:row>105</xdr:row>
                <xdr:rowOff>419100</xdr:rowOff>
              </to>
            </anchor>
          </objectPr>
        </oleObject>
      </mc:Choice>
      <mc:Fallback>
        <oleObject progId="Equation.DSMT4" shapeId="20670" r:id="rId503"/>
      </mc:Fallback>
    </mc:AlternateContent>
    <mc:AlternateContent xmlns:mc="http://schemas.openxmlformats.org/markup-compatibility/2006">
      <mc:Choice Requires="x14">
        <oleObject progId="Equation.DSMT4" shapeId="20671" r:id="rId504">
          <objectPr defaultSize="0" autoPict="0" r:id="rId417">
            <anchor moveWithCells="1">
              <from>
                <xdr:col>803</xdr:col>
                <xdr:colOff>428625</xdr:colOff>
                <xdr:row>102</xdr:row>
                <xdr:rowOff>257175</xdr:rowOff>
              </from>
              <to>
                <xdr:col>809</xdr:col>
                <xdr:colOff>542925</xdr:colOff>
                <xdr:row>103</xdr:row>
                <xdr:rowOff>247650</xdr:rowOff>
              </to>
            </anchor>
          </objectPr>
        </oleObject>
      </mc:Choice>
      <mc:Fallback>
        <oleObject progId="Equation.DSMT4" shapeId="20671" r:id="rId504"/>
      </mc:Fallback>
    </mc:AlternateContent>
    <mc:AlternateContent xmlns:mc="http://schemas.openxmlformats.org/markup-compatibility/2006">
      <mc:Choice Requires="x14">
        <oleObject progId="Equation.DSMT4" shapeId="20673" r:id="rId505">
          <objectPr defaultSize="0" autoPict="0" r:id="rId492">
            <anchor moveWithCells="1">
              <from>
                <xdr:col>803</xdr:col>
                <xdr:colOff>361950</xdr:colOff>
                <xdr:row>119</xdr:row>
                <xdr:rowOff>304800</xdr:rowOff>
              </from>
              <to>
                <xdr:col>812</xdr:col>
                <xdr:colOff>9525</xdr:colOff>
                <xdr:row>121</xdr:row>
                <xdr:rowOff>219075</xdr:rowOff>
              </to>
            </anchor>
          </objectPr>
        </oleObject>
      </mc:Choice>
      <mc:Fallback>
        <oleObject progId="Equation.DSMT4" shapeId="20673" r:id="rId505"/>
      </mc:Fallback>
    </mc:AlternateContent>
    <mc:AlternateContent xmlns:mc="http://schemas.openxmlformats.org/markup-compatibility/2006">
      <mc:Choice Requires="x14">
        <oleObject progId="Equation.DSMT4" shapeId="20676" r:id="rId506">
          <objectPr defaultSize="0" autoPict="0" r:id="rId447">
            <anchor moveWithCells="1">
              <from>
                <xdr:col>803</xdr:col>
                <xdr:colOff>276225</xdr:colOff>
                <xdr:row>122</xdr:row>
                <xdr:rowOff>247650</xdr:rowOff>
              </from>
              <to>
                <xdr:col>808</xdr:col>
                <xdr:colOff>419100</xdr:colOff>
                <xdr:row>124</xdr:row>
                <xdr:rowOff>342900</xdr:rowOff>
              </to>
            </anchor>
          </objectPr>
        </oleObject>
      </mc:Choice>
      <mc:Fallback>
        <oleObject progId="Equation.DSMT4" shapeId="20676" r:id="rId506"/>
      </mc:Fallback>
    </mc:AlternateContent>
    <mc:AlternateContent xmlns:mc="http://schemas.openxmlformats.org/markup-compatibility/2006">
      <mc:Choice Requires="x14">
        <oleObject progId="Equation.DSMT4" shapeId="20677" r:id="rId507">
          <objectPr defaultSize="0" autoPict="0" r:id="rId508">
            <anchor moveWithCells="1">
              <from>
                <xdr:col>803</xdr:col>
                <xdr:colOff>390525</xdr:colOff>
                <xdr:row>128</xdr:row>
                <xdr:rowOff>428625</xdr:rowOff>
              </from>
              <to>
                <xdr:col>807</xdr:col>
                <xdr:colOff>285750</xdr:colOff>
                <xdr:row>130</xdr:row>
                <xdr:rowOff>419100</xdr:rowOff>
              </to>
            </anchor>
          </objectPr>
        </oleObject>
      </mc:Choice>
      <mc:Fallback>
        <oleObject progId="Equation.DSMT4" shapeId="20677" r:id="rId507"/>
      </mc:Fallback>
    </mc:AlternateContent>
    <mc:AlternateContent xmlns:mc="http://schemas.openxmlformats.org/markup-compatibility/2006">
      <mc:Choice Requires="x14">
        <oleObject progId="Equation.DSMT4" shapeId="20678" r:id="rId509">
          <objectPr defaultSize="0" autoPict="0" r:id="rId510">
            <anchor moveWithCells="1">
              <from>
                <xdr:col>660</xdr:col>
                <xdr:colOff>342900</xdr:colOff>
                <xdr:row>289</xdr:row>
                <xdr:rowOff>104775</xdr:rowOff>
              </from>
              <to>
                <xdr:col>663</xdr:col>
                <xdr:colOff>276225</xdr:colOff>
                <xdr:row>290</xdr:row>
                <xdr:rowOff>428625</xdr:rowOff>
              </to>
            </anchor>
          </objectPr>
        </oleObject>
      </mc:Choice>
      <mc:Fallback>
        <oleObject progId="Equation.DSMT4" shapeId="20678" r:id="rId509"/>
      </mc:Fallback>
    </mc:AlternateContent>
    <mc:AlternateContent xmlns:mc="http://schemas.openxmlformats.org/markup-compatibility/2006">
      <mc:Choice Requires="x14">
        <oleObject progId="Equation.DSMT4" shapeId="20682" r:id="rId511">
          <objectPr defaultSize="0" autoPict="0" r:id="rId512">
            <anchor moveWithCells="1">
              <from>
                <xdr:col>660</xdr:col>
                <xdr:colOff>180975</xdr:colOff>
                <xdr:row>282</xdr:row>
                <xdr:rowOff>381000</xdr:rowOff>
              </from>
              <to>
                <xdr:col>663</xdr:col>
                <xdr:colOff>361950</xdr:colOff>
                <xdr:row>284</xdr:row>
                <xdr:rowOff>295275</xdr:rowOff>
              </to>
            </anchor>
          </objectPr>
        </oleObject>
      </mc:Choice>
      <mc:Fallback>
        <oleObject progId="Equation.DSMT4" shapeId="20682" r:id="rId511"/>
      </mc:Fallback>
    </mc:AlternateContent>
    <mc:AlternateContent xmlns:mc="http://schemas.openxmlformats.org/markup-compatibility/2006">
      <mc:Choice Requires="x14">
        <oleObject progId="Equation.DSMT4" shapeId="20702" r:id="rId513">
          <objectPr defaultSize="0" autoPict="0" r:id="rId514">
            <anchor moveWithCells="1">
              <from>
                <xdr:col>661</xdr:col>
                <xdr:colOff>257175</xdr:colOff>
                <xdr:row>299</xdr:row>
                <xdr:rowOff>361950</xdr:rowOff>
              </from>
              <to>
                <xdr:col>670</xdr:col>
                <xdr:colOff>257175</xdr:colOff>
                <xdr:row>301</xdr:row>
                <xdr:rowOff>228600</xdr:rowOff>
              </to>
            </anchor>
          </objectPr>
        </oleObject>
      </mc:Choice>
      <mc:Fallback>
        <oleObject progId="Equation.DSMT4" shapeId="20702" r:id="rId513"/>
      </mc:Fallback>
    </mc:AlternateContent>
    <mc:AlternateContent xmlns:mc="http://schemas.openxmlformats.org/markup-compatibility/2006">
      <mc:Choice Requires="x14">
        <oleObject progId="Equation.DSMT4" shapeId="20703" r:id="rId515">
          <objectPr defaultSize="0" autoPict="0" r:id="rId514">
            <anchor moveWithCells="1">
              <from>
                <xdr:col>803</xdr:col>
                <xdr:colOff>381000</xdr:colOff>
                <xdr:row>131</xdr:row>
                <xdr:rowOff>361950</xdr:rowOff>
              </from>
              <to>
                <xdr:col>814</xdr:col>
                <xdr:colOff>104775</xdr:colOff>
                <xdr:row>133</xdr:row>
                <xdr:rowOff>419100</xdr:rowOff>
              </to>
            </anchor>
          </objectPr>
        </oleObject>
      </mc:Choice>
      <mc:Fallback>
        <oleObject progId="Equation.DSMT4" shapeId="20703" r:id="rId515"/>
      </mc:Fallback>
    </mc:AlternateContent>
    <mc:AlternateContent xmlns:mc="http://schemas.openxmlformats.org/markup-compatibility/2006">
      <mc:Choice Requires="x14">
        <oleObject progId="Equation.DSMT4" shapeId="20715" r:id="rId516">
          <objectPr defaultSize="0" autoPict="0" r:id="rId517">
            <anchor moveWithCells="1">
              <from>
                <xdr:col>660</xdr:col>
                <xdr:colOff>190500</xdr:colOff>
                <xdr:row>56</xdr:row>
                <xdr:rowOff>219075</xdr:rowOff>
              </from>
              <to>
                <xdr:col>670</xdr:col>
                <xdr:colOff>266700</xdr:colOff>
                <xdr:row>58</xdr:row>
                <xdr:rowOff>276225</xdr:rowOff>
              </to>
            </anchor>
          </objectPr>
        </oleObject>
      </mc:Choice>
      <mc:Fallback>
        <oleObject progId="Equation.DSMT4" shapeId="20715" r:id="rId516"/>
      </mc:Fallback>
    </mc:AlternateContent>
    <mc:AlternateContent xmlns:mc="http://schemas.openxmlformats.org/markup-compatibility/2006">
      <mc:Choice Requires="x14">
        <oleObject progId="Equation.DSMT4" shapeId="20729" r:id="rId518">
          <objectPr defaultSize="0" autoPict="0" r:id="rId519">
            <anchor moveWithCells="1">
              <from>
                <xdr:col>660</xdr:col>
                <xdr:colOff>381000</xdr:colOff>
                <xdr:row>202</xdr:row>
                <xdr:rowOff>142875</xdr:rowOff>
              </from>
              <to>
                <xdr:col>664</xdr:col>
                <xdr:colOff>238125</xdr:colOff>
                <xdr:row>203</xdr:row>
                <xdr:rowOff>466725</xdr:rowOff>
              </to>
            </anchor>
          </objectPr>
        </oleObject>
      </mc:Choice>
      <mc:Fallback>
        <oleObject progId="Equation.DSMT4" shapeId="20729" r:id="rId518"/>
      </mc:Fallback>
    </mc:AlternateContent>
    <mc:AlternateContent xmlns:mc="http://schemas.openxmlformats.org/markup-compatibility/2006">
      <mc:Choice Requires="x14">
        <oleObject progId="Equation.DSMT4" shapeId="20738" r:id="rId520">
          <objectPr defaultSize="0" autoPict="0" r:id="rId435">
            <anchor moveWithCells="1">
              <from>
                <xdr:col>803</xdr:col>
                <xdr:colOff>361950</xdr:colOff>
                <xdr:row>27</xdr:row>
                <xdr:rowOff>409575</xdr:rowOff>
              </from>
              <to>
                <xdr:col>806</xdr:col>
                <xdr:colOff>323850</xdr:colOff>
                <xdr:row>29</xdr:row>
                <xdr:rowOff>314325</xdr:rowOff>
              </to>
            </anchor>
          </objectPr>
        </oleObject>
      </mc:Choice>
      <mc:Fallback>
        <oleObject progId="Equation.DSMT4" shapeId="20738" r:id="rId520"/>
      </mc:Fallback>
    </mc:AlternateContent>
    <mc:AlternateContent xmlns:mc="http://schemas.openxmlformats.org/markup-compatibility/2006">
      <mc:Choice Requires="x14">
        <oleObject progId="Equation.DSMT4" shapeId="20739" r:id="rId521">
          <objectPr defaultSize="0" autoPict="0" r:id="rId522">
            <anchor moveWithCells="1">
              <from>
                <xdr:col>803</xdr:col>
                <xdr:colOff>333375</xdr:colOff>
                <xdr:row>30</xdr:row>
                <xdr:rowOff>238125</xdr:rowOff>
              </from>
              <to>
                <xdr:col>810</xdr:col>
                <xdr:colOff>257175</xdr:colOff>
                <xdr:row>32</xdr:row>
                <xdr:rowOff>323850</xdr:rowOff>
              </to>
            </anchor>
          </objectPr>
        </oleObject>
      </mc:Choice>
      <mc:Fallback>
        <oleObject progId="Equation.DSMT4" shapeId="20739" r:id="rId521"/>
      </mc:Fallback>
    </mc:AlternateContent>
    <mc:AlternateContent xmlns:mc="http://schemas.openxmlformats.org/markup-compatibility/2006">
      <mc:Choice Requires="x14">
        <oleObject progId="Equation.DSMT4" shapeId="20741" r:id="rId523">
          <objectPr defaultSize="0" autoPict="0" r:id="rId524">
            <anchor moveWithCells="1">
              <from>
                <xdr:col>803</xdr:col>
                <xdr:colOff>190500</xdr:colOff>
                <xdr:row>33</xdr:row>
                <xdr:rowOff>361950</xdr:rowOff>
              </from>
              <to>
                <xdr:col>810</xdr:col>
                <xdr:colOff>276225</xdr:colOff>
                <xdr:row>35</xdr:row>
                <xdr:rowOff>200025</xdr:rowOff>
              </to>
            </anchor>
          </objectPr>
        </oleObject>
      </mc:Choice>
      <mc:Fallback>
        <oleObject progId="Equation.DSMT4" shapeId="20741" r:id="rId523"/>
      </mc:Fallback>
    </mc:AlternateContent>
    <mc:AlternateContent xmlns:mc="http://schemas.openxmlformats.org/markup-compatibility/2006">
      <mc:Choice Requires="x14">
        <oleObject progId="Equation.DSMT4" shapeId="20745" r:id="rId525">
          <objectPr defaultSize="0" autoPict="0" r:id="rId526">
            <anchor moveWithCells="1">
              <from>
                <xdr:col>803</xdr:col>
                <xdr:colOff>209550</xdr:colOff>
                <xdr:row>72</xdr:row>
                <xdr:rowOff>123825</xdr:rowOff>
              </from>
              <to>
                <xdr:col>813</xdr:col>
                <xdr:colOff>200025</xdr:colOff>
                <xdr:row>75</xdr:row>
                <xdr:rowOff>419100</xdr:rowOff>
              </to>
            </anchor>
          </objectPr>
        </oleObject>
      </mc:Choice>
      <mc:Fallback>
        <oleObject progId="Equation.DSMT4" shapeId="20745" r:id="rId525"/>
      </mc:Fallback>
    </mc:AlternateContent>
    <mc:AlternateContent xmlns:mc="http://schemas.openxmlformats.org/markup-compatibility/2006">
      <mc:Choice Requires="x14">
        <oleObject progId="Equation.DSMT4" shapeId="20750" r:id="rId527">
          <objectPr defaultSize="0" autoPict="0" r:id="rId528">
            <anchor moveWithCells="1">
              <from>
                <xdr:col>803</xdr:col>
                <xdr:colOff>171450</xdr:colOff>
                <xdr:row>90</xdr:row>
                <xdr:rowOff>447675</xdr:rowOff>
              </from>
              <to>
                <xdr:col>813</xdr:col>
                <xdr:colOff>333375</xdr:colOff>
                <xdr:row>93</xdr:row>
                <xdr:rowOff>247650</xdr:rowOff>
              </to>
            </anchor>
          </objectPr>
        </oleObject>
      </mc:Choice>
      <mc:Fallback>
        <oleObject progId="Equation.DSMT4" shapeId="20750" r:id="rId527"/>
      </mc:Fallback>
    </mc:AlternateContent>
    <mc:AlternateContent xmlns:mc="http://schemas.openxmlformats.org/markup-compatibility/2006">
      <mc:Choice Requires="x14">
        <oleObject progId="Equation.DSMT4" shapeId="20751" r:id="rId529">
          <objectPr defaultSize="0" autoPict="0" r:id="rId530">
            <anchor moveWithCells="1">
              <from>
                <xdr:col>803</xdr:col>
                <xdr:colOff>190500</xdr:colOff>
                <xdr:row>94</xdr:row>
                <xdr:rowOff>381000</xdr:rowOff>
              </from>
              <to>
                <xdr:col>811</xdr:col>
                <xdr:colOff>571500</xdr:colOff>
                <xdr:row>97</xdr:row>
                <xdr:rowOff>180975</xdr:rowOff>
              </to>
            </anchor>
          </objectPr>
        </oleObject>
      </mc:Choice>
      <mc:Fallback>
        <oleObject progId="Equation.DSMT4" shapeId="20751" r:id="rId529"/>
      </mc:Fallback>
    </mc:AlternateContent>
    <mc:AlternateContent xmlns:mc="http://schemas.openxmlformats.org/markup-compatibility/2006">
      <mc:Choice Requires="x14">
        <oleObject progId="Equation.DSMT4" shapeId="20760" r:id="rId531">
          <objectPr defaultSize="0" autoPict="0" r:id="rId532">
            <anchor moveWithCells="1">
              <from>
                <xdr:col>803</xdr:col>
                <xdr:colOff>238125</xdr:colOff>
                <xdr:row>106</xdr:row>
                <xdr:rowOff>542925</xdr:rowOff>
              </from>
              <to>
                <xdr:col>813</xdr:col>
                <xdr:colOff>123825</xdr:colOff>
                <xdr:row>109</xdr:row>
                <xdr:rowOff>57150</xdr:rowOff>
              </to>
            </anchor>
          </objectPr>
        </oleObject>
      </mc:Choice>
      <mc:Fallback>
        <oleObject progId="Equation.DSMT4" shapeId="20760" r:id="rId531"/>
      </mc:Fallback>
    </mc:AlternateContent>
    <mc:AlternateContent xmlns:mc="http://schemas.openxmlformats.org/markup-compatibility/2006">
      <mc:Choice Requires="x14">
        <oleObject progId="Equation.DSMT4" shapeId="20763" r:id="rId533">
          <objectPr defaultSize="0" autoPict="0" r:id="rId534">
            <anchor moveWithCells="1">
              <from>
                <xdr:col>803</xdr:col>
                <xdr:colOff>381000</xdr:colOff>
                <xdr:row>52</xdr:row>
                <xdr:rowOff>276225</xdr:rowOff>
              </from>
              <to>
                <xdr:col>808</xdr:col>
                <xdr:colOff>285750</xdr:colOff>
                <xdr:row>54</xdr:row>
                <xdr:rowOff>247650</xdr:rowOff>
              </to>
            </anchor>
          </objectPr>
        </oleObject>
      </mc:Choice>
      <mc:Fallback>
        <oleObject progId="Equation.DSMT4" shapeId="20763" r:id="rId533"/>
      </mc:Fallback>
    </mc:AlternateContent>
    <mc:AlternateContent xmlns:mc="http://schemas.openxmlformats.org/markup-compatibility/2006">
      <mc:Choice Requires="x14">
        <oleObject progId="Equation.DSMT4" shapeId="20766" r:id="rId535">
          <objectPr defaultSize="0" autoPict="0" r:id="rId536">
            <anchor moveWithCells="1">
              <from>
                <xdr:col>803</xdr:col>
                <xdr:colOff>209550</xdr:colOff>
                <xdr:row>55</xdr:row>
                <xdr:rowOff>476250</xdr:rowOff>
              </from>
              <to>
                <xdr:col>810</xdr:col>
                <xdr:colOff>447675</xdr:colOff>
                <xdr:row>57</xdr:row>
                <xdr:rowOff>304800</xdr:rowOff>
              </to>
            </anchor>
          </objectPr>
        </oleObject>
      </mc:Choice>
      <mc:Fallback>
        <oleObject progId="Equation.DSMT4" shapeId="20766" r:id="rId535"/>
      </mc:Fallback>
    </mc:AlternateContent>
    <mc:AlternateContent xmlns:mc="http://schemas.openxmlformats.org/markup-compatibility/2006">
      <mc:Choice Requires="x14">
        <oleObject progId="Equation.DSMT4" shapeId="20767" r:id="rId537">
          <objectPr defaultSize="0" autoPict="0" r:id="rId538">
            <anchor moveWithCells="1">
              <from>
                <xdr:col>803</xdr:col>
                <xdr:colOff>114300</xdr:colOff>
                <xdr:row>58</xdr:row>
                <xdr:rowOff>219075</xdr:rowOff>
              </from>
              <to>
                <xdr:col>811</xdr:col>
                <xdr:colOff>419100</xdr:colOff>
                <xdr:row>59</xdr:row>
                <xdr:rowOff>390525</xdr:rowOff>
              </to>
            </anchor>
          </objectPr>
        </oleObject>
      </mc:Choice>
      <mc:Fallback>
        <oleObject progId="Equation.DSMT4" shapeId="20767" r:id="rId537"/>
      </mc:Fallback>
    </mc:AlternateContent>
    <mc:AlternateContent xmlns:mc="http://schemas.openxmlformats.org/markup-compatibility/2006">
      <mc:Choice Requires="x14">
        <oleObject progId="Equation.DSMT4" shapeId="20768" r:id="rId539">
          <objectPr defaultSize="0" autoPict="0" r:id="rId532">
            <anchor moveWithCells="1">
              <from>
                <xdr:col>661</xdr:col>
                <xdr:colOff>295275</xdr:colOff>
                <xdr:row>217</xdr:row>
                <xdr:rowOff>276225</xdr:rowOff>
              </from>
              <to>
                <xdr:col>670</xdr:col>
                <xdr:colOff>133350</xdr:colOff>
                <xdr:row>219</xdr:row>
                <xdr:rowOff>266700</xdr:rowOff>
              </to>
            </anchor>
          </objectPr>
        </oleObject>
      </mc:Choice>
      <mc:Fallback>
        <oleObject progId="Equation.DSMT4" shapeId="20768" r:id="rId539"/>
      </mc:Fallback>
    </mc:AlternateContent>
    <mc:AlternateContent xmlns:mc="http://schemas.openxmlformats.org/markup-compatibility/2006">
      <mc:Choice Requires="x14">
        <oleObject progId="Equation.DSMT4" shapeId="20770" r:id="rId540">
          <objectPr defaultSize="0" autoPict="0" r:id="rId541">
            <anchor moveWithCells="1">
              <from>
                <xdr:col>661</xdr:col>
                <xdr:colOff>238125</xdr:colOff>
                <xdr:row>249</xdr:row>
                <xdr:rowOff>209550</xdr:rowOff>
              </from>
              <to>
                <xdr:col>672</xdr:col>
                <xdr:colOff>523875</xdr:colOff>
                <xdr:row>251</xdr:row>
                <xdr:rowOff>276225</xdr:rowOff>
              </to>
            </anchor>
          </objectPr>
        </oleObject>
      </mc:Choice>
      <mc:Fallback>
        <oleObject progId="Equation.DSMT4" shapeId="20770" r:id="rId540"/>
      </mc:Fallback>
    </mc:AlternateContent>
    <mc:AlternateContent xmlns:mc="http://schemas.openxmlformats.org/markup-compatibility/2006">
      <mc:Choice Requires="x14">
        <oleObject progId="Equation.DSMT4" shapeId="20772" r:id="rId542">
          <objectPr defaultSize="0" autoPict="0" r:id="rId543">
            <anchor moveWithCells="1">
              <from>
                <xdr:col>803</xdr:col>
                <xdr:colOff>161925</xdr:colOff>
                <xdr:row>117</xdr:row>
                <xdr:rowOff>314325</xdr:rowOff>
              </from>
              <to>
                <xdr:col>813</xdr:col>
                <xdr:colOff>438150</xdr:colOff>
                <xdr:row>118</xdr:row>
                <xdr:rowOff>409575</xdr:rowOff>
              </to>
            </anchor>
          </objectPr>
        </oleObject>
      </mc:Choice>
      <mc:Fallback>
        <oleObject progId="Equation.DSMT4" shapeId="20772" r:id="rId542"/>
      </mc:Fallback>
    </mc:AlternateContent>
    <mc:AlternateContent xmlns:mc="http://schemas.openxmlformats.org/markup-compatibility/2006">
      <mc:Choice Requires="x14">
        <oleObject progId="Equation.DSMT4" shapeId="20773" r:id="rId544">
          <objectPr defaultSize="0" autoPict="0" r:id="rId545">
            <anchor moveWithCells="1">
              <from>
                <xdr:col>803</xdr:col>
                <xdr:colOff>209550</xdr:colOff>
                <xdr:row>110</xdr:row>
                <xdr:rowOff>476250</xdr:rowOff>
              </from>
              <to>
                <xdr:col>814</xdr:col>
                <xdr:colOff>323850</xdr:colOff>
                <xdr:row>113</xdr:row>
                <xdr:rowOff>38100</xdr:rowOff>
              </to>
            </anchor>
          </objectPr>
        </oleObject>
      </mc:Choice>
      <mc:Fallback>
        <oleObject progId="Equation.DSMT4" shapeId="20773" r:id="rId544"/>
      </mc:Fallback>
    </mc:AlternateContent>
    <mc:AlternateContent xmlns:mc="http://schemas.openxmlformats.org/markup-compatibility/2006">
      <mc:Choice Requires="x14">
        <oleObject progId="Equation.DSMT4" shapeId="20774" r:id="rId546">
          <objectPr defaultSize="0" autoPict="0" r:id="rId547">
            <anchor moveWithCells="1">
              <from>
                <xdr:col>803</xdr:col>
                <xdr:colOff>209550</xdr:colOff>
                <xdr:row>36</xdr:row>
                <xdr:rowOff>428625</xdr:rowOff>
              </from>
              <to>
                <xdr:col>810</xdr:col>
                <xdr:colOff>19050</xdr:colOff>
                <xdr:row>37</xdr:row>
                <xdr:rowOff>457200</xdr:rowOff>
              </to>
            </anchor>
          </objectPr>
        </oleObject>
      </mc:Choice>
      <mc:Fallback>
        <oleObject progId="Equation.DSMT4" shapeId="20774" r:id="rId546"/>
      </mc:Fallback>
    </mc:AlternateContent>
    <mc:AlternateContent xmlns:mc="http://schemas.openxmlformats.org/markup-compatibility/2006">
      <mc:Choice Requires="x14">
        <oleObject progId="Equation.DSMT4" shapeId="20775" r:id="rId548">
          <objectPr defaultSize="0" autoPict="0" r:id="rId549">
            <anchor moveWithCells="1">
              <from>
                <xdr:col>803</xdr:col>
                <xdr:colOff>285750</xdr:colOff>
                <xdr:row>50</xdr:row>
                <xdr:rowOff>285750</xdr:rowOff>
              </from>
              <to>
                <xdr:col>809</xdr:col>
                <xdr:colOff>333375</xdr:colOff>
                <xdr:row>51</xdr:row>
                <xdr:rowOff>314325</xdr:rowOff>
              </to>
            </anchor>
          </objectPr>
        </oleObject>
      </mc:Choice>
      <mc:Fallback>
        <oleObject progId="Equation.DSMT4" shapeId="20775" r:id="rId548"/>
      </mc:Fallback>
    </mc:AlternateContent>
    <mc:AlternateContent xmlns:mc="http://schemas.openxmlformats.org/markup-compatibility/2006">
      <mc:Choice Requires="x14">
        <oleObject progId="Equation.DSMT4" shapeId="20777" r:id="rId550">
          <objectPr defaultSize="0" autoPict="0" r:id="rId551">
            <anchor moveWithCells="1">
              <from>
                <xdr:col>661</xdr:col>
                <xdr:colOff>266700</xdr:colOff>
                <xdr:row>92</xdr:row>
                <xdr:rowOff>285750</xdr:rowOff>
              </from>
              <to>
                <xdr:col>667</xdr:col>
                <xdr:colOff>304800</xdr:colOff>
                <xdr:row>93</xdr:row>
                <xdr:rowOff>314325</xdr:rowOff>
              </to>
            </anchor>
          </objectPr>
        </oleObject>
      </mc:Choice>
      <mc:Fallback>
        <oleObject progId="Equation.DSMT4" shapeId="20777" r:id="rId550"/>
      </mc:Fallback>
    </mc:AlternateContent>
    <mc:AlternateContent xmlns:mc="http://schemas.openxmlformats.org/markup-compatibility/2006">
      <mc:Choice Requires="x14">
        <oleObject progId="Equation.DSMT4" shapeId="20778" r:id="rId552">
          <objectPr defaultSize="0" autoPict="0" r:id="rId553">
            <anchor moveWithCells="1">
              <from>
                <xdr:col>661</xdr:col>
                <xdr:colOff>219075</xdr:colOff>
                <xdr:row>120</xdr:row>
                <xdr:rowOff>257175</xdr:rowOff>
              </from>
              <to>
                <xdr:col>666</xdr:col>
                <xdr:colOff>390525</xdr:colOff>
                <xdr:row>121</xdr:row>
                <xdr:rowOff>295275</xdr:rowOff>
              </to>
            </anchor>
          </objectPr>
        </oleObject>
      </mc:Choice>
      <mc:Fallback>
        <oleObject progId="Equation.DSMT4" shapeId="20778" r:id="rId552"/>
      </mc:Fallback>
    </mc:AlternateContent>
    <mc:AlternateContent xmlns:mc="http://schemas.openxmlformats.org/markup-compatibility/2006">
      <mc:Choice Requires="x14">
        <oleObject progId="Equation.DSMT4" shapeId="20785" r:id="rId554">
          <objectPr defaultSize="0" autoPict="0" r:id="rId555">
            <anchor moveWithCells="1">
              <from>
                <xdr:col>660</xdr:col>
                <xdr:colOff>361950</xdr:colOff>
                <xdr:row>261</xdr:row>
                <xdr:rowOff>504825</xdr:rowOff>
              </from>
              <to>
                <xdr:col>671</xdr:col>
                <xdr:colOff>257175</xdr:colOff>
                <xdr:row>264</xdr:row>
                <xdr:rowOff>85725</xdr:rowOff>
              </to>
            </anchor>
          </objectPr>
        </oleObject>
      </mc:Choice>
      <mc:Fallback>
        <oleObject progId="Equation.DSMT4" shapeId="20785" r:id="rId554"/>
      </mc:Fallback>
    </mc:AlternateContent>
    <mc:AlternateContent xmlns:mc="http://schemas.openxmlformats.org/markup-compatibility/2006">
      <mc:Choice Requires="x14">
        <oleObject progId="Equation.DSMT4" shapeId="20786" r:id="rId556">
          <objectPr defaultSize="0" autoPict="0" r:id="rId557">
            <anchor moveWithCells="1">
              <from>
                <xdr:col>661</xdr:col>
                <xdr:colOff>257175</xdr:colOff>
                <xdr:row>268</xdr:row>
                <xdr:rowOff>428625</xdr:rowOff>
              </from>
              <to>
                <xdr:col>666</xdr:col>
                <xdr:colOff>457200</xdr:colOff>
                <xdr:row>270</xdr:row>
                <xdr:rowOff>342900</xdr:rowOff>
              </to>
            </anchor>
          </objectPr>
        </oleObject>
      </mc:Choice>
      <mc:Fallback>
        <oleObject progId="Equation.DSMT4" shapeId="20786" r:id="rId556"/>
      </mc:Fallback>
    </mc:AlternateContent>
    <mc:AlternateContent xmlns:mc="http://schemas.openxmlformats.org/markup-compatibility/2006">
      <mc:Choice Requires="x14">
        <oleObject progId="Equation.DSMT4" shapeId="20787" r:id="rId558">
          <objectPr defaultSize="0" autoPict="0" r:id="rId557">
            <anchor moveWithCells="1">
              <from>
                <xdr:col>803</xdr:col>
                <xdr:colOff>276225</xdr:colOff>
                <xdr:row>114</xdr:row>
                <xdr:rowOff>266700</xdr:rowOff>
              </from>
              <to>
                <xdr:col>808</xdr:col>
                <xdr:colOff>476250</xdr:colOff>
                <xdr:row>116</xdr:row>
                <xdr:rowOff>180975</xdr:rowOff>
              </to>
            </anchor>
          </objectPr>
        </oleObject>
      </mc:Choice>
      <mc:Fallback>
        <oleObject progId="Equation.DSMT4" shapeId="20787" r:id="rId558"/>
      </mc:Fallback>
    </mc:AlternateContent>
    <mc:AlternateContent xmlns:mc="http://schemas.openxmlformats.org/markup-compatibility/2006">
      <mc:Choice Requires="x14">
        <oleObject progId="Equation.DSMT4" shapeId="20788" r:id="rId559">
          <objectPr defaultSize="0" autoPict="0" r:id="rId560">
            <anchor moveWithCells="1">
              <from>
                <xdr:col>803</xdr:col>
                <xdr:colOff>209550</xdr:colOff>
                <xdr:row>125</xdr:row>
                <xdr:rowOff>171450</xdr:rowOff>
              </from>
              <to>
                <xdr:col>814</xdr:col>
                <xdr:colOff>190500</xdr:colOff>
                <xdr:row>127</xdr:row>
                <xdr:rowOff>400050</xdr:rowOff>
              </to>
            </anchor>
          </objectPr>
        </oleObject>
      </mc:Choice>
      <mc:Fallback>
        <oleObject progId="Equation.DSMT4" shapeId="20788" r:id="rId559"/>
      </mc:Fallback>
    </mc:AlternateContent>
    <mc:AlternateContent xmlns:mc="http://schemas.openxmlformats.org/markup-compatibility/2006">
      <mc:Choice Requires="x14">
        <oleObject progId="Equation.DSMT4" shapeId="20793" r:id="rId561">
          <objectPr defaultSize="0" autoPict="0" r:id="rId562">
            <anchor moveWithCells="1">
              <from>
                <xdr:col>448</xdr:col>
                <xdr:colOff>285750</xdr:colOff>
                <xdr:row>52</xdr:row>
                <xdr:rowOff>209550</xdr:rowOff>
              </from>
              <to>
                <xdr:col>458</xdr:col>
                <xdr:colOff>323850</xdr:colOff>
                <xdr:row>53</xdr:row>
                <xdr:rowOff>247650</xdr:rowOff>
              </to>
            </anchor>
          </objectPr>
        </oleObject>
      </mc:Choice>
      <mc:Fallback>
        <oleObject progId="Equation.DSMT4" shapeId="20793" r:id="rId561"/>
      </mc:Fallback>
    </mc:AlternateContent>
    <mc:AlternateContent xmlns:mc="http://schemas.openxmlformats.org/markup-compatibility/2006">
      <mc:Choice Requires="x14">
        <oleObject progId="Equation.DSMT4" shapeId="20812" r:id="rId563">
          <objectPr defaultSize="0" autoPict="0" r:id="rId564">
            <anchor moveWithCells="1">
              <from>
                <xdr:col>447</xdr:col>
                <xdr:colOff>228600</xdr:colOff>
                <xdr:row>84</xdr:row>
                <xdr:rowOff>333375</xdr:rowOff>
              </from>
              <to>
                <xdr:col>452</xdr:col>
                <xdr:colOff>381000</xdr:colOff>
                <xdr:row>85</xdr:row>
                <xdr:rowOff>304800</xdr:rowOff>
              </to>
            </anchor>
          </objectPr>
        </oleObject>
      </mc:Choice>
      <mc:Fallback>
        <oleObject progId="Equation.DSMT4" shapeId="20812" r:id="rId563"/>
      </mc:Fallback>
    </mc:AlternateContent>
    <mc:AlternateContent xmlns:mc="http://schemas.openxmlformats.org/markup-compatibility/2006">
      <mc:Choice Requires="x14">
        <oleObject progId="Equation.DSMT4" shapeId="20813" r:id="rId565">
          <objectPr defaultSize="0" autoPict="0" r:id="rId566">
            <anchor moveWithCells="1">
              <from>
                <xdr:col>448</xdr:col>
                <xdr:colOff>171450</xdr:colOff>
                <xdr:row>68</xdr:row>
                <xdr:rowOff>333375</xdr:rowOff>
              </from>
              <to>
                <xdr:col>454</xdr:col>
                <xdr:colOff>466725</xdr:colOff>
                <xdr:row>70</xdr:row>
                <xdr:rowOff>276225</xdr:rowOff>
              </to>
            </anchor>
          </objectPr>
        </oleObject>
      </mc:Choice>
      <mc:Fallback>
        <oleObject progId="Equation.DSMT4" shapeId="20813" r:id="rId565"/>
      </mc:Fallback>
    </mc:AlternateContent>
    <mc:AlternateContent xmlns:mc="http://schemas.openxmlformats.org/markup-compatibility/2006">
      <mc:Choice Requires="x14">
        <oleObject progId="Equation.DSMT4" shapeId="20824" r:id="rId567">
          <objectPr defaultSize="0" autoPict="0" r:id="rId568">
            <anchor moveWithCells="1">
              <from>
                <xdr:col>448</xdr:col>
                <xdr:colOff>428625</xdr:colOff>
                <xdr:row>154</xdr:row>
                <xdr:rowOff>314325</xdr:rowOff>
              </from>
              <to>
                <xdr:col>454</xdr:col>
                <xdr:colOff>123825</xdr:colOff>
                <xdr:row>155</xdr:row>
                <xdr:rowOff>361950</xdr:rowOff>
              </to>
            </anchor>
          </objectPr>
        </oleObject>
      </mc:Choice>
      <mc:Fallback>
        <oleObject progId="Equation.DSMT4" shapeId="20824" r:id="rId567"/>
      </mc:Fallback>
    </mc:AlternateContent>
    <mc:AlternateContent xmlns:mc="http://schemas.openxmlformats.org/markup-compatibility/2006">
      <mc:Choice Requires="x14">
        <oleObject progId="Equation.DSMT4" shapeId="20827" r:id="rId569">
          <objectPr defaultSize="0" autoPict="0" r:id="rId570">
            <anchor moveWithCells="1">
              <from>
                <xdr:col>447</xdr:col>
                <xdr:colOff>171450</xdr:colOff>
                <xdr:row>134</xdr:row>
                <xdr:rowOff>276225</xdr:rowOff>
              </from>
              <to>
                <xdr:col>455</xdr:col>
                <xdr:colOff>457200</xdr:colOff>
                <xdr:row>136</xdr:row>
                <xdr:rowOff>333375</xdr:rowOff>
              </to>
            </anchor>
          </objectPr>
        </oleObject>
      </mc:Choice>
      <mc:Fallback>
        <oleObject progId="Equation.DSMT4" shapeId="20827" r:id="rId569"/>
      </mc:Fallback>
    </mc:AlternateContent>
    <mc:AlternateContent xmlns:mc="http://schemas.openxmlformats.org/markup-compatibility/2006">
      <mc:Choice Requires="x14">
        <oleObject progId="Equation.DSMT4" shapeId="20828" r:id="rId571">
          <objectPr defaultSize="0" autoPict="0" r:id="rId572">
            <anchor moveWithCells="1">
              <from>
                <xdr:col>447</xdr:col>
                <xdr:colOff>257175</xdr:colOff>
                <xdr:row>145</xdr:row>
                <xdr:rowOff>295275</xdr:rowOff>
              </from>
              <to>
                <xdr:col>452</xdr:col>
                <xdr:colOff>381000</xdr:colOff>
                <xdr:row>147</xdr:row>
                <xdr:rowOff>266700</xdr:rowOff>
              </to>
            </anchor>
          </objectPr>
        </oleObject>
      </mc:Choice>
      <mc:Fallback>
        <oleObject progId="Equation.DSMT4" shapeId="20828" r:id="rId571"/>
      </mc:Fallback>
    </mc:AlternateContent>
    <mc:AlternateContent xmlns:mc="http://schemas.openxmlformats.org/markup-compatibility/2006">
      <mc:Choice Requires="x14">
        <oleObject progId="Equation.DSMT4" shapeId="20861" r:id="rId573">
          <objectPr defaultSize="0" autoPict="0" r:id="rId574">
            <anchor moveWithCells="1">
              <from>
                <xdr:col>449</xdr:col>
                <xdr:colOff>142875</xdr:colOff>
                <xdr:row>79</xdr:row>
                <xdr:rowOff>238125</xdr:rowOff>
              </from>
              <to>
                <xdr:col>462</xdr:col>
                <xdr:colOff>438150</xdr:colOff>
                <xdr:row>81</xdr:row>
                <xdr:rowOff>295275</xdr:rowOff>
              </to>
            </anchor>
          </objectPr>
        </oleObject>
      </mc:Choice>
      <mc:Fallback>
        <oleObject progId="Equation.DSMT4" shapeId="20861" r:id="rId573"/>
      </mc:Fallback>
    </mc:AlternateContent>
    <mc:AlternateContent xmlns:mc="http://schemas.openxmlformats.org/markup-compatibility/2006">
      <mc:Choice Requires="x14">
        <oleObject progId="Equation.DSMT4" shapeId="20884" r:id="rId575">
          <objectPr defaultSize="0" autoPict="0" r:id="rId576">
            <anchor moveWithCells="1">
              <from>
                <xdr:col>448</xdr:col>
                <xdr:colOff>314325</xdr:colOff>
                <xdr:row>48</xdr:row>
                <xdr:rowOff>295275</xdr:rowOff>
              </from>
              <to>
                <xdr:col>459</xdr:col>
                <xdr:colOff>123825</xdr:colOff>
                <xdr:row>49</xdr:row>
                <xdr:rowOff>333375</xdr:rowOff>
              </to>
            </anchor>
          </objectPr>
        </oleObject>
      </mc:Choice>
      <mc:Fallback>
        <oleObject progId="Equation.DSMT4" shapeId="20884" r:id="rId575"/>
      </mc:Fallback>
    </mc:AlternateContent>
    <mc:AlternateContent xmlns:mc="http://schemas.openxmlformats.org/markup-compatibility/2006">
      <mc:Choice Requires="x14">
        <oleObject progId="Equation.DSMT4" shapeId="20902" r:id="rId577">
          <objectPr defaultSize="0" autoPict="0" r:id="rId578">
            <anchor moveWithCells="1">
              <from>
                <xdr:col>447</xdr:col>
                <xdr:colOff>285750</xdr:colOff>
                <xdr:row>125</xdr:row>
                <xdr:rowOff>238125</xdr:rowOff>
              </from>
              <to>
                <xdr:col>453</xdr:col>
                <xdr:colOff>428625</xdr:colOff>
                <xdr:row>126</xdr:row>
                <xdr:rowOff>266700</xdr:rowOff>
              </to>
            </anchor>
          </objectPr>
        </oleObject>
      </mc:Choice>
      <mc:Fallback>
        <oleObject progId="Equation.DSMT4" shapeId="20902" r:id="rId577"/>
      </mc:Fallback>
    </mc:AlternateContent>
    <mc:AlternateContent xmlns:mc="http://schemas.openxmlformats.org/markup-compatibility/2006">
      <mc:Choice Requires="x14">
        <oleObject progId="Equation.DSMT4" shapeId="20903" r:id="rId579">
          <objectPr defaultSize="0" autoPict="0" r:id="rId580">
            <anchor moveWithCells="1">
              <from>
                <xdr:col>448</xdr:col>
                <xdr:colOff>171450</xdr:colOff>
                <xdr:row>119</xdr:row>
                <xdr:rowOff>238125</xdr:rowOff>
              </from>
              <to>
                <xdr:col>454</xdr:col>
                <xdr:colOff>438150</xdr:colOff>
                <xdr:row>120</xdr:row>
                <xdr:rowOff>266700</xdr:rowOff>
              </to>
            </anchor>
          </objectPr>
        </oleObject>
      </mc:Choice>
      <mc:Fallback>
        <oleObject progId="Equation.DSMT4" shapeId="20903" r:id="rId579"/>
      </mc:Fallback>
    </mc:AlternateContent>
    <mc:AlternateContent xmlns:mc="http://schemas.openxmlformats.org/markup-compatibility/2006">
      <mc:Choice Requires="x14">
        <oleObject progId="Equation.DSMT4" shapeId="20928" r:id="rId581">
          <objectPr defaultSize="0" autoPict="0" r:id="rId582">
            <anchor moveWithCells="1">
              <from>
                <xdr:col>448</xdr:col>
                <xdr:colOff>285750</xdr:colOff>
                <xdr:row>103</xdr:row>
                <xdr:rowOff>266700</xdr:rowOff>
              </from>
              <to>
                <xdr:col>454</xdr:col>
                <xdr:colOff>390525</xdr:colOff>
                <xdr:row>105</xdr:row>
                <xdr:rowOff>323850</xdr:rowOff>
              </to>
            </anchor>
          </objectPr>
        </oleObject>
      </mc:Choice>
      <mc:Fallback>
        <oleObject progId="Equation.DSMT4" shapeId="20928" r:id="rId581"/>
      </mc:Fallback>
    </mc:AlternateContent>
    <mc:AlternateContent xmlns:mc="http://schemas.openxmlformats.org/markup-compatibility/2006">
      <mc:Choice Requires="x14">
        <oleObject progId="Equation.DSMT4" shapeId="20931" r:id="rId583">
          <objectPr defaultSize="0" autoPict="0" r:id="rId584">
            <anchor moveWithCells="1">
              <from>
                <xdr:col>448</xdr:col>
                <xdr:colOff>257175</xdr:colOff>
                <xdr:row>16</xdr:row>
                <xdr:rowOff>523875</xdr:rowOff>
              </from>
              <to>
                <xdr:col>465</xdr:col>
                <xdr:colOff>361950</xdr:colOff>
                <xdr:row>19</xdr:row>
                <xdr:rowOff>9525</xdr:rowOff>
              </to>
            </anchor>
          </objectPr>
        </oleObject>
      </mc:Choice>
      <mc:Fallback>
        <oleObject progId="Equation.DSMT4" shapeId="20931" r:id="rId583"/>
      </mc:Fallback>
    </mc:AlternateContent>
    <mc:AlternateContent xmlns:mc="http://schemas.openxmlformats.org/markup-compatibility/2006">
      <mc:Choice Requires="x14">
        <oleObject progId="Equation.DSMT4" shapeId="20934" r:id="rId585">
          <objectPr defaultSize="0" autoPict="0" r:id="rId586">
            <anchor moveWithCells="1">
              <from>
                <xdr:col>447</xdr:col>
                <xdr:colOff>352425</xdr:colOff>
                <xdr:row>194</xdr:row>
                <xdr:rowOff>333375</xdr:rowOff>
              </from>
              <to>
                <xdr:col>451</xdr:col>
                <xdr:colOff>266700</xdr:colOff>
                <xdr:row>196</xdr:row>
                <xdr:rowOff>352425</xdr:rowOff>
              </to>
            </anchor>
          </objectPr>
        </oleObject>
      </mc:Choice>
      <mc:Fallback>
        <oleObject progId="Equation.DSMT4" shapeId="20934" r:id="rId585"/>
      </mc:Fallback>
    </mc:AlternateContent>
    <mc:AlternateContent xmlns:mc="http://schemas.openxmlformats.org/markup-compatibility/2006">
      <mc:Choice Requires="x14">
        <oleObject progId="Equation.DSMT4" shapeId="20941" r:id="rId587">
          <objectPr defaultSize="0" autoPict="0" r:id="rId588">
            <anchor moveWithCells="1">
              <from>
                <xdr:col>825</xdr:col>
                <xdr:colOff>561975</xdr:colOff>
                <xdr:row>33</xdr:row>
                <xdr:rowOff>352425</xdr:rowOff>
              </from>
              <to>
                <xdr:col>838</xdr:col>
                <xdr:colOff>533400</xdr:colOff>
                <xdr:row>40</xdr:row>
                <xdr:rowOff>333375</xdr:rowOff>
              </to>
            </anchor>
          </objectPr>
        </oleObject>
      </mc:Choice>
      <mc:Fallback>
        <oleObject progId="Equation.DSMT4" shapeId="20941" r:id="rId587"/>
      </mc:Fallback>
    </mc:AlternateContent>
    <mc:AlternateContent xmlns:mc="http://schemas.openxmlformats.org/markup-compatibility/2006">
      <mc:Choice Requires="x14">
        <oleObject progId="Equation.DSMT4" shapeId="20942" r:id="rId589">
          <objectPr defaultSize="0" autoPict="0" r:id="rId590">
            <anchor moveWithCells="1">
              <from>
                <xdr:col>623</xdr:col>
                <xdr:colOff>333375</xdr:colOff>
                <xdr:row>63</xdr:row>
                <xdr:rowOff>95250</xdr:rowOff>
              </from>
              <to>
                <xdr:col>626</xdr:col>
                <xdr:colOff>133350</xdr:colOff>
                <xdr:row>64</xdr:row>
                <xdr:rowOff>485775</xdr:rowOff>
              </to>
            </anchor>
          </objectPr>
        </oleObject>
      </mc:Choice>
      <mc:Fallback>
        <oleObject progId="Equation.DSMT4" shapeId="20942" r:id="rId589"/>
      </mc:Fallback>
    </mc:AlternateContent>
    <mc:AlternateContent xmlns:mc="http://schemas.openxmlformats.org/markup-compatibility/2006">
      <mc:Choice Requires="x14">
        <oleObject progId="Equation.DSMT4" shapeId="21157" r:id="rId591">
          <objectPr defaultSize="0" autoPict="0" r:id="rId592">
            <anchor moveWithCells="1">
              <from>
                <xdr:col>448</xdr:col>
                <xdr:colOff>257175</xdr:colOff>
                <xdr:row>23</xdr:row>
                <xdr:rowOff>285750</xdr:rowOff>
              </from>
              <to>
                <xdr:col>462</xdr:col>
                <xdr:colOff>219075</xdr:colOff>
                <xdr:row>25</xdr:row>
                <xdr:rowOff>342900</xdr:rowOff>
              </to>
            </anchor>
          </objectPr>
        </oleObject>
      </mc:Choice>
      <mc:Fallback>
        <oleObject progId="Equation.DSMT4" shapeId="21157" r:id="rId591"/>
      </mc:Fallback>
    </mc:AlternateContent>
    <mc:AlternateContent xmlns:mc="http://schemas.openxmlformats.org/markup-compatibility/2006">
      <mc:Choice Requires="x14">
        <oleObject progId="Equation.DSMT4" shapeId="21158" r:id="rId593">
          <objectPr defaultSize="0" autoPict="0" r:id="rId594">
            <anchor moveWithCells="1">
              <from>
                <xdr:col>448</xdr:col>
                <xdr:colOff>285750</xdr:colOff>
                <xdr:row>75</xdr:row>
                <xdr:rowOff>238125</xdr:rowOff>
              </from>
              <to>
                <xdr:col>459</xdr:col>
                <xdr:colOff>304800</xdr:colOff>
                <xdr:row>76</xdr:row>
                <xdr:rowOff>342900</xdr:rowOff>
              </to>
            </anchor>
          </objectPr>
        </oleObject>
      </mc:Choice>
      <mc:Fallback>
        <oleObject progId="Equation.DSMT4" shapeId="21158" r:id="rId593"/>
      </mc:Fallback>
    </mc:AlternateContent>
    <mc:AlternateContent xmlns:mc="http://schemas.openxmlformats.org/markup-compatibility/2006">
      <mc:Choice Requires="x14">
        <oleObject progId="Equation.DSMT4" shapeId="21177" r:id="rId595">
          <objectPr defaultSize="0" autoPict="0" r:id="rId596">
            <anchor moveWithCells="1">
              <from>
                <xdr:col>448</xdr:col>
                <xdr:colOff>400050</xdr:colOff>
                <xdr:row>112</xdr:row>
                <xdr:rowOff>238125</xdr:rowOff>
              </from>
              <to>
                <xdr:col>456</xdr:col>
                <xdr:colOff>352425</xdr:colOff>
                <xdr:row>114</xdr:row>
                <xdr:rowOff>295275</xdr:rowOff>
              </to>
            </anchor>
          </objectPr>
        </oleObject>
      </mc:Choice>
      <mc:Fallback>
        <oleObject progId="Equation.DSMT4" shapeId="21177" r:id="rId595"/>
      </mc:Fallback>
    </mc:AlternateContent>
    <mc:AlternateContent xmlns:mc="http://schemas.openxmlformats.org/markup-compatibility/2006">
      <mc:Choice Requires="x14">
        <oleObject progId="Equation.DSMT4" shapeId="21185" r:id="rId597">
          <objectPr defaultSize="0" autoPict="0" r:id="rId598">
            <anchor moveWithCells="1">
              <from>
                <xdr:col>448</xdr:col>
                <xdr:colOff>285750</xdr:colOff>
                <xdr:row>108</xdr:row>
                <xdr:rowOff>238125</xdr:rowOff>
              </from>
              <to>
                <xdr:col>459</xdr:col>
                <xdr:colOff>180975</xdr:colOff>
                <xdr:row>109</xdr:row>
                <xdr:rowOff>342900</xdr:rowOff>
              </to>
            </anchor>
          </objectPr>
        </oleObject>
      </mc:Choice>
      <mc:Fallback>
        <oleObject progId="Equation.DSMT4" shapeId="21185" r:id="rId597"/>
      </mc:Fallback>
    </mc:AlternateContent>
    <mc:AlternateContent xmlns:mc="http://schemas.openxmlformats.org/markup-compatibility/2006">
      <mc:Choice Requires="x14">
        <oleObject progId="Equation.DSMT4" shapeId="21187" r:id="rId599">
          <objectPr defaultSize="0" autoPict="0" r:id="rId600">
            <anchor moveWithCells="1">
              <from>
                <xdr:col>448</xdr:col>
                <xdr:colOff>257175</xdr:colOff>
                <xdr:row>98</xdr:row>
                <xdr:rowOff>285750</xdr:rowOff>
              </from>
              <to>
                <xdr:col>459</xdr:col>
                <xdr:colOff>438150</xdr:colOff>
                <xdr:row>100</xdr:row>
                <xdr:rowOff>342900</xdr:rowOff>
              </to>
            </anchor>
          </objectPr>
        </oleObject>
      </mc:Choice>
      <mc:Fallback>
        <oleObject progId="Equation.DSMT4" shapeId="21187" r:id="rId599"/>
      </mc:Fallback>
    </mc:AlternateContent>
    <mc:AlternateContent xmlns:mc="http://schemas.openxmlformats.org/markup-compatibility/2006">
      <mc:Choice Requires="x14">
        <oleObject progId="Equation.DSMT4" shapeId="21188" r:id="rId601">
          <objectPr defaultSize="0" autoPict="0" r:id="rId602">
            <anchor moveWithCells="1">
              <from>
                <xdr:col>623</xdr:col>
                <xdr:colOff>371475</xdr:colOff>
                <xdr:row>79</xdr:row>
                <xdr:rowOff>295275</xdr:rowOff>
              </from>
              <to>
                <xdr:col>626</xdr:col>
                <xdr:colOff>85725</xdr:colOff>
                <xdr:row>80</xdr:row>
                <xdr:rowOff>342900</xdr:rowOff>
              </to>
            </anchor>
          </objectPr>
        </oleObject>
      </mc:Choice>
      <mc:Fallback>
        <oleObject progId="Equation.DSMT4" shapeId="21188" r:id="rId601"/>
      </mc:Fallback>
    </mc:AlternateContent>
    <mc:AlternateContent xmlns:mc="http://schemas.openxmlformats.org/markup-compatibility/2006">
      <mc:Choice Requires="x14">
        <oleObject progId="Equation.DSMT4" shapeId="21189" r:id="rId603">
          <objectPr defaultSize="0" autoPict="0" r:id="rId604">
            <anchor moveWithCells="1">
              <from>
                <xdr:col>623</xdr:col>
                <xdr:colOff>190500</xdr:colOff>
                <xdr:row>83</xdr:row>
                <xdr:rowOff>304800</xdr:rowOff>
              </from>
              <to>
                <xdr:col>625</xdr:col>
                <xdr:colOff>409575</xdr:colOff>
                <xdr:row>84</xdr:row>
                <xdr:rowOff>238125</xdr:rowOff>
              </to>
            </anchor>
          </objectPr>
        </oleObject>
      </mc:Choice>
      <mc:Fallback>
        <oleObject progId="Equation.DSMT4" shapeId="21189" r:id="rId603"/>
      </mc:Fallback>
    </mc:AlternateContent>
    <mc:AlternateContent xmlns:mc="http://schemas.openxmlformats.org/markup-compatibility/2006">
      <mc:Choice Requires="x14">
        <oleObject progId="Equation.DSMT4" shapeId="21190" r:id="rId605">
          <objectPr defaultSize="0" autoPict="0" r:id="rId606">
            <anchor moveWithCells="1">
              <from>
                <xdr:col>480</xdr:col>
                <xdr:colOff>190500</xdr:colOff>
                <xdr:row>16</xdr:row>
                <xdr:rowOff>352425</xdr:rowOff>
              </from>
              <to>
                <xdr:col>485</xdr:col>
                <xdr:colOff>257175</xdr:colOff>
                <xdr:row>17</xdr:row>
                <xdr:rowOff>276225</xdr:rowOff>
              </to>
            </anchor>
          </objectPr>
        </oleObject>
      </mc:Choice>
      <mc:Fallback>
        <oleObject progId="Equation.DSMT4" shapeId="21190" r:id="rId605"/>
      </mc:Fallback>
    </mc:AlternateContent>
    <mc:AlternateContent xmlns:mc="http://schemas.openxmlformats.org/markup-compatibility/2006">
      <mc:Choice Requires="x14">
        <oleObject progId="Equation.DSMT4" shapeId="21191" r:id="rId607">
          <objectPr defaultSize="0" autoPict="0" r:id="rId608">
            <anchor moveWithCells="1">
              <from>
                <xdr:col>623</xdr:col>
                <xdr:colOff>171450</xdr:colOff>
                <xdr:row>75</xdr:row>
                <xdr:rowOff>228600</xdr:rowOff>
              </from>
              <to>
                <xdr:col>628</xdr:col>
                <xdr:colOff>114300</xdr:colOff>
                <xdr:row>77</xdr:row>
                <xdr:rowOff>57150</xdr:rowOff>
              </to>
            </anchor>
          </objectPr>
        </oleObject>
      </mc:Choice>
      <mc:Fallback>
        <oleObject progId="Equation.DSMT4" shapeId="21191" r:id="rId607"/>
      </mc:Fallback>
    </mc:AlternateContent>
    <mc:AlternateContent xmlns:mc="http://schemas.openxmlformats.org/markup-compatibility/2006">
      <mc:Choice Requires="x14">
        <oleObject progId="Equation.DSMT4" shapeId="21198" r:id="rId609">
          <objectPr defaultSize="0" autoPict="0" r:id="rId610">
            <anchor moveWithCells="1">
              <from>
                <xdr:col>447</xdr:col>
                <xdr:colOff>228600</xdr:colOff>
                <xdr:row>199</xdr:row>
                <xdr:rowOff>295275</xdr:rowOff>
              </from>
              <to>
                <xdr:col>452</xdr:col>
                <xdr:colOff>438150</xdr:colOff>
                <xdr:row>200</xdr:row>
                <xdr:rowOff>304800</xdr:rowOff>
              </to>
            </anchor>
          </objectPr>
        </oleObject>
      </mc:Choice>
      <mc:Fallback>
        <oleObject progId="Equation.DSMT4" shapeId="21198" r:id="rId609"/>
      </mc:Fallback>
    </mc:AlternateContent>
    <mc:AlternateContent xmlns:mc="http://schemas.openxmlformats.org/markup-compatibility/2006">
      <mc:Choice Requires="x14">
        <oleObject progId="Equation.DSMT4" shapeId="21199" r:id="rId611">
          <objectPr defaultSize="0" autoPict="0" r:id="rId612">
            <anchor moveWithCells="1">
              <from>
                <xdr:col>623</xdr:col>
                <xdr:colOff>276225</xdr:colOff>
                <xdr:row>87</xdr:row>
                <xdr:rowOff>361950</xdr:rowOff>
              </from>
              <to>
                <xdr:col>624</xdr:col>
                <xdr:colOff>352425</xdr:colOff>
                <xdr:row>88</xdr:row>
                <xdr:rowOff>295275</xdr:rowOff>
              </to>
            </anchor>
          </objectPr>
        </oleObject>
      </mc:Choice>
      <mc:Fallback>
        <oleObject progId="Equation.DSMT4" shapeId="21199" r:id="rId611"/>
      </mc:Fallback>
    </mc:AlternateContent>
    <mc:AlternateContent xmlns:mc="http://schemas.openxmlformats.org/markup-compatibility/2006">
      <mc:Choice Requires="x14">
        <oleObject progId="Equation.DSMT4" shapeId="21200" r:id="rId613">
          <objectPr defaultSize="0" autoPict="0" r:id="rId614">
            <anchor moveWithCells="1">
              <from>
                <xdr:col>504</xdr:col>
                <xdr:colOff>238125</xdr:colOff>
                <xdr:row>16</xdr:row>
                <xdr:rowOff>400050</xdr:rowOff>
              </from>
              <to>
                <xdr:col>507</xdr:col>
                <xdr:colOff>361950</xdr:colOff>
                <xdr:row>17</xdr:row>
                <xdr:rowOff>257175</xdr:rowOff>
              </to>
            </anchor>
          </objectPr>
        </oleObject>
      </mc:Choice>
      <mc:Fallback>
        <oleObject progId="Equation.DSMT4" shapeId="21200" r:id="rId613"/>
      </mc:Fallback>
    </mc:AlternateContent>
    <mc:AlternateContent xmlns:mc="http://schemas.openxmlformats.org/markup-compatibility/2006">
      <mc:Choice Requires="x14">
        <oleObject progId="Equation.DSMT4" shapeId="21201" r:id="rId615">
          <objectPr defaultSize="0" autoPict="0" r:id="rId616">
            <anchor moveWithCells="1">
              <from>
                <xdr:col>486</xdr:col>
                <xdr:colOff>190500</xdr:colOff>
                <xdr:row>16</xdr:row>
                <xdr:rowOff>381000</xdr:rowOff>
              </from>
              <to>
                <xdr:col>491</xdr:col>
                <xdr:colOff>285750</xdr:colOff>
                <xdr:row>17</xdr:row>
                <xdr:rowOff>314325</xdr:rowOff>
              </to>
            </anchor>
          </objectPr>
        </oleObject>
      </mc:Choice>
      <mc:Fallback>
        <oleObject progId="Equation.DSMT4" shapeId="21201" r:id="rId615"/>
      </mc:Fallback>
    </mc:AlternateContent>
    <mc:AlternateContent xmlns:mc="http://schemas.openxmlformats.org/markup-compatibility/2006">
      <mc:Choice Requires="x14">
        <oleObject progId="Equation.DSMT4" shapeId="21202" r:id="rId617">
          <objectPr defaultSize="0" autoPict="0" r:id="rId618">
            <anchor moveWithCells="1">
              <from>
                <xdr:col>500</xdr:col>
                <xdr:colOff>190500</xdr:colOff>
                <xdr:row>16</xdr:row>
                <xdr:rowOff>381000</xdr:rowOff>
              </from>
              <to>
                <xdr:col>503</xdr:col>
                <xdr:colOff>304800</xdr:colOff>
                <xdr:row>17</xdr:row>
                <xdr:rowOff>228600</xdr:rowOff>
              </to>
            </anchor>
          </objectPr>
        </oleObject>
      </mc:Choice>
      <mc:Fallback>
        <oleObject progId="Equation.DSMT4" shapeId="21202" r:id="rId617"/>
      </mc:Fallback>
    </mc:AlternateContent>
    <mc:AlternateContent xmlns:mc="http://schemas.openxmlformats.org/markup-compatibility/2006">
      <mc:Choice Requires="x14">
        <oleObject progId="Equation.DSMT4" shapeId="21203" r:id="rId619">
          <objectPr defaultSize="0" autoPict="0" r:id="rId620">
            <anchor moveWithCells="1">
              <from>
                <xdr:col>448</xdr:col>
                <xdr:colOff>304800</xdr:colOff>
                <xdr:row>172</xdr:row>
                <xdr:rowOff>219075</xdr:rowOff>
              </from>
              <to>
                <xdr:col>454</xdr:col>
                <xdr:colOff>333375</xdr:colOff>
                <xdr:row>174</xdr:row>
                <xdr:rowOff>276225</xdr:rowOff>
              </to>
            </anchor>
          </objectPr>
        </oleObject>
      </mc:Choice>
      <mc:Fallback>
        <oleObject progId="Equation.DSMT4" shapeId="21203" r:id="rId619"/>
      </mc:Fallback>
    </mc:AlternateContent>
    <mc:AlternateContent xmlns:mc="http://schemas.openxmlformats.org/markup-compatibility/2006">
      <mc:Choice Requires="x14">
        <oleObject progId="Equation.DSMT4" shapeId="21207" r:id="rId621">
          <objectPr defaultSize="0" autoPict="0" r:id="rId622">
            <anchor moveWithCells="1">
              <from>
                <xdr:col>513</xdr:col>
                <xdr:colOff>142875</xdr:colOff>
                <xdr:row>16</xdr:row>
                <xdr:rowOff>428625</xdr:rowOff>
              </from>
              <to>
                <xdr:col>518</xdr:col>
                <xdr:colOff>428625</xdr:colOff>
                <xdr:row>17</xdr:row>
                <xdr:rowOff>352425</xdr:rowOff>
              </to>
            </anchor>
          </objectPr>
        </oleObject>
      </mc:Choice>
      <mc:Fallback>
        <oleObject progId="Equation.DSMT4" shapeId="21207" r:id="rId621"/>
      </mc:Fallback>
    </mc:AlternateContent>
    <mc:AlternateContent xmlns:mc="http://schemas.openxmlformats.org/markup-compatibility/2006">
      <mc:Choice Requires="x14">
        <oleObject progId="Equation.DSMT4" shapeId="21221" r:id="rId623">
          <objectPr defaultSize="0" autoPict="0" r:id="rId624">
            <anchor moveWithCells="1">
              <from>
                <xdr:col>550</xdr:col>
                <xdr:colOff>0</xdr:colOff>
                <xdr:row>16</xdr:row>
                <xdr:rowOff>209550</xdr:rowOff>
              </from>
              <to>
                <xdr:col>554</xdr:col>
                <xdr:colOff>180975</xdr:colOff>
                <xdr:row>17</xdr:row>
                <xdr:rowOff>495300</xdr:rowOff>
              </to>
            </anchor>
          </objectPr>
        </oleObject>
      </mc:Choice>
      <mc:Fallback>
        <oleObject progId="Equation.DSMT4" shapeId="21221" r:id="rId623"/>
      </mc:Fallback>
    </mc:AlternateContent>
    <mc:AlternateContent xmlns:mc="http://schemas.openxmlformats.org/markup-compatibility/2006">
      <mc:Choice Requires="x14">
        <oleObject progId="Equation.DSMT4" shapeId="21222" r:id="rId625">
          <objectPr defaultSize="0" autoPict="0" r:id="rId626">
            <anchor moveWithCells="1">
              <from>
                <xdr:col>508</xdr:col>
                <xdr:colOff>114300</xdr:colOff>
                <xdr:row>16</xdr:row>
                <xdr:rowOff>476250</xdr:rowOff>
              </from>
              <to>
                <xdr:col>513</xdr:col>
                <xdr:colOff>504825</xdr:colOff>
                <xdr:row>17</xdr:row>
                <xdr:rowOff>400050</xdr:rowOff>
              </to>
            </anchor>
          </objectPr>
        </oleObject>
      </mc:Choice>
      <mc:Fallback>
        <oleObject progId="Equation.DSMT4" shapeId="21222" r:id="rId625"/>
      </mc:Fallback>
    </mc:AlternateContent>
    <mc:AlternateContent xmlns:mc="http://schemas.openxmlformats.org/markup-compatibility/2006">
      <mc:Choice Requires="x14">
        <oleObject progId="Equation.DSMT4" shapeId="21223" r:id="rId627">
          <objectPr defaultSize="0" autoPict="0" r:id="rId628">
            <anchor moveWithCells="1">
              <from>
                <xdr:col>519</xdr:col>
                <xdr:colOff>428625</xdr:colOff>
                <xdr:row>16</xdr:row>
                <xdr:rowOff>381000</xdr:rowOff>
              </from>
              <to>
                <xdr:col>524</xdr:col>
                <xdr:colOff>209550</xdr:colOff>
                <xdr:row>17</xdr:row>
                <xdr:rowOff>304800</xdr:rowOff>
              </to>
            </anchor>
          </objectPr>
        </oleObject>
      </mc:Choice>
      <mc:Fallback>
        <oleObject progId="Equation.DSMT4" shapeId="21223" r:id="rId627"/>
      </mc:Fallback>
    </mc:AlternateContent>
    <mc:AlternateContent xmlns:mc="http://schemas.openxmlformats.org/markup-compatibility/2006">
      <mc:Choice Requires="x14">
        <oleObject progId="Equation.DSMT4" shapeId="21224" r:id="rId629">
          <objectPr defaultSize="0" autoPict="0" r:id="rId630">
            <anchor moveWithCells="1">
              <from>
                <xdr:col>540</xdr:col>
                <xdr:colOff>190500</xdr:colOff>
                <xdr:row>16</xdr:row>
                <xdr:rowOff>95250</xdr:rowOff>
              </from>
              <to>
                <xdr:col>547</xdr:col>
                <xdr:colOff>457200</xdr:colOff>
                <xdr:row>17</xdr:row>
                <xdr:rowOff>552450</xdr:rowOff>
              </to>
            </anchor>
          </objectPr>
        </oleObject>
      </mc:Choice>
      <mc:Fallback>
        <oleObject progId="Equation.DSMT4" shapeId="21224" r:id="rId629"/>
      </mc:Fallback>
    </mc:AlternateContent>
    <mc:AlternateContent xmlns:mc="http://schemas.openxmlformats.org/markup-compatibility/2006">
      <mc:Choice Requires="x14">
        <oleObject progId="Equation.DSMT4" shapeId="21225" r:id="rId631">
          <objectPr defaultSize="0" autoPict="0" r:id="rId632">
            <anchor moveWithCells="1">
              <from>
                <xdr:col>154</xdr:col>
                <xdr:colOff>400050</xdr:colOff>
                <xdr:row>126</xdr:row>
                <xdr:rowOff>257175</xdr:rowOff>
              </from>
              <to>
                <xdr:col>159</xdr:col>
                <xdr:colOff>123825</xdr:colOff>
                <xdr:row>128</xdr:row>
                <xdr:rowOff>247650</xdr:rowOff>
              </to>
            </anchor>
          </objectPr>
        </oleObject>
      </mc:Choice>
      <mc:Fallback>
        <oleObject progId="Equation.DSMT4" shapeId="21225" r:id="rId631"/>
      </mc:Fallback>
    </mc:AlternateContent>
    <mc:AlternateContent xmlns:mc="http://schemas.openxmlformats.org/markup-compatibility/2006">
      <mc:Choice Requires="x14">
        <oleObject progId="Equation.DSMT4" shapeId="21226" r:id="rId633">
          <objectPr defaultSize="0" autoPict="0" r:id="rId634">
            <anchor moveWithCells="1">
              <from>
                <xdr:col>359</xdr:col>
                <xdr:colOff>171450</xdr:colOff>
                <xdr:row>193</xdr:row>
                <xdr:rowOff>285750</xdr:rowOff>
              </from>
              <to>
                <xdr:col>368</xdr:col>
                <xdr:colOff>409575</xdr:colOff>
                <xdr:row>194</xdr:row>
                <xdr:rowOff>314325</xdr:rowOff>
              </to>
            </anchor>
          </objectPr>
        </oleObject>
      </mc:Choice>
      <mc:Fallback>
        <oleObject progId="Equation.DSMT4" shapeId="21226" r:id="rId633"/>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AV60" zoomScale="70" zoomScaleNormal="70" workbookViewId="0">
      <selection activeCell="BG60" sqref="BG60"/>
    </sheetView>
  </sheetViews>
  <sheetFormatPr defaultColWidth="18.28515625" defaultRowHeight="48.75" customHeight="1"/>
  <cols>
    <col min="1" max="60" width="18.28515625" style="11"/>
    <col min="61" max="61" width="18.28515625" style="299"/>
    <col min="62" max="16384" width="18.28515625" style="11"/>
  </cols>
  <sheetData>
    <row r="2" spans="2:115" ht="48.75" customHeight="1">
      <c r="B2" s="1728" t="s">
        <v>532</v>
      </c>
      <c r="C2" s="1724"/>
      <c r="D2" s="1724"/>
      <c r="E2" s="1724"/>
      <c r="F2" s="1724"/>
      <c r="G2" s="1724"/>
      <c r="H2" s="1724"/>
      <c r="I2" s="1724"/>
      <c r="J2" s="1724"/>
      <c r="K2" s="1724"/>
      <c r="L2" s="1724"/>
      <c r="M2" s="1724"/>
      <c r="N2" s="352" t="s">
        <v>465</v>
      </c>
      <c r="O2" s="1738" t="s">
        <v>1319</v>
      </c>
      <c r="P2" s="1738"/>
      <c r="Q2" s="1738"/>
      <c r="R2" s="1073"/>
      <c r="Z2" s="298" t="s">
        <v>465</v>
      </c>
      <c r="AA2" s="816" t="s">
        <v>874</v>
      </c>
      <c r="AB2" s="816"/>
      <c r="AC2" s="816"/>
    </row>
    <row r="3" spans="2:115" ht="48.75" customHeight="1">
      <c r="B3" s="1729"/>
      <c r="C3" s="1726"/>
      <c r="D3" s="1726"/>
      <c r="E3" s="1726"/>
      <c r="F3" s="1726"/>
      <c r="G3" s="1726"/>
      <c r="H3" s="1726"/>
      <c r="I3" s="1726"/>
      <c r="J3" s="1726"/>
      <c r="K3" s="1726"/>
      <c r="L3" s="1726"/>
      <c r="M3" s="1726"/>
      <c r="N3" s="353" t="s">
        <v>466</v>
      </c>
      <c r="O3" s="1738" t="s">
        <v>1317</v>
      </c>
      <c r="P3" s="1738"/>
      <c r="Q3" s="1738"/>
      <c r="R3" s="1072"/>
      <c r="AL3" s="1738" t="s">
        <v>1318</v>
      </c>
      <c r="AM3" s="1738"/>
    </row>
    <row r="4" spans="2:115" ht="48.75" customHeight="1">
      <c r="B4" s="275" t="s">
        <v>539</v>
      </c>
      <c r="C4" s="279">
        <v>56</v>
      </c>
      <c r="D4" s="279">
        <v>63</v>
      </c>
      <c r="E4" s="279">
        <v>71</v>
      </c>
      <c r="F4" s="279">
        <v>80</v>
      </c>
      <c r="G4" s="279">
        <v>90</v>
      </c>
      <c r="H4" s="279">
        <v>100</v>
      </c>
      <c r="I4" s="279">
        <v>112</v>
      </c>
      <c r="J4" s="279">
        <v>132</v>
      </c>
      <c r="K4" s="279">
        <v>160</v>
      </c>
      <c r="L4" s="279">
        <v>180</v>
      </c>
      <c r="M4" s="279">
        <v>200</v>
      </c>
      <c r="N4" s="279">
        <v>225</v>
      </c>
      <c r="O4" s="279">
        <v>250</v>
      </c>
      <c r="P4" s="279">
        <v>280</v>
      </c>
      <c r="Q4" s="279">
        <v>315</v>
      </c>
      <c r="R4" s="279">
        <v>355</v>
      </c>
      <c r="AL4" s="1738" t="s">
        <v>1317</v>
      </c>
      <c r="AM4" s="1738"/>
    </row>
    <row r="5" spans="2:115" ht="48.75" customHeight="1">
      <c r="B5" s="275" t="s">
        <v>749</v>
      </c>
      <c r="C5" s="279">
        <v>8.8999999999999996E-2</v>
      </c>
      <c r="D5" s="279">
        <v>0.1</v>
      </c>
      <c r="E5" s="279">
        <v>0.11600000000000001</v>
      </c>
      <c r="F5" s="279">
        <v>0.13100000000000001</v>
      </c>
      <c r="G5" s="279">
        <v>0.14899999999999999</v>
      </c>
      <c r="H5" s="279">
        <v>0.16800000000000001</v>
      </c>
      <c r="I5" s="279">
        <v>0.191</v>
      </c>
      <c r="J5" s="279">
        <v>0.22500000000000001</v>
      </c>
      <c r="K5" s="279">
        <v>0.27200000000000002</v>
      </c>
      <c r="L5" s="279">
        <v>0.313</v>
      </c>
      <c r="M5" s="279">
        <v>0.34899999999999998</v>
      </c>
      <c r="N5" s="279">
        <v>0.39200000000000002</v>
      </c>
      <c r="O5" s="279">
        <v>0.437</v>
      </c>
      <c r="P5" s="279">
        <v>0.53</v>
      </c>
      <c r="Q5" s="279">
        <v>0.59</v>
      </c>
      <c r="R5" s="279">
        <v>0.66</v>
      </c>
      <c r="AL5" s="345" t="s">
        <v>539</v>
      </c>
      <c r="AM5" s="345" t="s">
        <v>749</v>
      </c>
    </row>
    <row r="6" spans="2:115" ht="48.75" customHeight="1">
      <c r="I6" s="1033" t="s">
        <v>1820</v>
      </c>
      <c r="J6" s="1033"/>
      <c r="K6" s="1033"/>
      <c r="L6" s="1033"/>
      <c r="M6" s="1033"/>
      <c r="N6" s="1033"/>
      <c r="O6" s="1033"/>
      <c r="P6" s="1033"/>
      <c r="Q6" s="275">
        <f xml:space="preserve">
IF('Программные таблицы'!V10='Программные таблицы'!C4,'Программные таблицы'!C5,
IF('Программные таблицы'!V10='Программные таблицы'!D4,'Программные таблицы'!D5,
IF('Программные таблицы'!V10='Программные таблицы'!E4,'Программные таблицы'!E5,
IF('Программные таблицы'!V10='Программные таблицы'!F4,'Программные таблицы'!F5,
IF('Программные таблицы'!V10='Программные таблицы'!G4,'Программные таблицы'!G5,
IF('Программные таблицы'!V10='Программные таблицы'!H4,'Программные таблицы'!H5,
IF('Программные таблицы'!V10='Программные таблицы'!I4,'Программные таблицы'!I5,
IF('Программные таблицы'!V10='Программные таблицы'!J4,'Программные таблицы'!J5,
IF('Программные таблицы'!V10='Программные таблицы'!K4,'Программные таблицы'!K5,
IF('Программные таблицы'!V10='Программные таблицы'!L4,'Программные таблицы'!L5,
IF('Программные таблицы'!V10='Программные таблицы'!M4,'Программные таблицы'!M5,
IF('Программные таблицы'!V10='Программные таблицы'!N4,'Программные таблицы'!N5,
IF('Программные таблицы'!V10='Программные таблицы'!O4,'Программные таблицы'!O5,
IF('Программные таблицы'!V10='Программные таблицы'!P4,'Программные таблицы'!P5,
IF('Программные таблицы'!V10='Программные таблицы'!Q4,'Программные таблицы'!Q5,
IF('Программные таблицы'!V10='Программные таблицы'!R4,'Программные таблицы'!R5,0
))))))))))))))))</f>
        <v>0.313</v>
      </c>
      <c r="R6" s="196"/>
      <c r="AL6" s="347">
        <v>56</v>
      </c>
      <c r="AM6" s="347">
        <v>8.8999999999999996E-2</v>
      </c>
    </row>
    <row r="7" spans="2:115" ht="48.75" customHeight="1">
      <c r="AL7" s="347">
        <v>63</v>
      </c>
      <c r="AM7" s="347">
        <v>0.1</v>
      </c>
    </row>
    <row r="8" spans="2:115" ht="48.75" customHeight="1">
      <c r="Q8" s="98"/>
      <c r="AL8" s="347">
        <v>71</v>
      </c>
      <c r="AM8" s="347">
        <v>0.11600000000000001</v>
      </c>
    </row>
    <row r="9" spans="2:115" ht="48.75" customHeight="1">
      <c r="B9" s="279" t="s">
        <v>437</v>
      </c>
      <c r="C9" s="275" t="s">
        <v>427</v>
      </c>
      <c r="D9" s="1033" t="s">
        <v>421</v>
      </c>
      <c r="E9" s="1033"/>
      <c r="F9" s="1033" t="s">
        <v>422</v>
      </c>
      <c r="G9" s="1033"/>
      <c r="H9" s="1033" t="s">
        <v>423</v>
      </c>
      <c r="I9" s="1033"/>
      <c r="J9" s="1033" t="s">
        <v>424</v>
      </c>
      <c r="K9" s="1033"/>
      <c r="L9" s="1033" t="s">
        <v>426</v>
      </c>
      <c r="M9" s="1033"/>
      <c r="N9" s="1033" t="s">
        <v>425</v>
      </c>
      <c r="O9" s="1033"/>
      <c r="P9" s="1033" t="s">
        <v>714</v>
      </c>
      <c r="Q9" s="1033"/>
      <c r="R9" s="1033"/>
      <c r="S9" s="1033"/>
      <c r="T9" s="1033"/>
      <c r="U9" s="658">
        <v>6</v>
      </c>
      <c r="V9" s="196"/>
      <c r="X9" s="653" t="s">
        <v>1819</v>
      </c>
      <c r="Y9" s="653" t="s">
        <v>428</v>
      </c>
      <c r="AL9" s="347">
        <v>80</v>
      </c>
      <c r="AM9" s="347">
        <v>0.13100000000000001</v>
      </c>
    </row>
    <row r="10" spans="2:115" ht="48.75" customHeight="1">
      <c r="B10" s="275" t="s">
        <v>436</v>
      </c>
      <c r="C10" s="275" t="s">
        <v>416</v>
      </c>
      <c r="D10" s="1033">
        <v>2</v>
      </c>
      <c r="E10" s="1033"/>
      <c r="F10" s="1033">
        <v>4</v>
      </c>
      <c r="G10" s="1033"/>
      <c r="H10" s="1033">
        <v>6</v>
      </c>
      <c r="I10" s="1033"/>
      <c r="J10" s="1033">
        <v>8</v>
      </c>
      <c r="K10" s="1033"/>
      <c r="L10" s="1033">
        <v>10</v>
      </c>
      <c r="M10" s="1033"/>
      <c r="N10" s="1033">
        <v>12</v>
      </c>
      <c r="O10" s="1033"/>
      <c r="P10" s="275" t="s">
        <v>421</v>
      </c>
      <c r="Q10" s="275" t="s">
        <v>422</v>
      </c>
      <c r="R10" s="275" t="s">
        <v>423</v>
      </c>
      <c r="S10" s="275" t="s">
        <v>424</v>
      </c>
      <c r="T10" s="275" t="s">
        <v>426</v>
      </c>
      <c r="U10" s="275" t="s">
        <v>425</v>
      </c>
      <c r="V10" s="275">
        <f xml:space="preserve">
IF(P11=Y10,P12,
IF(Q11=Y10,Q12,
IF(R11=Y10,R12,
IF(S11=Y10,S12,
IF(T11=Y10,T12,
IF(U11=Y10,U12,
))))))</f>
        <v>180</v>
      </c>
      <c r="X10" s="651">
        <f>'Вывод расчетов'!$AQ$4/1000</f>
        <v>30</v>
      </c>
      <c r="Y10" s="652">
        <f>'Вывод расчетов'!$AW$16</f>
        <v>2</v>
      </c>
      <c r="AL10" s="347">
        <v>90</v>
      </c>
      <c r="AM10" s="347">
        <v>0.14899999999999999</v>
      </c>
      <c r="BG10" s="1405" t="s">
        <v>1274</v>
      </c>
      <c r="BH10" s="1407"/>
      <c r="BI10" s="11"/>
      <c r="BJ10" s="1405" t="s">
        <v>1275</v>
      </c>
      <c r="BK10" s="1407"/>
      <c r="BM10" s="1405" t="s">
        <v>1276</v>
      </c>
      <c r="BN10" s="1407"/>
      <c r="BP10" s="1405" t="s">
        <v>1277</v>
      </c>
      <c r="BQ10" s="1407"/>
      <c r="BR10" s="300"/>
      <c r="BS10" s="1405" t="s">
        <v>1278</v>
      </c>
      <c r="BT10" s="1407"/>
      <c r="BV10" s="1405" t="s">
        <v>1279</v>
      </c>
      <c r="BW10" s="1407"/>
    </row>
    <row r="11" spans="2:115" ht="48.75" customHeight="1">
      <c r="B11" s="275">
        <v>1</v>
      </c>
      <c r="C11" s="275">
        <v>1.1000000000000001</v>
      </c>
      <c r="D11" s="1033">
        <f t="shared" ref="D11:D34" si="0"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1033"/>
      <c r="F11" s="1033">
        <f t="shared" ref="F11:F34" si="1"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1033"/>
      <c r="H11" s="1033">
        <f t="shared" ref="H11:H34" si="2"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1033"/>
      <c r="J11" s="1033">
        <f t="shared" ref="J11:J34" si="3"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1033"/>
      <c r="L11" s="1385" t="str">
        <f t="shared" ref="L11:L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385"/>
      <c r="N11" s="1385" t="str">
        <f t="shared" ref="N11:N34" si="5"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385"/>
      <c r="P11" s="275">
        <v>2</v>
      </c>
      <c r="Q11" s="275">
        <v>4</v>
      </c>
      <c r="R11" s="275">
        <v>6</v>
      </c>
      <c r="S11" s="275">
        <v>8</v>
      </c>
      <c r="T11" s="275">
        <v>10</v>
      </c>
      <c r="U11" s="275">
        <v>12</v>
      </c>
      <c r="V11" s="93"/>
      <c r="AL11" s="347">
        <v>100</v>
      </c>
      <c r="AM11" s="347">
        <v>0.16800000000000001</v>
      </c>
      <c r="BG11" s="345" t="s">
        <v>749</v>
      </c>
      <c r="BH11" s="354" t="s">
        <v>790</v>
      </c>
      <c r="BI11" s="11"/>
      <c r="BJ11" s="345" t="s">
        <v>749</v>
      </c>
      <c r="BK11" s="354" t="s">
        <v>790</v>
      </c>
      <c r="BM11" s="345" t="s">
        <v>749</v>
      </c>
      <c r="BN11" s="354" t="s">
        <v>790</v>
      </c>
      <c r="BP11" s="345" t="s">
        <v>749</v>
      </c>
      <c r="BQ11" s="354" t="s">
        <v>790</v>
      </c>
      <c r="BR11" s="300"/>
      <c r="BS11" s="345" t="s">
        <v>749</v>
      </c>
      <c r="BT11" s="354" t="s">
        <v>790</v>
      </c>
      <c r="BV11" s="345" t="s">
        <v>749</v>
      </c>
      <c r="BW11" s="354" t="s">
        <v>790</v>
      </c>
    </row>
    <row r="12" spans="2:115" ht="48.75" customHeight="1">
      <c r="B12" s="275">
        <v>2</v>
      </c>
      <c r="C12" s="275">
        <v>1.5</v>
      </c>
      <c r="D12" s="1033">
        <f t="shared" si="0"/>
        <v>80</v>
      </c>
      <c r="E12" s="1033"/>
      <c r="F12" s="1033">
        <f t="shared" si="1"/>
        <v>80</v>
      </c>
      <c r="G12" s="1033"/>
      <c r="H12" s="1033">
        <f t="shared" si="2"/>
        <v>90</v>
      </c>
      <c r="I12" s="1033"/>
      <c r="J12" s="1033">
        <f t="shared" si="3"/>
        <v>100</v>
      </c>
      <c r="K12" s="1033"/>
      <c r="L12" s="1385" t="str">
        <f t="shared" si="4"/>
        <v>нет значений данной функции</v>
      </c>
      <c r="M12" s="1385"/>
      <c r="N12" s="1385" t="str">
        <f t="shared" si="5"/>
        <v>нет значений данной функции</v>
      </c>
      <c r="O12" s="1385"/>
      <c r="P12" s="655">
        <f xml:space="preserve">
IF(OR(AND(X10 &gt; 0,X10&lt;C11),X10 = C11),D11,
IF(OR(AND(X10&gt;C11,X10&lt;C12),X10 = C12),D12,
IF(OR(AND(X10&gt;C12,X10&lt;C13),X10 = C13),D13,
IF(OR(AND(X10&gt;C13,X10&lt;C14),X10 = C14),D14,
IF(OR(AND(X10&gt;C14,X10&lt;C15),X10 = C15),D15,
IF(OR(AND(X10&gt;C15,X10&lt;C16),X10 = C16),D16,
IF(OR(AND(X10&gt;C16,X10&lt;C17),X10 = C17),D17,
IF(OR(AND(X10&gt;C17,X10&lt;C18),X10 = C18),D18,
IF(OR(AND(X10&gt;C18,X10&lt;C19),X10 = C19),D19,
IF(OR(AND(X10&gt;C19,X10&lt;C20),X10 = C20),D20,
IF(OR(AND(X10&gt;C20,X10&lt;C21),X10 = C21),D21,
IF(OR(AND(X10&gt;C21,X10&lt;C22),X10 = C22),D22,
IF(OR(AND(X10&gt;C22,X10&lt;C23),X10 = C23),D23,
IF(OR(AND(X10&gt;C23,X10&lt;C24),X10 = C24),D24,
IF(OR(AND(X10&gt;C24,X10&lt;C25),X10 = C25),D25,
IF(OR(AND(X10&gt;C25,X10&lt;C26),X10 = C26),D26,
IF(OR(AND(X10&gt;C26,X10&lt;C27),X10 = C27),D27,
IF(OR(AND(X10&gt;C27,X10&lt;C28),X10 = C28),D28,
IF(OR(AND(X10&gt;C28,X10&lt;C29),X10 = C29),D29,
IF(OR(AND(X10&gt;C29,X10&lt;C30),X10 = C30),D30,
IF(OR(AND(X10&gt;C30,X10&lt;C31),X10 = C31),D31,
IF(OR(AND(X10&gt;C31,X10&lt;C32),X10 = C32),D32,
IF(OR(AND(X10&gt;C32,X10&lt;C33),X10 = C33),D33,
"Недостаточно памяти"
)))))))))))))))))))))))</f>
        <v>180</v>
      </c>
      <c r="Q12" s="275">
        <f xml:space="preserve">
IF(OR(AND(X10 &gt; 0,X10&lt;C11),X10 = C11),F11,
IF(OR(AND(X10&gt;C11,X10&lt;C12),X10 = C12),F12,
IF(OR(AND(X10&gt;C12,X10&lt;C13),X10 = C13),F13,
IF(OR(AND(X10&gt;C13,X10&lt;C14),X10 = C14),F14,
IF(OR(AND(X10&gt;C14,X10&lt;C15),X10 = C15),F15,
IF(OR(AND(X10&gt;C15,X10&lt;C16),X10 = C16),F16,
IF(OR(AND(X10&gt;C16,X10&lt;C17),X10 = C17),F17,
IF(OR(AND(X10&gt;C17,X10&lt;C18),X10 = C18),F18,
IF(OR(AND(X10&gt;C18,X10&lt;C19),X10 = C19),F19,
IF(OR(AND(X10&gt;C19,X10&lt;C20),X10 = C20),F20,
IF(OR(AND(X10&gt;C20,X10&lt;C21),X10 = C21),F21,
IF(OR(AND(X10&gt;C21,X10&lt;C22),X10 = C22),F22,
IF(OR(AND(X10&gt;C22,X10&lt;C23),X10 = C23),F23,
IF(OR(AND(X10&gt;C23,X10&lt;C24),X10 = C24),F24,
IF(OR(AND(X10&gt;C24,X10&lt;C25),X10 = C25),F25,
IF(OR(AND(X10&gt;C25,X10&lt;C26),X10 = C26),F26,
IF(OR(AND(X10&gt;C26,X10&lt;C27),X10 = C27),F27,
IF(OR(AND(X10&gt;C27,X10&lt;C28),X10 = C28),F28,
IF(OR(AND(X10&gt;C28,X10&lt;C29),X10 = C29),F29,
IF(OR(AND(X10&gt;C29,X10&lt;C30),X10 = C30),F30,
IF(OR(AND(X10&gt;C30,X10&lt;C31),X10 = C31),F31,
IF(OR(AND(X10&gt;C31,X10&lt;C32),X10 = C32),F32,
IF(OR(AND(X10&gt;C32,X10&lt;C33),X10 = C33),F33,
"Недостаточно памяти"
)))))))))))))))))))))))</f>
        <v>180</v>
      </c>
      <c r="R12" s="275">
        <f xml:space="preserve">
IF(OR(AND(X10 &gt; 0,X10&lt;C11),X10 = C11),H11,
IF(OR(AND(X10&gt;C11,X10&lt;C12),X10 = C12),H12,
IF(OR(AND(X10&gt;C12,X10&lt;C13),X10 = C13),H13,
IF(OR(AND(X10&gt;C13,X10&lt;C14),X10 = C14),H14,
IF(OR(AND(X10&gt;C14,X10&lt;C15),X10 = C15),H15,
IF(OR(AND(X10&gt;C15,X10&lt;C16),X10 = C16),H16,
IF(OR(AND(X10&gt;C16,X10&lt;C17),X10 = C17),H17,
IF(OR(AND(X10&gt;C17,X10&lt;C18),X10 = C18),H18,
IF(OR(AND(X10&gt;C18,X10&lt;C19),X10 = C19),H19,
IF(OR(AND(X10&gt;C19,X10&lt;C20),X10 = C20),H20,
IF(OR(AND(X10&gt;C20,X10&lt;C21),X10 = C21),H21,
IF(OR(AND(X10&gt;C21,X10&lt;C22),X10 = C22),H22,
IF(OR(AND(X10&gt;C22,X10&lt;C23),X10 = C23),H23,
IF(OR(AND(X10&gt;C23,X10&lt;C24),X10 = C24),H24,
IF(OR(AND(X10&gt;C24,X10&lt;C25),X10 = C25),H25,
IF(OR(AND(X10&gt;C25,X10&lt;C26),X10 = C26),H26,
IF(OR(AND(X10&gt;C26,X10&lt;C27),X10 = C27),H27,
IF(OR(AND(X10&gt;C27,X10&lt;C28),X10 = C28),H28,
IF(OR(AND(X10&gt;C28,X10&lt;C29),X10 = C29),H29,
IF(OR(AND(X10&gt;C29,X10&lt;C30),X10 = C30),H30,
IF(OR(AND(X10&gt;C30,X10&lt;C31),X10 = C31),H31,
"Недостаточно памяти"
)))))))))))))))))))))</f>
        <v>200</v>
      </c>
      <c r="S12" s="655">
        <f xml:space="preserve">
IF(OR(AND(X10 &gt; 0,X10&lt;C11),X10 = C11),J11,
IF(OR(AND(X10&gt;C11,X10&lt;C12),X10 = C12),J12,
IF(OR(AND(X10&gt;C12,X10&lt;C13),X10 = C13),J13,
IF(OR(AND(X10&gt;C13,X10&lt;C14),X10 = C14),J14,
IF(OR(AND(X10&gt;C14,X10&lt;C15),X10 = C15),J15,
IF(OR(AND(X10&gt;C15,X10&lt;C16),X10 = C16),J16,
IF(OR(AND(X10&gt;C16,X10&lt;C17),X10 = C17),J17,
IF(OR(AND(X10&gt;C17,X10&lt;C18),X10 = C18),J18,
IF(OR(AND(X10&gt;C18,X10&lt;C19),X10 = C19),J19,
IF(OR(AND(X10&gt;C19,X10&lt;C20),X10 = C20),J20,
IF(OR(AND(X10&gt;C20,X10&lt;C21),X10 = C21),J21,
IF(OR(AND(X10&gt;C21,X10&lt;C22),X10 = C22),J22,
IF(OR(AND(X10&gt;C22,X10&lt;C23),X10 = C23),J23,
IF(OR(AND(X10&gt;C23,X10&lt;C24),X10 = C24),J24,
IF(OR(AND(X10&gt;C24,X10&lt;C25),X10 = C25),J25,
IF(OR(AND(X10&gt;C25,X10&lt;C26),X10 = C26),J26,
IF(OR(AND(X10&gt;C26,X10&lt;C27),X10 = C27),J27,
IF(OR(AND(X10&gt;C27,X10&lt;C28),X10 = C28),J28,
IF(OR(AND(X10&gt;C28,X10&lt;C29),X10 = C29),J29,
IF(OR(AND(X10&gt;C29,X10&lt;C30),X10 = C30),J30,
"Недостаточно памяти"
))))))))))))))))))))</f>
        <v>225</v>
      </c>
      <c r="T12" s="275">
        <f xml:space="preserve">
IF(OR(AND(X10 &gt; 0,X10&lt;C21),X10 = C21),L21,
IF(OR(AND(X10&gt;C21,X10&lt;C22),X10 = C22),L22,
IF(OR(AND(X10&gt;C22,X10&lt;C23),X10 = C23),L23,
IF(OR(AND(X10&gt;C23,X10&lt;C24),X10 = C24),L24,
IF(OR(AND(X10&gt;C24,X10&lt;C25),X10 = C25),L25,
IF(OR(AND(X10&gt;C25,X10&lt;C26),X10 = C26),L26,
IF(OR(AND(X10&gt;C26,X10&lt;C27),X10 = C27),L27,
IF(OR(AND(X10&gt;C27,X10&lt;C28),X10 = C28),L28,
"Недостаточно памяти"
))))))))</f>
        <v>250</v>
      </c>
      <c r="U12" s="275">
        <f xml:space="preserve">
IF(OR(AND(X10 &gt; 0,X10&lt;C24),X10 = C24),N24,
IF(OR(AND(X10&gt;C24,X10&lt;C25),X10 = C25),N25,
IF(OR(AND(X10&gt;C25,X10&lt;C26),X10 = C26),N26,
IF(OR(AND(X10&gt;C26,X10&lt;C27),X10 = C27),N27,
"Недостаточно памяти"
))))</f>
        <v>315</v>
      </c>
      <c r="V12" s="195"/>
      <c r="AL12" s="347">
        <v>112</v>
      </c>
      <c r="AM12" s="347">
        <v>0.191</v>
      </c>
      <c r="BG12" s="347">
        <v>8.8999999999999996E-2</v>
      </c>
      <c r="BH12" s="347"/>
      <c r="BI12" s="11"/>
      <c r="BJ12" s="347">
        <v>8.8999999999999996E-2</v>
      </c>
      <c r="BK12" s="347"/>
      <c r="BM12" s="347">
        <v>8.8999999999999996E-2</v>
      </c>
      <c r="BN12" s="347"/>
      <c r="BP12" s="347">
        <v>8.8999999999999996E-2</v>
      </c>
      <c r="BQ12" s="347"/>
      <c r="BR12" s="300"/>
      <c r="BS12" s="347">
        <v>8.8999999999999996E-2</v>
      </c>
      <c r="BT12" s="347" t="s">
        <v>442</v>
      </c>
      <c r="BV12" s="347">
        <v>8.8999999999999996E-2</v>
      </c>
      <c r="BW12" s="347" t="s">
        <v>442</v>
      </c>
      <c r="DJ12" s="1738" t="s">
        <v>1263</v>
      </c>
      <c r="DK12" s="1738"/>
    </row>
    <row r="13" spans="2:115" ht="48.75" customHeight="1">
      <c r="B13" s="275">
        <v>3</v>
      </c>
      <c r="C13" s="275">
        <v>2.2000000000000002</v>
      </c>
      <c r="D13" s="1033">
        <f t="shared" si="0"/>
        <v>80</v>
      </c>
      <c r="E13" s="1033"/>
      <c r="F13" s="1033">
        <f t="shared" si="1"/>
        <v>90</v>
      </c>
      <c r="G13" s="1033"/>
      <c r="H13" s="1033">
        <f t="shared" si="2"/>
        <v>100</v>
      </c>
      <c r="I13" s="1033"/>
      <c r="J13" s="1033">
        <f t="shared" si="3"/>
        <v>112</v>
      </c>
      <c r="K13" s="1033"/>
      <c r="L13" s="1385" t="str">
        <f t="shared" si="4"/>
        <v>нет значений данной функции</v>
      </c>
      <c r="M13" s="1385"/>
      <c r="N13" s="1385" t="str">
        <f t="shared" si="5"/>
        <v>нет значений данной функции</v>
      </c>
      <c r="O13" s="1385"/>
      <c r="P13" s="193"/>
      <c r="Q13" s="194"/>
      <c r="R13" s="194"/>
      <c r="S13" s="194"/>
      <c r="T13" s="194"/>
      <c r="U13" s="194"/>
      <c r="V13" s="195"/>
      <c r="AL13" s="347">
        <v>132</v>
      </c>
      <c r="AM13" s="347">
        <v>0.22500000000000001</v>
      </c>
      <c r="BG13" s="347">
        <v>0.1</v>
      </c>
      <c r="BH13" s="347"/>
      <c r="BI13" s="11"/>
      <c r="BJ13" s="347">
        <v>0.1</v>
      </c>
      <c r="BK13" s="347"/>
      <c r="BM13" s="347">
        <v>0.1</v>
      </c>
      <c r="BN13" s="347"/>
      <c r="BP13" s="347">
        <v>0.1</v>
      </c>
      <c r="BQ13" s="347"/>
      <c r="BR13" s="300"/>
      <c r="BS13" s="347">
        <v>0.1</v>
      </c>
      <c r="BT13" s="347" t="s">
        <v>442</v>
      </c>
      <c r="BV13" s="347">
        <v>0.1</v>
      </c>
      <c r="BW13" s="347" t="s">
        <v>442</v>
      </c>
      <c r="DJ13" s="345" t="s">
        <v>539</v>
      </c>
      <c r="DK13" s="345" t="s">
        <v>749</v>
      </c>
    </row>
    <row r="14" spans="2:115" ht="48.75" customHeight="1">
      <c r="B14" s="275">
        <v>4</v>
      </c>
      <c r="C14" s="275">
        <v>3</v>
      </c>
      <c r="D14" s="1033">
        <f t="shared" si="0"/>
        <v>90</v>
      </c>
      <c r="E14" s="1033"/>
      <c r="F14" s="1033">
        <f t="shared" si="1"/>
        <v>100</v>
      </c>
      <c r="G14" s="1033"/>
      <c r="H14" s="1033">
        <f t="shared" si="2"/>
        <v>112</v>
      </c>
      <c r="I14" s="1033"/>
      <c r="J14" s="1033">
        <f t="shared" si="3"/>
        <v>112</v>
      </c>
      <c r="K14" s="1033"/>
      <c r="L14" s="1385" t="str">
        <f t="shared" si="4"/>
        <v>нет значений данной функции</v>
      </c>
      <c r="M14" s="1385"/>
      <c r="N14" s="1385" t="str">
        <f t="shared" si="5"/>
        <v>нет значений данной функции</v>
      </c>
      <c r="O14" s="1385"/>
      <c r="P14" s="193"/>
      <c r="Q14" s="194"/>
      <c r="R14" s="194"/>
      <c r="S14" s="194"/>
      <c r="T14" s="194"/>
      <c r="U14" s="194"/>
      <c r="V14" s="195"/>
      <c r="AL14" s="347">
        <v>160</v>
      </c>
      <c r="AM14" s="347">
        <v>0.27200000000000002</v>
      </c>
      <c r="BD14" s="1738" t="s">
        <v>1263</v>
      </c>
      <c r="BE14" s="1738"/>
      <c r="BG14" s="347">
        <v>0.11600000000000001</v>
      </c>
      <c r="BH14" s="347"/>
      <c r="BI14" s="11"/>
      <c r="BJ14" s="347">
        <v>0.11600000000000001</v>
      </c>
      <c r="BK14" s="347"/>
      <c r="BM14" s="347">
        <v>0.11600000000000001</v>
      </c>
      <c r="BN14" s="347"/>
      <c r="BP14" s="347">
        <v>0.11600000000000001</v>
      </c>
      <c r="BQ14" s="347"/>
      <c r="BS14" s="347">
        <v>0.11600000000000001</v>
      </c>
      <c r="BT14" s="347" t="s">
        <v>442</v>
      </c>
      <c r="BV14" s="347">
        <v>0.11600000000000001</v>
      </c>
      <c r="BW14" s="347" t="s">
        <v>442</v>
      </c>
      <c r="CJ14" s="1728" t="s">
        <v>751</v>
      </c>
      <c r="CK14" s="1724"/>
      <c r="CL14" s="1724"/>
      <c r="CM14" s="1724"/>
      <c r="CN14" s="1724"/>
      <c r="CO14" s="1724"/>
      <c r="CP14" s="1725"/>
      <c r="CQ14" s="1073"/>
      <c r="CS14" s="1385" t="s">
        <v>1280</v>
      </c>
      <c r="CT14" s="1385"/>
      <c r="CU14" s="1385"/>
      <c r="CV14" s="1385"/>
      <c r="CW14" s="1385"/>
      <c r="CX14" s="1385"/>
      <c r="CY14" s="1385"/>
      <c r="CZ14" s="1385"/>
      <c r="DA14" s="1385"/>
      <c r="DB14" s="1385"/>
      <c r="DC14" s="1385"/>
      <c r="DD14" s="1385"/>
      <c r="DE14" s="1385"/>
      <c r="DF14" s="1073"/>
      <c r="DJ14" s="347">
        <v>56</v>
      </c>
      <c r="DK14" s="347">
        <v>8.8999999999999996E-2</v>
      </c>
    </row>
    <row r="15" spans="2:115" ht="48.75" customHeight="1">
      <c r="B15" s="275">
        <v>5</v>
      </c>
      <c r="C15" s="275">
        <v>4</v>
      </c>
      <c r="D15" s="1033">
        <f t="shared" si="0"/>
        <v>100</v>
      </c>
      <c r="E15" s="1033"/>
      <c r="F15" s="1033">
        <f t="shared" si="1"/>
        <v>100</v>
      </c>
      <c r="G15" s="1033"/>
      <c r="H15" s="1033">
        <f t="shared" si="2"/>
        <v>112</v>
      </c>
      <c r="I15" s="1033"/>
      <c r="J15" s="1033">
        <f t="shared" si="3"/>
        <v>132</v>
      </c>
      <c r="K15" s="1033"/>
      <c r="L15" s="1385" t="str">
        <f t="shared" si="4"/>
        <v>нет значений данной функции</v>
      </c>
      <c r="M15" s="1385"/>
      <c r="N15" s="1385" t="str">
        <f t="shared" si="5"/>
        <v>нет значений данной функции</v>
      </c>
      <c r="O15" s="1385"/>
      <c r="P15" s="193"/>
      <c r="Q15" s="194"/>
      <c r="R15" s="194"/>
      <c r="S15" s="194"/>
      <c r="T15" s="194"/>
      <c r="U15" s="194"/>
      <c r="V15" s="195"/>
      <c r="AL15" s="347">
        <v>180</v>
      </c>
      <c r="AM15" s="347">
        <v>0.313</v>
      </c>
      <c r="BD15" s="345" t="s">
        <v>539</v>
      </c>
      <c r="BE15" s="345" t="s">
        <v>749</v>
      </c>
      <c r="BG15" s="347">
        <v>0.13100000000000001</v>
      </c>
      <c r="BH15" s="347"/>
      <c r="BI15" s="11"/>
      <c r="BJ15" s="347">
        <v>0.13100000000000001</v>
      </c>
      <c r="BK15" s="347"/>
      <c r="BM15" s="347">
        <v>0.13100000000000001</v>
      </c>
      <c r="BN15" s="347"/>
      <c r="BP15" s="347">
        <v>0.13100000000000001</v>
      </c>
      <c r="BQ15" s="347"/>
      <c r="BS15" s="347">
        <v>0.13100000000000001</v>
      </c>
      <c r="BT15" s="347" t="s">
        <v>442</v>
      </c>
      <c r="BV15" s="347">
        <v>0.13100000000000001</v>
      </c>
      <c r="BW15" s="347" t="s">
        <v>442</v>
      </c>
      <c r="CJ15" s="1729"/>
      <c r="CK15" s="1726"/>
      <c r="CL15" s="1726"/>
      <c r="CM15" s="1726"/>
      <c r="CN15" s="1726"/>
      <c r="CO15" s="1726"/>
      <c r="CP15" s="1727"/>
      <c r="CQ15" s="1072"/>
      <c r="CS15" s="1385"/>
      <c r="CT15" s="1385"/>
      <c r="CU15" s="1385"/>
      <c r="CV15" s="1385"/>
      <c r="CW15" s="1385"/>
      <c r="CX15" s="1385"/>
      <c r="CY15" s="1385"/>
      <c r="CZ15" s="1385"/>
      <c r="DA15" s="1385"/>
      <c r="DB15" s="1385"/>
      <c r="DC15" s="1385"/>
      <c r="DD15" s="1385"/>
      <c r="DE15" s="1385"/>
      <c r="DF15" s="1072"/>
      <c r="DJ15" s="347">
        <v>63</v>
      </c>
      <c r="DK15" s="347">
        <v>0.1</v>
      </c>
    </row>
    <row r="16" spans="2:115" ht="48.75" customHeight="1">
      <c r="B16" s="275">
        <v>6</v>
      </c>
      <c r="C16" s="275">
        <v>5.5</v>
      </c>
      <c r="D16" s="1033">
        <f t="shared" si="0"/>
        <v>100</v>
      </c>
      <c r="E16" s="1033"/>
      <c r="F16" s="1033">
        <f t="shared" si="1"/>
        <v>112</v>
      </c>
      <c r="G16" s="1033"/>
      <c r="H16" s="1033">
        <f t="shared" si="2"/>
        <v>132</v>
      </c>
      <c r="I16" s="1033"/>
      <c r="J16" s="1033">
        <f t="shared" si="3"/>
        <v>132</v>
      </c>
      <c r="K16" s="1033"/>
      <c r="L16" s="1385" t="str">
        <f t="shared" si="4"/>
        <v>нет значений данной функции</v>
      </c>
      <c r="M16" s="1385"/>
      <c r="N16" s="1385" t="str">
        <f t="shared" si="5"/>
        <v>нет значений данной функции</v>
      </c>
      <c r="O16" s="1385"/>
      <c r="P16" s="193"/>
      <c r="Q16" s="194"/>
      <c r="R16" s="194"/>
      <c r="S16" s="194"/>
      <c r="T16" s="194"/>
      <c r="U16" s="194"/>
      <c r="V16" s="195"/>
      <c r="AL16" s="347">
        <v>200</v>
      </c>
      <c r="AM16" s="347">
        <v>0.34899999999999998</v>
      </c>
      <c r="BD16" s="347">
        <v>56</v>
      </c>
      <c r="BE16" s="347">
        <v>8.8999999999999996E-2</v>
      </c>
      <c r="BG16" s="347">
        <v>0.14899999999999999</v>
      </c>
      <c r="BH16" s="347"/>
      <c r="BI16" s="11"/>
      <c r="BJ16" s="347">
        <v>0.14899999999999999</v>
      </c>
      <c r="BK16" s="347"/>
      <c r="BM16" s="347">
        <v>0.14899999999999999</v>
      </c>
      <c r="BN16" s="347"/>
      <c r="BP16" s="347">
        <v>0.14899999999999999</v>
      </c>
      <c r="BQ16" s="347"/>
      <c r="BS16" s="347">
        <v>0.14899999999999999</v>
      </c>
      <c r="BT16" s="347" t="s">
        <v>442</v>
      </c>
      <c r="BV16" s="347">
        <v>0.14899999999999999</v>
      </c>
      <c r="BW16" s="347" t="s">
        <v>442</v>
      </c>
      <c r="CJ16" s="574" t="s">
        <v>1144</v>
      </c>
      <c r="CK16" s="572">
        <f>'Вывод расчетов'!$AZ$21</f>
        <v>0.313</v>
      </c>
      <c r="CL16" s="92"/>
      <c r="CM16" s="92"/>
      <c r="CN16" s="92"/>
      <c r="CO16" s="92"/>
      <c r="CP16" s="92"/>
      <c r="CQ16" s="93"/>
      <c r="CS16" s="91"/>
      <c r="CT16" s="92"/>
      <c r="CU16" s="92"/>
      <c r="CV16" s="92"/>
      <c r="CW16" s="92"/>
      <c r="CX16" s="92"/>
      <c r="CY16" s="92"/>
      <c r="CZ16" s="92"/>
      <c r="DA16" s="93"/>
      <c r="DB16" s="1752"/>
      <c r="DC16" s="1386"/>
      <c r="DD16" s="1386"/>
      <c r="DE16" s="1386"/>
      <c r="DF16" s="1386"/>
      <c r="DJ16" s="347">
        <v>71</v>
      </c>
      <c r="DK16" s="347">
        <v>0.11600000000000001</v>
      </c>
    </row>
    <row r="17" spans="2:171" ht="48.75" customHeight="1">
      <c r="B17" s="275">
        <v>7</v>
      </c>
      <c r="C17" s="275">
        <v>7.5</v>
      </c>
      <c r="D17" s="1033">
        <f t="shared" si="0"/>
        <v>112</v>
      </c>
      <c r="E17" s="1033"/>
      <c r="F17" s="1033">
        <f t="shared" si="1"/>
        <v>132</v>
      </c>
      <c r="G17" s="1033"/>
      <c r="H17" s="1033">
        <f t="shared" si="2"/>
        <v>132</v>
      </c>
      <c r="I17" s="1033"/>
      <c r="J17" s="1033">
        <f t="shared" si="3"/>
        <v>160</v>
      </c>
      <c r="K17" s="1033"/>
      <c r="L17" s="1385" t="str">
        <f t="shared" si="4"/>
        <v>нет значений данной функции</v>
      </c>
      <c r="M17" s="1385"/>
      <c r="N17" s="1385" t="str">
        <f t="shared" si="5"/>
        <v>нет значений данной функции</v>
      </c>
      <c r="O17" s="1385"/>
      <c r="P17" s="193"/>
      <c r="Q17" s="194"/>
      <c r="R17" s="194"/>
      <c r="S17" s="194"/>
      <c r="T17" s="194"/>
      <c r="U17" s="194"/>
      <c r="V17" s="195"/>
      <c r="AL17" s="347">
        <v>225</v>
      </c>
      <c r="AM17" s="347">
        <v>0.39200000000000002</v>
      </c>
      <c r="BD17" s="347">
        <v>63</v>
      </c>
      <c r="BE17" s="347">
        <v>0.1</v>
      </c>
      <c r="BG17" s="347">
        <v>0.16800000000000001</v>
      </c>
      <c r="BH17" s="347"/>
      <c r="BI17" s="11"/>
      <c r="BJ17" s="347">
        <v>0.16800000000000001</v>
      </c>
      <c r="BK17" s="347"/>
      <c r="BM17" s="347">
        <v>0.16800000000000001</v>
      </c>
      <c r="BN17" s="347"/>
      <c r="BP17" s="347">
        <v>0.16800000000000001</v>
      </c>
      <c r="BQ17" s="347"/>
      <c r="BS17" s="347">
        <v>0.16800000000000001</v>
      </c>
      <c r="BT17" s="347" t="s">
        <v>442</v>
      </c>
      <c r="BV17" s="347">
        <v>0.16800000000000001</v>
      </c>
      <c r="BW17" s="347" t="s">
        <v>442</v>
      </c>
      <c r="CJ17" s="193"/>
      <c r="CK17" s="194"/>
      <c r="CL17" s="194"/>
      <c r="CM17" s="194"/>
      <c r="CN17" s="194"/>
      <c r="CO17" s="194"/>
      <c r="CP17" s="194"/>
      <c r="CQ17" s="195"/>
      <c r="CS17" s="193"/>
      <c r="CT17" s="194"/>
      <c r="CU17" s="194"/>
      <c r="CV17" s="194"/>
      <c r="CW17" s="194"/>
      <c r="CX17" s="194"/>
      <c r="CY17" s="194"/>
      <c r="CZ17" s="194"/>
      <c r="DA17" s="195"/>
      <c r="DB17" s="1752"/>
      <c r="DC17" s="1386"/>
      <c r="DD17" s="1386"/>
      <c r="DE17" s="1386"/>
      <c r="DF17" s="1386"/>
      <c r="DJ17" s="347">
        <v>80</v>
      </c>
      <c r="DK17" s="347">
        <v>0.13100000000000001</v>
      </c>
    </row>
    <row r="18" spans="2:171" ht="48.75" customHeight="1">
      <c r="B18" s="275">
        <v>8</v>
      </c>
      <c r="C18" s="275">
        <v>11</v>
      </c>
      <c r="D18" s="1033">
        <f t="shared" si="0"/>
        <v>132</v>
      </c>
      <c r="E18" s="1033"/>
      <c r="F18" s="1033">
        <f t="shared" si="1"/>
        <v>132</v>
      </c>
      <c r="G18" s="1033"/>
      <c r="H18" s="1033">
        <f t="shared" si="2"/>
        <v>160</v>
      </c>
      <c r="I18" s="1033"/>
      <c r="J18" s="1033">
        <f t="shared" si="3"/>
        <v>160</v>
      </c>
      <c r="K18" s="1033"/>
      <c r="L18" s="1385" t="str">
        <f t="shared" si="4"/>
        <v>нет значений данной функции</v>
      </c>
      <c r="M18" s="1385"/>
      <c r="N18" s="1385" t="str">
        <f t="shared" si="5"/>
        <v>нет значений данной функции</v>
      </c>
      <c r="O18" s="1385"/>
      <c r="P18" s="193"/>
      <c r="Q18" s="194"/>
      <c r="R18" s="194"/>
      <c r="S18" s="194"/>
      <c r="T18" s="194"/>
      <c r="U18" s="194"/>
      <c r="V18" s="195"/>
      <c r="AL18" s="347">
        <v>250</v>
      </c>
      <c r="AM18" s="347">
        <v>0.437</v>
      </c>
      <c r="BD18" s="347">
        <v>71</v>
      </c>
      <c r="BE18" s="347">
        <v>0.11600000000000001</v>
      </c>
      <c r="BG18" s="347">
        <v>0.191</v>
      </c>
      <c r="BH18" s="347"/>
      <c r="BI18" s="11"/>
      <c r="BJ18" s="347">
        <v>0.191</v>
      </c>
      <c r="BK18" s="347"/>
      <c r="BM18" s="347">
        <v>0.191</v>
      </c>
      <c r="BN18" s="347"/>
      <c r="BP18" s="347">
        <v>0.191</v>
      </c>
      <c r="BQ18" s="347"/>
      <c r="BS18" s="347">
        <v>0.191</v>
      </c>
      <c r="BT18" s="347" t="s">
        <v>442</v>
      </c>
      <c r="BV18" s="347">
        <v>0.191</v>
      </c>
      <c r="BW18" s="347" t="s">
        <v>442</v>
      </c>
      <c r="CJ18" s="193"/>
      <c r="CK18" s="194"/>
      <c r="CL18" s="194"/>
      <c r="CM18" s="194"/>
      <c r="CN18" s="194"/>
      <c r="CO18" s="194"/>
      <c r="CP18" s="194"/>
      <c r="CQ18" s="195"/>
      <c r="CS18" s="193"/>
      <c r="CT18" s="194"/>
      <c r="CU18" s="194"/>
      <c r="CV18" s="194"/>
      <c r="CW18" s="194"/>
      <c r="CX18" s="194"/>
      <c r="CY18" s="194"/>
      <c r="CZ18" s="194"/>
      <c r="DA18" s="195"/>
      <c r="DB18" s="1752"/>
      <c r="DC18" s="1386"/>
      <c r="DD18" s="1386"/>
      <c r="DE18" s="1386"/>
      <c r="DF18" s="1386"/>
      <c r="DJ18" s="347">
        <v>90</v>
      </c>
      <c r="DK18" s="347">
        <v>0.14899999999999999</v>
      </c>
    </row>
    <row r="19" spans="2:171" ht="48.75" customHeight="1">
      <c r="B19" s="275">
        <v>9</v>
      </c>
      <c r="C19" s="275">
        <v>15</v>
      </c>
      <c r="D19" s="1033">
        <f t="shared" si="0"/>
        <v>160</v>
      </c>
      <c r="E19" s="1033"/>
      <c r="F19" s="1033">
        <f t="shared" si="1"/>
        <v>160</v>
      </c>
      <c r="G19" s="1033"/>
      <c r="H19" s="1033">
        <f t="shared" si="2"/>
        <v>160</v>
      </c>
      <c r="I19" s="1033"/>
      <c r="J19" s="1033">
        <f t="shared" si="3"/>
        <v>180</v>
      </c>
      <c r="K19" s="1033"/>
      <c r="L19" s="1385" t="str">
        <f t="shared" si="4"/>
        <v>нет значений данной функции</v>
      </c>
      <c r="M19" s="1385"/>
      <c r="N19" s="1385" t="str">
        <f t="shared" si="5"/>
        <v>нет значений данной функции</v>
      </c>
      <c r="O19" s="1385"/>
      <c r="P19" s="193"/>
      <c r="Q19" s="194"/>
      <c r="R19" s="194"/>
      <c r="S19" s="194"/>
      <c r="T19" s="194"/>
      <c r="U19" s="194"/>
      <c r="V19" s="195"/>
      <c r="AL19" s="347">
        <v>280</v>
      </c>
      <c r="AM19" s="347">
        <v>0.53</v>
      </c>
      <c r="BD19" s="347">
        <v>80</v>
      </c>
      <c r="BE19" s="347">
        <v>0.13100000000000001</v>
      </c>
      <c r="BG19" s="347">
        <v>0.22500000000000001</v>
      </c>
      <c r="BH19" s="347"/>
      <c r="BI19" s="11"/>
      <c r="BJ19" s="347">
        <v>0.22500000000000001</v>
      </c>
      <c r="BK19" s="347"/>
      <c r="BM19" s="347">
        <v>0.22500000000000001</v>
      </c>
      <c r="BN19" s="347"/>
      <c r="BP19" s="347">
        <v>0.22500000000000001</v>
      </c>
      <c r="BQ19" s="347"/>
      <c r="BS19" s="347">
        <v>0.22500000000000001</v>
      </c>
      <c r="BT19" s="347" t="s">
        <v>442</v>
      </c>
      <c r="BV19" s="347">
        <v>0.22500000000000001</v>
      </c>
      <c r="BW19" s="347" t="s">
        <v>442</v>
      </c>
      <c r="CJ19" s="193"/>
      <c r="CK19" s="194"/>
      <c r="CL19" s="194"/>
      <c r="CM19" s="194"/>
      <c r="CN19" s="194"/>
      <c r="CO19" s="194"/>
      <c r="CP19" s="194"/>
      <c r="CQ19" s="195"/>
      <c r="CS19" s="193"/>
      <c r="CT19" s="194"/>
      <c r="CU19" s="194"/>
      <c r="CV19" s="194"/>
      <c r="CW19" s="194"/>
      <c r="CX19" s="194"/>
      <c r="CY19" s="194"/>
      <c r="CZ19" s="194"/>
      <c r="DA19" s="195"/>
      <c r="DB19" s="1752"/>
      <c r="DC19" s="1386"/>
      <c r="DD19" s="1386"/>
      <c r="DE19" s="1386"/>
      <c r="DF19" s="1386"/>
      <c r="DJ19" s="347">
        <v>100</v>
      </c>
      <c r="DK19" s="347">
        <v>0.16800000000000001</v>
      </c>
    </row>
    <row r="20" spans="2:171" ht="48.75" customHeight="1">
      <c r="B20" s="275">
        <v>10</v>
      </c>
      <c r="C20" s="275">
        <v>18.5</v>
      </c>
      <c r="D20" s="1033">
        <f t="shared" si="0"/>
        <v>160</v>
      </c>
      <c r="E20" s="1033"/>
      <c r="F20" s="1033">
        <f t="shared" si="1"/>
        <v>160</v>
      </c>
      <c r="G20" s="1033"/>
      <c r="H20" s="1033">
        <f t="shared" si="2"/>
        <v>180</v>
      </c>
      <c r="I20" s="1033"/>
      <c r="J20" s="1033">
        <f t="shared" si="3"/>
        <v>200</v>
      </c>
      <c r="K20" s="1033"/>
      <c r="L20" s="1385" t="str">
        <f t="shared" si="4"/>
        <v>нет значений данной функции</v>
      </c>
      <c r="M20" s="1385"/>
      <c r="N20" s="1385" t="str">
        <f t="shared" si="5"/>
        <v>нет значений данной функции</v>
      </c>
      <c r="O20" s="1385"/>
      <c r="P20" s="193"/>
      <c r="Q20" s="194"/>
      <c r="R20" s="194"/>
      <c r="S20" s="194"/>
      <c r="T20" s="194"/>
      <c r="U20" s="194"/>
      <c r="V20" s="195"/>
      <c r="AL20" s="347">
        <v>315</v>
      </c>
      <c r="AM20" s="347">
        <v>0.59</v>
      </c>
      <c r="BD20" s="347">
        <v>90</v>
      </c>
      <c r="BE20" s="347">
        <v>0.14899999999999999</v>
      </c>
      <c r="BG20" s="347">
        <v>0.27200000000000002</v>
      </c>
      <c r="BH20" s="347"/>
      <c r="BI20" s="11"/>
      <c r="BJ20" s="347">
        <v>0.27200000000000002</v>
      </c>
      <c r="BK20" s="347"/>
      <c r="BM20" s="347">
        <v>0.27200000000000002</v>
      </c>
      <c r="BN20" s="347"/>
      <c r="BP20" s="347">
        <v>0.27200000000000002</v>
      </c>
      <c r="BQ20" s="347"/>
      <c r="BS20" s="347">
        <v>0.27200000000000002</v>
      </c>
      <c r="BT20" s="347" t="s">
        <v>442</v>
      </c>
      <c r="BV20" s="347">
        <v>0.27200000000000002</v>
      </c>
      <c r="BW20" s="347" t="s">
        <v>442</v>
      </c>
      <c r="CJ20" s="193"/>
      <c r="CK20" s="194"/>
      <c r="CL20" s="194"/>
      <c r="CM20" s="194"/>
      <c r="CN20" s="194"/>
      <c r="CO20" s="194"/>
      <c r="CP20" s="194"/>
      <c r="CQ20" s="195"/>
      <c r="CS20" s="193"/>
      <c r="CT20" s="194"/>
      <c r="CU20" s="194"/>
      <c r="CV20" s="194"/>
      <c r="CW20" s="194"/>
      <c r="CX20" s="194"/>
      <c r="CY20" s="194"/>
      <c r="CZ20" s="194"/>
      <c r="DA20" s="195"/>
      <c r="DB20" s="1752"/>
      <c r="DC20" s="1386"/>
      <c r="DD20" s="1386"/>
      <c r="DE20" s="1386"/>
      <c r="DF20" s="1386"/>
      <c r="DJ20" s="347">
        <v>112</v>
      </c>
      <c r="DK20" s="347">
        <v>0.191</v>
      </c>
    </row>
    <row r="21" spans="2:171" ht="48.75" customHeight="1">
      <c r="B21" s="275">
        <v>11</v>
      </c>
      <c r="C21" s="275">
        <v>22</v>
      </c>
      <c r="D21" s="1033">
        <f t="shared" si="0"/>
        <v>180</v>
      </c>
      <c r="E21" s="1033"/>
      <c r="F21" s="1033">
        <f t="shared" si="1"/>
        <v>180</v>
      </c>
      <c r="G21" s="1033"/>
      <c r="H21" s="1033">
        <f t="shared" si="2"/>
        <v>200</v>
      </c>
      <c r="I21" s="1033"/>
      <c r="J21" s="1033">
        <f t="shared" si="3"/>
        <v>200</v>
      </c>
      <c r="K21" s="1033"/>
      <c r="L21" s="1385">
        <f t="shared" si="4"/>
        <v>250</v>
      </c>
      <c r="M21" s="1385"/>
      <c r="N21" s="1385" t="str">
        <f t="shared" si="5"/>
        <v>нет значений данной функции</v>
      </c>
      <c r="O21" s="1385"/>
      <c r="P21" s="193"/>
      <c r="Q21" s="194"/>
      <c r="R21" s="194"/>
      <c r="S21" s="194"/>
      <c r="T21" s="194"/>
      <c r="U21" s="194"/>
      <c r="V21" s="195"/>
      <c r="AL21" s="347">
        <v>355</v>
      </c>
      <c r="AM21" s="347">
        <v>0.66</v>
      </c>
      <c r="BD21" s="347">
        <v>100</v>
      </c>
      <c r="BE21" s="347">
        <v>0.16800000000000001</v>
      </c>
      <c r="BG21" s="347">
        <v>0.313</v>
      </c>
      <c r="BH21" s="347"/>
      <c r="BI21" s="11"/>
      <c r="BJ21" s="347">
        <v>0.313</v>
      </c>
      <c r="BK21" s="347"/>
      <c r="BM21" s="347">
        <v>0.313</v>
      </c>
      <c r="BN21" s="347"/>
      <c r="BP21" s="347">
        <v>0.313</v>
      </c>
      <c r="BQ21" s="347"/>
      <c r="BS21" s="347">
        <v>0.313</v>
      </c>
      <c r="BT21" s="347" t="s">
        <v>442</v>
      </c>
      <c r="BV21" s="347">
        <v>0.313</v>
      </c>
      <c r="BW21" s="347" t="s">
        <v>442</v>
      </c>
      <c r="CJ21" s="193"/>
      <c r="CK21" s="194"/>
      <c r="CL21" s="194"/>
      <c r="CM21" s="194"/>
      <c r="CN21" s="194"/>
      <c r="CO21" s="194"/>
      <c r="CP21" s="194"/>
      <c r="CQ21" s="195"/>
      <c r="CS21" s="193"/>
      <c r="CT21" s="194"/>
      <c r="CU21" s="194"/>
      <c r="CV21" s="194"/>
      <c r="CW21" s="194"/>
      <c r="CX21" s="194"/>
      <c r="CY21" s="194"/>
      <c r="CZ21" s="194"/>
      <c r="DA21" s="195"/>
      <c r="DB21" s="1752"/>
      <c r="DC21" s="1386"/>
      <c r="DD21" s="1386"/>
      <c r="DE21" s="1386"/>
      <c r="DF21" s="1386"/>
      <c r="DJ21" s="347">
        <v>132</v>
      </c>
      <c r="DK21" s="347">
        <v>0.22500000000000001</v>
      </c>
    </row>
    <row r="22" spans="2:171" ht="48.75" customHeight="1">
      <c r="B22" s="275">
        <v>12</v>
      </c>
      <c r="C22" s="275">
        <v>30</v>
      </c>
      <c r="D22" s="1033">
        <f t="shared" si="0"/>
        <v>180</v>
      </c>
      <c r="E22" s="1033"/>
      <c r="F22" s="1033">
        <f t="shared" si="1"/>
        <v>180</v>
      </c>
      <c r="G22" s="1033"/>
      <c r="H22" s="1033">
        <f t="shared" si="2"/>
        <v>200</v>
      </c>
      <c r="I22" s="1033"/>
      <c r="J22" s="1033">
        <f t="shared" si="3"/>
        <v>225</v>
      </c>
      <c r="K22" s="1033"/>
      <c r="L22" s="1385">
        <f t="shared" si="4"/>
        <v>250</v>
      </c>
      <c r="M22" s="1385"/>
      <c r="N22" s="1385" t="str">
        <f t="shared" si="5"/>
        <v>нет значений данной функции</v>
      </c>
      <c r="O22" s="1385"/>
      <c r="P22" s="193"/>
      <c r="Q22" s="194"/>
      <c r="R22" s="194"/>
      <c r="S22" s="194"/>
      <c r="T22" s="194"/>
      <c r="U22" s="194"/>
      <c r="V22" s="195"/>
      <c r="AI22" s="17"/>
      <c r="AJ22" s="17"/>
      <c r="BD22" s="347">
        <v>112</v>
      </c>
      <c r="BE22" s="347">
        <v>0.191</v>
      </c>
      <c r="BG22" s="347">
        <v>0.34899999999999998</v>
      </c>
      <c r="BH22" s="347"/>
      <c r="BI22" s="11"/>
      <c r="BJ22" s="347">
        <v>0.34899999999999998</v>
      </c>
      <c r="BK22" s="347"/>
      <c r="BM22" s="347">
        <v>0.34899999999999998</v>
      </c>
      <c r="BN22" s="347"/>
      <c r="BP22" s="347">
        <v>0.34899999999999998</v>
      </c>
      <c r="BQ22" s="347"/>
      <c r="BS22" s="347">
        <v>0.34899999999999998</v>
      </c>
      <c r="BT22" s="347" t="s">
        <v>442</v>
      </c>
      <c r="BV22" s="347">
        <v>0.34899999999999998</v>
      </c>
      <c r="BW22" s="347" t="s">
        <v>442</v>
      </c>
      <c r="CD22" s="300"/>
      <c r="CE22" s="300"/>
      <c r="CF22" s="300"/>
      <c r="CG22" s="300"/>
      <c r="CH22" s="300"/>
      <c r="CI22" s="300"/>
      <c r="CJ22" s="193"/>
      <c r="CK22" s="194"/>
      <c r="CL22" s="194"/>
      <c r="CM22" s="194"/>
      <c r="CN22" s="194"/>
      <c r="CO22" s="194"/>
      <c r="CP22" s="194"/>
      <c r="CQ22" s="195"/>
      <c r="CR22" s="300"/>
      <c r="CS22" s="193"/>
      <c r="CT22" s="194"/>
      <c r="CU22" s="194"/>
      <c r="CV22" s="194"/>
      <c r="CW22" s="194"/>
      <c r="CX22" s="194"/>
      <c r="CY22" s="194"/>
      <c r="CZ22" s="194"/>
      <c r="DA22" s="195"/>
      <c r="DB22" s="1752"/>
      <c r="DC22" s="1386"/>
      <c r="DD22" s="1386"/>
      <c r="DE22" s="1386"/>
      <c r="DF22" s="1386"/>
      <c r="DJ22" s="347">
        <v>160</v>
      </c>
      <c r="DK22" s="347">
        <v>0.27200000000000002</v>
      </c>
      <c r="FG22" s="1033" t="s">
        <v>1251</v>
      </c>
      <c r="FH22" s="1033"/>
      <c r="FI22" s="1033"/>
      <c r="FJ22" s="1033"/>
      <c r="FK22" s="1033"/>
      <c r="FL22" s="1033"/>
      <c r="FM22" s="348" t="s">
        <v>1257</v>
      </c>
      <c r="FN22" s="348">
        <v>12</v>
      </c>
      <c r="FO22" s="10"/>
    </row>
    <row r="23" spans="2:171" ht="48.75" customHeight="1">
      <c r="B23" s="275">
        <v>13</v>
      </c>
      <c r="C23" s="275">
        <v>37</v>
      </c>
      <c r="D23" s="1033">
        <f t="shared" si="0"/>
        <v>200</v>
      </c>
      <c r="E23" s="1033"/>
      <c r="F23" s="1033">
        <f t="shared" si="1"/>
        <v>200</v>
      </c>
      <c r="G23" s="1033"/>
      <c r="H23" s="1033">
        <f t="shared" si="2"/>
        <v>225</v>
      </c>
      <c r="I23" s="1033"/>
      <c r="J23" s="1033">
        <f t="shared" si="3"/>
        <v>250</v>
      </c>
      <c r="K23" s="1033"/>
      <c r="L23" s="1385">
        <f t="shared" si="4"/>
        <v>280</v>
      </c>
      <c r="M23" s="1385"/>
      <c r="N23" s="1385" t="str">
        <f t="shared" si="5"/>
        <v>нет значений данной функции</v>
      </c>
      <c r="O23" s="1385"/>
      <c r="P23" s="193"/>
      <c r="Q23" s="194"/>
      <c r="R23" s="194"/>
      <c r="S23" s="194"/>
      <c r="T23" s="194"/>
      <c r="U23" s="194"/>
      <c r="V23" s="195"/>
      <c r="AJ23" s="17"/>
      <c r="BD23" s="347">
        <v>132</v>
      </c>
      <c r="BE23" s="347">
        <v>0.22500000000000001</v>
      </c>
      <c r="BG23" s="347">
        <v>0.39200000000000002</v>
      </c>
      <c r="BH23" s="347"/>
      <c r="BI23" s="11"/>
      <c r="BJ23" s="347">
        <v>0.39200000000000002</v>
      </c>
      <c r="BK23" s="347"/>
      <c r="BM23" s="347">
        <v>0.39200000000000002</v>
      </c>
      <c r="BN23" s="347"/>
      <c r="BP23" s="347">
        <v>0.39200000000000002</v>
      </c>
      <c r="BQ23" s="347"/>
      <c r="BS23" s="347">
        <v>0.39200000000000002</v>
      </c>
      <c r="BT23" s="347" t="s">
        <v>442</v>
      </c>
      <c r="BV23" s="347">
        <v>0.39200000000000002</v>
      </c>
      <c r="BW23" s="347" t="s">
        <v>442</v>
      </c>
      <c r="CD23" s="300"/>
      <c r="CE23" s="300"/>
      <c r="CF23" s="300"/>
      <c r="CG23" s="300"/>
      <c r="CH23" s="300"/>
      <c r="CI23" s="300"/>
      <c r="CJ23" s="193"/>
      <c r="CK23" s="194"/>
      <c r="CL23" s="194"/>
      <c r="CM23" s="194"/>
      <c r="CN23" s="194"/>
      <c r="CO23" s="194"/>
      <c r="CP23" s="194"/>
      <c r="CQ23" s="195"/>
      <c r="CR23" s="300"/>
      <c r="CS23" s="193"/>
      <c r="CT23" s="194"/>
      <c r="CU23" s="194"/>
      <c r="CV23" s="194"/>
      <c r="CW23" s="194"/>
      <c r="CX23" s="194"/>
      <c r="CY23" s="194"/>
      <c r="CZ23" s="194"/>
      <c r="DA23" s="195"/>
      <c r="DB23" s="1752"/>
      <c r="DC23" s="1386"/>
      <c r="DD23" s="1386"/>
      <c r="DE23" s="1386"/>
      <c r="DF23" s="1386"/>
      <c r="DJ23" s="347">
        <v>180</v>
      </c>
      <c r="DK23" s="347">
        <v>0.313</v>
      </c>
      <c r="FG23" s="1742" t="s">
        <v>1259</v>
      </c>
      <c r="FH23" s="1742"/>
      <c r="FI23" s="1742"/>
      <c r="FJ23" s="1742"/>
      <c r="FK23" s="1742"/>
      <c r="FL23" s="1742"/>
      <c r="FM23" s="348" t="s">
        <v>1258</v>
      </c>
      <c r="FN23" s="348">
        <v>6</v>
      </c>
      <c r="FO23" s="10"/>
    </row>
    <row r="24" spans="2:171" ht="48.75" customHeight="1">
      <c r="B24" s="275">
        <v>14</v>
      </c>
      <c r="C24" s="275">
        <v>45</v>
      </c>
      <c r="D24" s="1033">
        <f t="shared" si="0"/>
        <v>200</v>
      </c>
      <c r="E24" s="1033"/>
      <c r="F24" s="1033">
        <f t="shared" si="1"/>
        <v>200</v>
      </c>
      <c r="G24" s="1033"/>
      <c r="H24" s="1033">
        <f t="shared" si="2"/>
        <v>250</v>
      </c>
      <c r="I24" s="1033"/>
      <c r="J24" s="1033">
        <f t="shared" si="3"/>
        <v>250</v>
      </c>
      <c r="K24" s="1033"/>
      <c r="L24" s="1385">
        <f t="shared" si="4"/>
        <v>280</v>
      </c>
      <c r="M24" s="1385"/>
      <c r="N24" s="1385">
        <f t="shared" si="5"/>
        <v>315</v>
      </c>
      <c r="O24" s="1385"/>
      <c r="P24" s="193"/>
      <c r="Q24" s="194"/>
      <c r="R24" s="194"/>
      <c r="S24" s="194"/>
      <c r="T24" s="194"/>
      <c r="U24" s="194"/>
      <c r="V24" s="195"/>
      <c r="AJ24" s="17"/>
      <c r="BD24" s="347">
        <v>160</v>
      </c>
      <c r="BE24" s="347">
        <v>0.27200000000000002</v>
      </c>
      <c r="BG24" s="347">
        <v>0.437</v>
      </c>
      <c r="BH24" s="347"/>
      <c r="BI24" s="11"/>
      <c r="BJ24" s="347">
        <v>0.437</v>
      </c>
      <c r="BK24" s="347"/>
      <c r="BM24" s="347">
        <v>0.437</v>
      </c>
      <c r="BN24" s="347"/>
      <c r="BP24" s="347">
        <v>0.437</v>
      </c>
      <c r="BQ24" s="347"/>
      <c r="BS24" s="347">
        <v>0.437</v>
      </c>
      <c r="BT24" s="347" t="s">
        <v>442</v>
      </c>
      <c r="BV24" s="347">
        <v>0.437</v>
      </c>
      <c r="BW24" s="347" t="s">
        <v>442</v>
      </c>
      <c r="CD24" s="300"/>
      <c r="CE24" s="300"/>
      <c r="CF24" s="300"/>
      <c r="CG24" s="300"/>
      <c r="CH24" s="300"/>
      <c r="CI24" s="300"/>
      <c r="CJ24" s="193"/>
      <c r="CK24" s="194"/>
      <c r="CL24" s="194"/>
      <c r="CM24" s="194"/>
      <c r="CN24" s="194"/>
      <c r="CO24" s="194"/>
      <c r="CP24" s="194"/>
      <c r="CQ24" s="195"/>
      <c r="CR24" s="300"/>
      <c r="CS24" s="193"/>
      <c r="CT24" s="194"/>
      <c r="CU24" s="194"/>
      <c r="CV24" s="194"/>
      <c r="CW24" s="194"/>
      <c r="CX24" s="194"/>
      <c r="CY24" s="194"/>
      <c r="CZ24" s="194"/>
      <c r="DA24" s="195"/>
      <c r="DB24" s="1752"/>
      <c r="DC24" s="1386"/>
      <c r="DD24" s="1386"/>
      <c r="DE24" s="1386"/>
      <c r="DF24" s="1386"/>
      <c r="DJ24" s="347">
        <v>200</v>
      </c>
      <c r="DK24" s="347">
        <v>0.34899999999999998</v>
      </c>
      <c r="FG24" s="1742" t="s">
        <v>1259</v>
      </c>
      <c r="FH24" s="1742"/>
      <c r="FI24" s="1742"/>
      <c r="FJ24" s="1742"/>
      <c r="FK24" s="1742"/>
      <c r="FL24" s="1742"/>
      <c r="FM24" s="348" t="s">
        <v>1252</v>
      </c>
      <c r="FN24" s="348">
        <v>1.8</v>
      </c>
      <c r="FO24" s="10"/>
    </row>
    <row r="25" spans="2:171" ht="48.75" customHeight="1">
      <c r="B25" s="275">
        <v>15</v>
      </c>
      <c r="C25" s="275">
        <v>55</v>
      </c>
      <c r="D25" s="1033">
        <f t="shared" si="0"/>
        <v>225</v>
      </c>
      <c r="E25" s="1033"/>
      <c r="F25" s="1033">
        <f t="shared" si="1"/>
        <v>225</v>
      </c>
      <c r="G25" s="1033"/>
      <c r="H25" s="1033">
        <f t="shared" si="2"/>
        <v>250</v>
      </c>
      <c r="I25" s="1033"/>
      <c r="J25" s="1033">
        <f t="shared" si="3"/>
        <v>280</v>
      </c>
      <c r="K25" s="1033"/>
      <c r="L25" s="1385">
        <f t="shared" si="4"/>
        <v>315</v>
      </c>
      <c r="M25" s="1385"/>
      <c r="N25" s="1385">
        <f t="shared" si="5"/>
        <v>315</v>
      </c>
      <c r="O25" s="1385"/>
      <c r="P25" s="193"/>
      <c r="Q25" s="194"/>
      <c r="R25" s="194"/>
      <c r="S25" s="194"/>
      <c r="T25" s="194"/>
      <c r="U25" s="194"/>
      <c r="V25" s="195"/>
      <c r="BD25" s="347">
        <v>180</v>
      </c>
      <c r="BE25" s="347">
        <v>0.313</v>
      </c>
      <c r="BG25" s="347">
        <v>0.53</v>
      </c>
      <c r="BH25" s="347"/>
      <c r="BI25" s="11"/>
      <c r="BJ25" s="347">
        <v>0.53</v>
      </c>
      <c r="BK25" s="347"/>
      <c r="BM25" s="347">
        <v>0.53</v>
      </c>
      <c r="BN25" s="347"/>
      <c r="BP25" s="347">
        <v>0.53</v>
      </c>
      <c r="BQ25" s="347"/>
      <c r="BS25" s="347">
        <v>0.53</v>
      </c>
      <c r="BT25" s="347"/>
      <c r="BV25" s="347">
        <v>0.53</v>
      </c>
      <c r="BW25" s="347"/>
      <c r="CG25" s="300"/>
      <c r="CH25" s="300"/>
      <c r="CI25" s="300"/>
      <c r="CJ25" s="193"/>
      <c r="CK25" s="194"/>
      <c r="CL25" s="194"/>
      <c r="CM25" s="194"/>
      <c r="CN25" s="194"/>
      <c r="CO25" s="194"/>
      <c r="CP25" s="194"/>
      <c r="CQ25" s="195"/>
      <c r="CR25" s="300"/>
      <c r="CS25" s="193"/>
      <c r="CT25" s="194"/>
      <c r="CU25" s="194"/>
      <c r="CV25" s="194"/>
      <c r="CW25" s="194"/>
      <c r="CX25" s="194"/>
      <c r="CY25" s="194"/>
      <c r="CZ25" s="194"/>
      <c r="DA25" s="195"/>
      <c r="DB25" s="1752"/>
      <c r="DC25" s="1386"/>
      <c r="DD25" s="1386"/>
      <c r="DE25" s="1386"/>
      <c r="DF25" s="1386"/>
      <c r="DJ25" s="347">
        <v>225</v>
      </c>
      <c r="DK25" s="347">
        <v>0.39200000000000002</v>
      </c>
      <c r="EU25" s="300"/>
      <c r="EV25" s="300"/>
      <c r="FG25" s="1742" t="s">
        <v>1259</v>
      </c>
      <c r="FH25" s="1742"/>
      <c r="FI25" s="1742"/>
      <c r="FJ25" s="1742"/>
      <c r="FK25" s="1742"/>
      <c r="FL25" s="1742"/>
      <c r="FM25" s="348" t="s">
        <v>1253</v>
      </c>
      <c r="FN25" s="348">
        <v>0.4</v>
      </c>
      <c r="FO25" s="10"/>
    </row>
    <row r="26" spans="2:171" ht="48.75" customHeight="1">
      <c r="B26" s="275">
        <v>16</v>
      </c>
      <c r="C26" s="275">
        <v>75</v>
      </c>
      <c r="D26" s="1033">
        <f t="shared" si="0"/>
        <v>250</v>
      </c>
      <c r="E26" s="1033"/>
      <c r="F26" s="1033">
        <f t="shared" si="1"/>
        <v>250</v>
      </c>
      <c r="G26" s="1033"/>
      <c r="H26" s="1033">
        <f t="shared" si="2"/>
        <v>280</v>
      </c>
      <c r="I26" s="1033"/>
      <c r="J26" s="1033">
        <f t="shared" si="3"/>
        <v>280</v>
      </c>
      <c r="K26" s="1033"/>
      <c r="L26" s="1385">
        <f t="shared" si="4"/>
        <v>315</v>
      </c>
      <c r="M26" s="1385"/>
      <c r="N26" s="1385">
        <f t="shared" si="5"/>
        <v>355</v>
      </c>
      <c r="O26" s="1385"/>
      <c r="P26" s="193"/>
      <c r="Q26" s="194"/>
      <c r="R26" s="194"/>
      <c r="S26" s="194"/>
      <c r="T26" s="194"/>
      <c r="U26" s="194"/>
      <c r="V26" s="195"/>
      <c r="BD26" s="347">
        <v>200</v>
      </c>
      <c r="BE26" s="347">
        <v>0.34899999999999998</v>
      </c>
      <c r="BG26" s="347">
        <v>0.59</v>
      </c>
      <c r="BH26" s="347"/>
      <c r="BI26" s="11"/>
      <c r="BJ26" s="347">
        <v>0.59</v>
      </c>
      <c r="BK26" s="347"/>
      <c r="BM26" s="347">
        <v>0.59</v>
      </c>
      <c r="BN26" s="347"/>
      <c r="BP26" s="347">
        <v>0.59</v>
      </c>
      <c r="BQ26" s="347"/>
      <c r="BS26" s="347">
        <v>0.59</v>
      </c>
      <c r="BT26" s="347"/>
      <c r="BV26" s="347">
        <v>0.59</v>
      </c>
      <c r="BW26" s="347"/>
      <c r="CG26" s="300"/>
      <c r="CH26" s="300"/>
      <c r="CI26" s="300"/>
      <c r="CJ26" s="94"/>
      <c r="CK26" s="95"/>
      <c r="CL26" s="95"/>
      <c r="CM26" s="95"/>
      <c r="CN26" s="95"/>
      <c r="CO26" s="95"/>
      <c r="CP26" s="95"/>
      <c r="CQ26" s="96"/>
      <c r="CR26" s="300"/>
      <c r="CS26" s="94"/>
      <c r="CT26" s="95"/>
      <c r="CU26" s="95"/>
      <c r="CV26" s="95"/>
      <c r="CW26" s="95"/>
      <c r="CX26" s="95"/>
      <c r="CY26" s="95"/>
      <c r="CZ26" s="95"/>
      <c r="DA26" s="96"/>
      <c r="DB26" s="1752"/>
      <c r="DC26" s="1386"/>
      <c r="DD26" s="1386"/>
      <c r="DE26" s="1386"/>
      <c r="DF26" s="1386"/>
      <c r="DJ26" s="347">
        <v>250</v>
      </c>
      <c r="DK26" s="347">
        <v>0.437</v>
      </c>
      <c r="EU26" s="300"/>
      <c r="EV26" s="300"/>
      <c r="FG26" s="1742" t="s">
        <v>1259</v>
      </c>
      <c r="FH26" s="1742"/>
      <c r="FI26" s="1742"/>
      <c r="FJ26" s="1742"/>
      <c r="FK26" s="1742"/>
      <c r="FL26" s="1742"/>
      <c r="FM26" s="348" t="s">
        <v>1254</v>
      </c>
      <c r="FN26" s="348">
        <v>2</v>
      </c>
      <c r="FO26" s="10"/>
    </row>
    <row r="27" spans="2:171" ht="48.75" customHeight="1">
      <c r="B27" s="275">
        <v>17</v>
      </c>
      <c r="C27" s="275">
        <v>90</v>
      </c>
      <c r="D27" s="1033">
        <f t="shared" si="0"/>
        <v>250</v>
      </c>
      <c r="E27" s="1033"/>
      <c r="F27" s="1033">
        <f t="shared" si="1"/>
        <v>250</v>
      </c>
      <c r="G27" s="1033"/>
      <c r="H27" s="1033">
        <f t="shared" si="2"/>
        <v>280</v>
      </c>
      <c r="I27" s="1033"/>
      <c r="J27" s="1033">
        <f t="shared" si="3"/>
        <v>315</v>
      </c>
      <c r="K27" s="1033"/>
      <c r="L27" s="1385">
        <f t="shared" si="4"/>
        <v>355</v>
      </c>
      <c r="M27" s="1385"/>
      <c r="N27" s="1385">
        <f t="shared" si="5"/>
        <v>355</v>
      </c>
      <c r="O27" s="1385"/>
      <c r="P27" s="193"/>
      <c r="Q27" s="194"/>
      <c r="R27" s="194"/>
      <c r="S27" s="194"/>
      <c r="T27" s="194"/>
      <c r="U27" s="194"/>
      <c r="V27" s="195"/>
      <c r="BD27" s="347">
        <v>225</v>
      </c>
      <c r="BE27" s="347">
        <v>0.39200000000000002</v>
      </c>
      <c r="BG27" s="347">
        <v>0.66</v>
      </c>
      <c r="BH27" s="347"/>
      <c r="BI27" s="11"/>
      <c r="BJ27" s="347">
        <v>0.66</v>
      </c>
      <c r="BK27" s="347"/>
      <c r="BM27" s="347">
        <v>0.66</v>
      </c>
      <c r="BN27" s="347"/>
      <c r="BP27" s="347">
        <v>0.66</v>
      </c>
      <c r="BQ27" s="347"/>
      <c r="BS27" s="347">
        <v>0.66</v>
      </c>
      <c r="BT27" s="347"/>
      <c r="BV27" s="347">
        <v>0.66</v>
      </c>
      <c r="BW27" s="347"/>
      <c r="CG27" s="300"/>
      <c r="CH27" s="300"/>
      <c r="CI27" s="300"/>
      <c r="CJ27" s="300"/>
      <c r="CK27" s="300"/>
      <c r="CL27" s="300"/>
      <c r="CM27" s="300"/>
      <c r="CN27" s="300"/>
      <c r="CO27" s="300"/>
      <c r="CP27" s="300"/>
      <c r="CQ27" s="300"/>
      <c r="CR27" s="300"/>
      <c r="CS27" s="300"/>
      <c r="CT27" s="300"/>
      <c r="CU27" s="300"/>
      <c r="CV27" s="300"/>
      <c r="CW27" s="300"/>
      <c r="DJ27" s="347">
        <v>280</v>
      </c>
      <c r="DK27" s="347">
        <v>0.53</v>
      </c>
      <c r="EU27" s="300"/>
      <c r="EV27" s="300"/>
      <c r="FG27" s="1742" t="s">
        <v>1259</v>
      </c>
      <c r="FH27" s="1742"/>
      <c r="FI27" s="1742"/>
      <c r="FJ27" s="1742"/>
      <c r="FK27" s="1742"/>
      <c r="FL27" s="1742"/>
      <c r="FM27" s="348" t="s">
        <v>1255</v>
      </c>
      <c r="FN27" s="348">
        <v>12</v>
      </c>
      <c r="FO27" s="350"/>
    </row>
    <row r="28" spans="2:171" ht="48.75" customHeight="1">
      <c r="B28" s="275">
        <v>18</v>
      </c>
      <c r="C28" s="275">
        <v>110</v>
      </c>
      <c r="D28" s="1033">
        <f t="shared" si="0"/>
        <v>250</v>
      </c>
      <c r="E28" s="1033"/>
      <c r="F28" s="1033">
        <f t="shared" si="1"/>
        <v>280</v>
      </c>
      <c r="G28" s="1033"/>
      <c r="H28" s="1033">
        <f t="shared" si="2"/>
        <v>315</v>
      </c>
      <c r="I28" s="1033"/>
      <c r="J28" s="1033">
        <f t="shared" si="3"/>
        <v>315</v>
      </c>
      <c r="K28" s="1033"/>
      <c r="L28" s="1385">
        <f t="shared" si="4"/>
        <v>355</v>
      </c>
      <c r="M28" s="1385"/>
      <c r="N28" s="1385" t="str">
        <f t="shared" si="5"/>
        <v>нет значений данной функции</v>
      </c>
      <c r="O28" s="1385"/>
      <c r="P28" s="193"/>
      <c r="Q28" s="194"/>
      <c r="R28" s="194"/>
      <c r="S28" s="194"/>
      <c r="T28" s="194"/>
      <c r="U28" s="194"/>
      <c r="V28" s="195"/>
      <c r="BD28" s="347">
        <v>250</v>
      </c>
      <c r="BE28" s="347">
        <v>0.437</v>
      </c>
      <c r="CG28" s="300"/>
      <c r="CH28" s="300"/>
      <c r="CI28" s="300"/>
      <c r="CJ28" s="300"/>
      <c r="CK28" s="300"/>
      <c r="CL28" s="300"/>
      <c r="CM28" s="300"/>
      <c r="CN28" s="300"/>
      <c r="CO28" s="300"/>
      <c r="CP28" s="300"/>
      <c r="CQ28" s="300"/>
      <c r="CR28" s="300"/>
      <c r="CS28" s="1385" t="s">
        <v>1281</v>
      </c>
      <c r="CT28" s="1385"/>
      <c r="CU28" s="1385"/>
      <c r="CV28" s="1385"/>
      <c r="CW28" s="1385"/>
      <c r="CX28" s="1385"/>
      <c r="CY28" s="1385"/>
      <c r="CZ28" s="1385"/>
      <c r="DA28" s="1385"/>
      <c r="DB28" s="1385"/>
      <c r="DC28" s="1385"/>
      <c r="DD28" s="1385"/>
      <c r="DE28" s="1385"/>
      <c r="DF28" s="1073"/>
      <c r="DJ28" s="347">
        <v>315</v>
      </c>
      <c r="DK28" s="347">
        <v>0.59</v>
      </c>
      <c r="EU28" s="300"/>
      <c r="EV28" s="300"/>
      <c r="FG28" s="1742" t="s">
        <v>1259</v>
      </c>
      <c r="FH28" s="1742"/>
      <c r="FI28" s="1742"/>
      <c r="FJ28" s="1742"/>
      <c r="FK28" s="1742"/>
      <c r="FL28" s="1742"/>
      <c r="FM28" s="348" t="s">
        <v>1256</v>
      </c>
      <c r="FN28" s="348">
        <v>0</v>
      </c>
      <c r="FO28" s="350"/>
    </row>
    <row r="29" spans="2:171" ht="48.75" customHeight="1">
      <c r="B29" s="275">
        <v>19</v>
      </c>
      <c r="C29" s="275">
        <v>132</v>
      </c>
      <c r="D29" s="1033">
        <f t="shared" si="0"/>
        <v>280</v>
      </c>
      <c r="E29" s="1033"/>
      <c r="F29" s="1033">
        <f t="shared" si="1"/>
        <v>280</v>
      </c>
      <c r="G29" s="1033"/>
      <c r="H29" s="1033">
        <f t="shared" si="2"/>
        <v>315</v>
      </c>
      <c r="I29" s="1033"/>
      <c r="J29" s="1033">
        <f t="shared" si="3"/>
        <v>355</v>
      </c>
      <c r="K29" s="1033"/>
      <c r="L29" s="1385" t="str">
        <f t="shared" si="4"/>
        <v>нет значений данной функции</v>
      </c>
      <c r="M29" s="1385"/>
      <c r="N29" s="1385" t="str">
        <f t="shared" si="5"/>
        <v>нет значений данной функции</v>
      </c>
      <c r="O29" s="1385"/>
      <c r="P29" s="193"/>
      <c r="Q29" s="194"/>
      <c r="R29" s="194"/>
      <c r="S29" s="194"/>
      <c r="T29" s="194"/>
      <c r="U29" s="194"/>
      <c r="V29" s="195"/>
      <c r="BD29" s="347">
        <v>280</v>
      </c>
      <c r="BE29" s="347">
        <v>0.53</v>
      </c>
      <c r="BG29" s="1405" t="s">
        <v>1282</v>
      </c>
      <c r="BH29" s="1407"/>
      <c r="BI29" s="11"/>
      <c r="BJ29" s="1405" t="s">
        <v>1283</v>
      </c>
      <c r="BK29" s="1407"/>
      <c r="BM29" s="1405" t="s">
        <v>1284</v>
      </c>
      <c r="BN29" s="1407"/>
      <c r="BP29" s="1405" t="s">
        <v>1285</v>
      </c>
      <c r="BQ29" s="1407"/>
      <c r="BR29" s="300"/>
      <c r="BS29" s="1405" t="s">
        <v>1286</v>
      </c>
      <c r="BT29" s="1407"/>
      <c r="BV29" s="1405" t="s">
        <v>1287</v>
      </c>
      <c r="BW29" s="1407"/>
      <c r="CS29" s="1385"/>
      <c r="CT29" s="1385"/>
      <c r="CU29" s="1385"/>
      <c r="CV29" s="1385"/>
      <c r="CW29" s="1385"/>
      <c r="CX29" s="1385"/>
      <c r="CY29" s="1385"/>
      <c r="CZ29" s="1385"/>
      <c r="DA29" s="1385"/>
      <c r="DB29" s="1385"/>
      <c r="DC29" s="1385"/>
      <c r="DD29" s="1385"/>
      <c r="DE29" s="1385"/>
      <c r="DF29" s="1072"/>
      <c r="DJ29" s="347">
        <v>355</v>
      </c>
      <c r="DK29" s="347">
        <v>0.66</v>
      </c>
      <c r="EU29" s="300"/>
      <c r="EV29" s="300"/>
      <c r="FG29" s="1743" t="s">
        <v>1260</v>
      </c>
      <c r="FH29" s="1744"/>
      <c r="FI29" s="1744"/>
      <c r="FJ29" s="1744"/>
      <c r="FK29" s="1744"/>
      <c r="FL29" s="1744"/>
      <c r="FM29" s="349">
        <v>2</v>
      </c>
      <c r="FN29" s="349"/>
      <c r="FO29" s="350"/>
    </row>
    <row r="30" spans="2:171" ht="48.75" customHeight="1">
      <c r="B30" s="275">
        <v>20</v>
      </c>
      <c r="C30" s="275">
        <v>160</v>
      </c>
      <c r="D30" s="1033">
        <f t="shared" si="0"/>
        <v>315</v>
      </c>
      <c r="E30" s="1033"/>
      <c r="F30" s="1033">
        <f t="shared" si="1"/>
        <v>315</v>
      </c>
      <c r="G30" s="1033"/>
      <c r="H30" s="1033">
        <f t="shared" si="2"/>
        <v>355</v>
      </c>
      <c r="I30" s="1033"/>
      <c r="J30" s="1033">
        <f t="shared" si="3"/>
        <v>355</v>
      </c>
      <c r="K30" s="1033"/>
      <c r="L30" s="1385" t="str">
        <f t="shared" si="4"/>
        <v>нет значений данной функции</v>
      </c>
      <c r="M30" s="1385"/>
      <c r="N30" s="1385" t="str">
        <f t="shared" si="5"/>
        <v>нет значений данной функции</v>
      </c>
      <c r="O30" s="1385"/>
      <c r="P30" s="193"/>
      <c r="Q30" s="194"/>
      <c r="R30" s="194"/>
      <c r="S30" s="194"/>
      <c r="T30" s="194"/>
      <c r="U30" s="194"/>
      <c r="V30" s="195"/>
      <c r="BD30" s="347">
        <v>315</v>
      </c>
      <c r="BE30" s="347">
        <v>0.59</v>
      </c>
      <c r="BG30" s="345" t="s">
        <v>749</v>
      </c>
      <c r="BH30" s="354" t="s">
        <v>790</v>
      </c>
      <c r="BI30" s="11"/>
      <c r="BJ30" s="345" t="s">
        <v>749</v>
      </c>
      <c r="BK30" s="354" t="s">
        <v>790</v>
      </c>
      <c r="BM30" s="345" t="s">
        <v>749</v>
      </c>
      <c r="BN30" s="354" t="s">
        <v>790</v>
      </c>
      <c r="BP30" s="345" t="s">
        <v>749</v>
      </c>
      <c r="BQ30" s="354" t="s">
        <v>790</v>
      </c>
      <c r="BR30" s="300"/>
      <c r="BS30" s="345" t="s">
        <v>749</v>
      </c>
      <c r="BT30" s="354" t="s">
        <v>790</v>
      </c>
      <c r="BV30" s="345" t="s">
        <v>749</v>
      </c>
      <c r="BW30" s="354" t="s">
        <v>790</v>
      </c>
      <c r="CS30" s="1386"/>
      <c r="CT30" s="1386"/>
      <c r="CU30" s="1386"/>
      <c r="CV30" s="1386"/>
      <c r="CW30" s="1386"/>
      <c r="CX30" s="1386"/>
      <c r="CY30" s="1386"/>
      <c r="CZ30" s="1386"/>
      <c r="DA30" s="1386"/>
      <c r="DB30" s="1752"/>
      <c r="DC30" s="1386"/>
      <c r="DD30" s="1386"/>
      <c r="DE30" s="1386"/>
      <c r="DF30" s="1386"/>
      <c r="EV30" s="300"/>
      <c r="FG30" s="10"/>
      <c r="FH30" s="217"/>
      <c r="FI30" s="217"/>
      <c r="FJ30" s="140"/>
      <c r="FK30" s="140"/>
      <c r="FL30" s="140"/>
      <c r="FM30" s="350"/>
      <c r="FN30" s="10"/>
      <c r="FO30" s="350"/>
    </row>
    <row r="31" spans="2:171" ht="48.75" customHeight="1">
      <c r="B31" s="275">
        <v>21</v>
      </c>
      <c r="C31" s="275">
        <v>200</v>
      </c>
      <c r="D31" s="1033">
        <f t="shared" si="0"/>
        <v>315</v>
      </c>
      <c r="E31" s="1033"/>
      <c r="F31" s="1033">
        <f t="shared" si="1"/>
        <v>315</v>
      </c>
      <c r="G31" s="1033"/>
      <c r="H31" s="1033">
        <f t="shared" si="2"/>
        <v>355</v>
      </c>
      <c r="I31" s="1033"/>
      <c r="J31" s="710" t="str">
        <f t="shared" si="3"/>
        <v>нет значений данной функции</v>
      </c>
      <c r="K31" s="711"/>
      <c r="L31" s="1385" t="str">
        <f t="shared" si="4"/>
        <v>нет значений данной функции</v>
      </c>
      <c r="M31" s="1385"/>
      <c r="N31" s="1385" t="str">
        <f t="shared" si="5"/>
        <v>нет значений данной функции</v>
      </c>
      <c r="O31" s="1385"/>
      <c r="P31" s="193"/>
      <c r="Q31" s="194"/>
      <c r="R31" s="194"/>
      <c r="S31" s="194"/>
      <c r="T31" s="194"/>
      <c r="U31" s="194"/>
      <c r="V31" s="195"/>
      <c r="BD31" s="347">
        <v>355</v>
      </c>
      <c r="BE31" s="347">
        <v>0.66</v>
      </c>
      <c r="BG31" s="347">
        <v>8.8999999999999996E-2</v>
      </c>
      <c r="BH31" s="347" t="s">
        <v>442</v>
      </c>
      <c r="BI31" s="11"/>
      <c r="BJ31" s="347">
        <v>8.8999999999999996E-2</v>
      </c>
      <c r="BK31" s="347" t="s">
        <v>442</v>
      </c>
      <c r="BM31" s="347">
        <v>8.8999999999999996E-2</v>
      </c>
      <c r="BN31" s="347" t="s">
        <v>442</v>
      </c>
      <c r="BP31" s="347">
        <v>8.8999999999999996E-2</v>
      </c>
      <c r="BQ31" s="347" t="s">
        <v>442</v>
      </c>
      <c r="BR31" s="300"/>
      <c r="BS31" s="347">
        <v>8.8999999999999996E-2</v>
      </c>
      <c r="BT31" s="347" t="s">
        <v>442</v>
      </c>
      <c r="BV31" s="347">
        <v>8.8999999999999996E-2</v>
      </c>
      <c r="BW31" s="347" t="s">
        <v>442</v>
      </c>
      <c r="CS31" s="1386"/>
      <c r="CT31" s="1386"/>
      <c r="CU31" s="1386"/>
      <c r="CV31" s="1386"/>
      <c r="CW31" s="1386"/>
      <c r="CX31" s="1386"/>
      <c r="CY31" s="1386"/>
      <c r="CZ31" s="1386"/>
      <c r="DA31" s="1386"/>
      <c r="DB31" s="1752"/>
      <c r="DC31" s="1386"/>
      <c r="DD31" s="1386"/>
      <c r="DE31" s="1386"/>
      <c r="DF31" s="1386"/>
      <c r="EV31" s="300"/>
      <c r="FG31" s="278">
        <v>2</v>
      </c>
      <c r="FH31" s="278">
        <v>6</v>
      </c>
      <c r="FI31" s="278">
        <v>0.08</v>
      </c>
      <c r="FJ31" s="278">
        <f>(31*((FI31*3)^(1/2)))</f>
        <v>15.186836405255704</v>
      </c>
      <c r="FK31" s="278">
        <f>(34*((FI31*12)^(1/2)))</f>
        <v>33.313060501851218</v>
      </c>
      <c r="FL31" s="278">
        <f>(40*((FI31*3)^(1/2)))</f>
        <v>19.595917942265423</v>
      </c>
      <c r="FM31" s="278">
        <f>FI31*2/((((FI31+0.02)*12)^(1/2)))</f>
        <v>0.14605934866804429</v>
      </c>
      <c r="FN31" s="278">
        <f t="shared" ref="FN31:FN63" si="6">(((FI31*$FN$22-$FM$29*FI31)^(1/2)))*$FN$23</f>
        <v>5.3665631459994954</v>
      </c>
      <c r="FO31" s="278">
        <f t="shared" ref="FO31:FO63" si="7">$FN$24*(($FN$26*FG31+(($FN$27*FG31^2)/(FG31)))/((((FG31^2+FH31^2))^0.5)/$FN$25)+FN31)+$FN$28</f>
        <v>12.847389544248818</v>
      </c>
    </row>
    <row r="32" spans="2:171" ht="48.75" customHeight="1">
      <c r="B32" s="275">
        <v>22</v>
      </c>
      <c r="C32" s="275">
        <v>250</v>
      </c>
      <c r="D32" s="1033">
        <f t="shared" si="0"/>
        <v>355</v>
      </c>
      <c r="E32" s="1033"/>
      <c r="F32" s="1033">
        <f t="shared" si="1"/>
        <v>355</v>
      </c>
      <c r="G32" s="1033"/>
      <c r="H32" s="1385" t="str">
        <f t="shared" si="2"/>
        <v>нет значений данной функции</v>
      </c>
      <c r="I32" s="1385"/>
      <c r="J32" s="1385" t="str">
        <f t="shared" si="3"/>
        <v>нет значений данной функции</v>
      </c>
      <c r="K32" s="1385"/>
      <c r="L32" s="1385" t="str">
        <f t="shared" si="4"/>
        <v>нет значений данной функции</v>
      </c>
      <c r="M32" s="1385"/>
      <c r="N32" s="1385" t="str">
        <f t="shared" si="5"/>
        <v>нет значений данной функции</v>
      </c>
      <c r="O32" s="1385"/>
      <c r="P32" s="193"/>
      <c r="Q32" s="194"/>
      <c r="R32" s="194"/>
      <c r="S32" s="194"/>
      <c r="T32" s="194"/>
      <c r="U32" s="194"/>
      <c r="V32" s="195"/>
      <c r="BG32" s="347">
        <v>0.1</v>
      </c>
      <c r="BH32" s="347" t="s">
        <v>442</v>
      </c>
      <c r="BI32" s="11"/>
      <c r="BJ32" s="347">
        <v>0.1</v>
      </c>
      <c r="BK32" s="347" t="s">
        <v>442</v>
      </c>
      <c r="BM32" s="347">
        <v>0.1</v>
      </c>
      <c r="BN32" s="347" t="s">
        <v>442</v>
      </c>
      <c r="BP32" s="347">
        <v>0.1</v>
      </c>
      <c r="BQ32" s="347" t="s">
        <v>442</v>
      </c>
      <c r="BR32" s="300"/>
      <c r="BS32" s="347">
        <v>0.1</v>
      </c>
      <c r="BT32" s="347" t="s">
        <v>442</v>
      </c>
      <c r="BV32" s="347">
        <v>0.1</v>
      </c>
      <c r="BW32" s="347" t="s">
        <v>442</v>
      </c>
      <c r="CS32" s="1386"/>
      <c r="CT32" s="1386"/>
      <c r="CU32" s="1386"/>
      <c r="CV32" s="1386"/>
      <c r="CW32" s="1386"/>
      <c r="CX32" s="1386"/>
      <c r="CY32" s="1386"/>
      <c r="CZ32" s="1386"/>
      <c r="DA32" s="1386"/>
      <c r="DB32" s="1752"/>
      <c r="DC32" s="1386"/>
      <c r="DD32" s="1386"/>
      <c r="DE32" s="1386"/>
      <c r="DF32" s="1386"/>
      <c r="EV32" s="300"/>
      <c r="FG32" s="278">
        <v>5</v>
      </c>
      <c r="FH32" s="278">
        <v>5.8</v>
      </c>
      <c r="FI32" s="278">
        <v>0.09</v>
      </c>
      <c r="FJ32" s="278">
        <f t="shared" ref="FJ32:FJ63" si="8">(31*((FI32*3)^(1/2)))</f>
        <v>16.10807251039056</v>
      </c>
      <c r="FK32" s="278">
        <f t="shared" ref="FK32:FK63" si="9">(34*((FI32*12)^(1/2)))</f>
        <v>35.333836474405103</v>
      </c>
      <c r="FL32" s="278">
        <f t="shared" ref="FL32:FL63" si="10">(40*((FI32*3)^(1/2)))</f>
        <v>20.784609690826528</v>
      </c>
      <c r="FM32" s="278">
        <f t="shared" ref="FM32:FM63" si="11">FI32*2/((((FI32+0.02)*12)^(1/2)))</f>
        <v>0.15666989036012804</v>
      </c>
      <c r="FN32" s="278">
        <f t="shared" si="6"/>
        <v>5.6920997883030831</v>
      </c>
      <c r="FO32" s="278">
        <f t="shared" si="7"/>
        <v>16.827411009405736</v>
      </c>
    </row>
    <row r="33" spans="2:171" ht="48.75" customHeight="1">
      <c r="B33" s="275">
        <v>23</v>
      </c>
      <c r="C33" s="275">
        <v>315</v>
      </c>
      <c r="D33" s="1033">
        <f t="shared" si="0"/>
        <v>355</v>
      </c>
      <c r="E33" s="1033"/>
      <c r="F33" s="1033">
        <f t="shared" si="1"/>
        <v>355</v>
      </c>
      <c r="G33" s="1033"/>
      <c r="H33" s="1385" t="str">
        <f t="shared" si="2"/>
        <v>нет значений данной функции</v>
      </c>
      <c r="I33" s="1385"/>
      <c r="J33" s="1385" t="str">
        <f t="shared" si="3"/>
        <v>нет значений данной функции</v>
      </c>
      <c r="K33" s="1385"/>
      <c r="L33" s="1385" t="str">
        <f t="shared" si="4"/>
        <v>нет значений данной функции</v>
      </c>
      <c r="M33" s="1385"/>
      <c r="N33" s="1385" t="str">
        <f t="shared" si="5"/>
        <v>нет значений данной функции</v>
      </c>
      <c r="O33" s="1385"/>
      <c r="P33" s="193"/>
      <c r="Q33" s="194"/>
      <c r="R33" s="194"/>
      <c r="S33" s="194"/>
      <c r="T33" s="194"/>
      <c r="U33" s="194"/>
      <c r="V33" s="195"/>
      <c r="AP33" s="300"/>
      <c r="AQ33" s="300"/>
      <c r="BG33" s="347">
        <v>0.11600000000000001</v>
      </c>
      <c r="BH33" s="347" t="s">
        <v>442</v>
      </c>
      <c r="BI33" s="11"/>
      <c r="BJ33" s="347">
        <v>0.11600000000000001</v>
      </c>
      <c r="BK33" s="347" t="s">
        <v>442</v>
      </c>
      <c r="BM33" s="347">
        <v>0.11600000000000001</v>
      </c>
      <c r="BN33" s="347" t="s">
        <v>442</v>
      </c>
      <c r="BP33" s="347">
        <v>0.11600000000000001</v>
      </c>
      <c r="BQ33" s="347" t="s">
        <v>442</v>
      </c>
      <c r="BS33" s="347">
        <v>0.11600000000000001</v>
      </c>
      <c r="BT33" s="347" t="s">
        <v>442</v>
      </c>
      <c r="BV33" s="347">
        <v>0.11600000000000001</v>
      </c>
      <c r="BW33" s="347" t="s">
        <v>442</v>
      </c>
      <c r="CS33" s="1386"/>
      <c r="CT33" s="1386"/>
      <c r="CU33" s="1386"/>
      <c r="CV33" s="1386"/>
      <c r="CW33" s="1386"/>
      <c r="CX33" s="1386"/>
      <c r="CY33" s="1386"/>
      <c r="CZ33" s="1386"/>
      <c r="DA33" s="1386"/>
      <c r="DB33" s="1752"/>
      <c r="DC33" s="1386"/>
      <c r="DD33" s="1386"/>
      <c r="DE33" s="1386"/>
      <c r="DF33" s="1386"/>
      <c r="EV33" s="300"/>
      <c r="FG33" s="278">
        <v>8</v>
      </c>
      <c r="FH33" s="278">
        <v>5.6</v>
      </c>
      <c r="FI33" s="278">
        <v>0.1</v>
      </c>
      <c r="FJ33" s="278">
        <f t="shared" si="8"/>
        <v>16.97939928266015</v>
      </c>
      <c r="FK33" s="278">
        <f t="shared" si="9"/>
        <v>37.245133910351299</v>
      </c>
      <c r="FL33" s="278">
        <f t="shared" si="10"/>
        <v>21.908902300206648</v>
      </c>
      <c r="FM33" s="278">
        <f t="shared" si="11"/>
        <v>0.16666666666666666</v>
      </c>
      <c r="FN33" s="278">
        <f t="shared" si="6"/>
        <v>6</v>
      </c>
      <c r="FO33" s="278">
        <f t="shared" si="7"/>
        <v>19.057857758831926</v>
      </c>
    </row>
    <row r="34" spans="2:171" ht="48.75" customHeight="1">
      <c r="B34" s="275">
        <v>24</v>
      </c>
      <c r="C34" s="275">
        <v>400</v>
      </c>
      <c r="D34" s="710" t="str">
        <f t="shared" si="0"/>
        <v>нет значений данной функции</v>
      </c>
      <c r="E34" s="711"/>
      <c r="F34" s="710" t="str">
        <f t="shared" si="1"/>
        <v>нет значений данной функции</v>
      </c>
      <c r="G34" s="711"/>
      <c r="H34" s="1385" t="str">
        <f t="shared" si="2"/>
        <v>нет значений данной функции</v>
      </c>
      <c r="I34" s="1385"/>
      <c r="J34" s="1385" t="str">
        <f t="shared" si="3"/>
        <v>нет значений данной функции</v>
      </c>
      <c r="K34" s="1385"/>
      <c r="L34" s="1385" t="str">
        <f t="shared" si="4"/>
        <v>нет значений данной функции</v>
      </c>
      <c r="M34" s="1385"/>
      <c r="N34" s="1385" t="str">
        <f t="shared" si="5"/>
        <v>нет значений данной функции</v>
      </c>
      <c r="O34" s="1385"/>
      <c r="P34" s="94"/>
      <c r="Q34" s="95"/>
      <c r="R34" s="95"/>
      <c r="S34" s="95"/>
      <c r="T34" s="95"/>
      <c r="U34" s="95"/>
      <c r="V34" s="96"/>
      <c r="AP34" s="300"/>
      <c r="AQ34" s="300"/>
      <c r="AR34" s="710" t="s">
        <v>764</v>
      </c>
      <c r="AS34" s="1714"/>
      <c r="AT34" s="1714"/>
      <c r="AU34" s="1714"/>
      <c r="AV34" s="1714"/>
      <c r="AW34" s="1714"/>
      <c r="AX34" s="711"/>
      <c r="AY34" s="114"/>
      <c r="AZ34" s="300"/>
      <c r="BA34" s="300"/>
      <c r="BG34" s="347">
        <v>0.13100000000000001</v>
      </c>
      <c r="BH34" s="347" t="s">
        <v>442</v>
      </c>
      <c r="BI34" s="11"/>
      <c r="BJ34" s="347">
        <v>0.13100000000000001</v>
      </c>
      <c r="BK34" s="347" t="s">
        <v>442</v>
      </c>
      <c r="BM34" s="347">
        <v>0.13100000000000001</v>
      </c>
      <c r="BN34" s="347" t="s">
        <v>442</v>
      </c>
      <c r="BP34" s="347">
        <v>0.13100000000000001</v>
      </c>
      <c r="BQ34" s="347" t="s">
        <v>442</v>
      </c>
      <c r="BS34" s="347">
        <v>0.13100000000000001</v>
      </c>
      <c r="BT34" s="347" t="s">
        <v>442</v>
      </c>
      <c r="BV34" s="347">
        <v>0.13100000000000001</v>
      </c>
      <c r="BW34" s="347" t="s">
        <v>442</v>
      </c>
      <c r="CS34" s="1386"/>
      <c r="CT34" s="1386"/>
      <c r="CU34" s="1386"/>
      <c r="CV34" s="1386"/>
      <c r="CW34" s="1386"/>
      <c r="CX34" s="1386"/>
      <c r="CY34" s="1386"/>
      <c r="CZ34" s="1386"/>
      <c r="DA34" s="1386"/>
      <c r="DB34" s="1752"/>
      <c r="DC34" s="1386"/>
      <c r="DD34" s="1386"/>
      <c r="DE34" s="1386"/>
      <c r="DF34" s="1386"/>
      <c r="EV34" s="300"/>
      <c r="FG34" s="278">
        <v>11</v>
      </c>
      <c r="FH34" s="278">
        <v>5.4</v>
      </c>
      <c r="FI34" s="278">
        <v>0.11</v>
      </c>
      <c r="FJ34" s="278">
        <f t="shared" si="8"/>
        <v>17.808144204267887</v>
      </c>
      <c r="FK34" s="278">
        <f t="shared" si="9"/>
        <v>39.063025996458592</v>
      </c>
      <c r="FL34" s="278">
        <f t="shared" si="10"/>
        <v>22.978250586152114</v>
      </c>
      <c r="FM34" s="278">
        <f t="shared" si="11"/>
        <v>0.17614096918559585</v>
      </c>
      <c r="FN34" s="278">
        <f t="shared" si="6"/>
        <v>6.2928530890209098</v>
      </c>
      <c r="FO34" s="278">
        <f t="shared" si="7"/>
        <v>20.375625074700285</v>
      </c>
    </row>
    <row r="35" spans="2:171" ht="48.75" customHeight="1">
      <c r="AP35" s="300"/>
      <c r="AQ35" s="300"/>
      <c r="AR35" s="578" t="s">
        <v>428</v>
      </c>
      <c r="AS35" s="581">
        <f>'Вывод расчетов'!$AW$16</f>
        <v>2</v>
      </c>
      <c r="AT35" s="92"/>
      <c r="AU35" s="92"/>
      <c r="AV35" s="92"/>
      <c r="AW35" s="92"/>
      <c r="AX35" s="92"/>
      <c r="AY35" s="93"/>
      <c r="AZ35" s="300"/>
      <c r="BA35" s="300"/>
      <c r="BB35" s="300"/>
      <c r="BC35" s="300"/>
      <c r="BD35" s="300"/>
      <c r="BG35" s="347">
        <v>0.14899999999999999</v>
      </c>
      <c r="BH35" s="347" t="s">
        <v>442</v>
      </c>
      <c r="BI35" s="11"/>
      <c r="BJ35" s="347">
        <v>0.14899999999999999</v>
      </c>
      <c r="BK35" s="347" t="s">
        <v>442</v>
      </c>
      <c r="BM35" s="347">
        <v>0.14899999999999999</v>
      </c>
      <c r="BN35" s="347" t="s">
        <v>442</v>
      </c>
      <c r="BP35" s="347">
        <v>0.14899999999999999</v>
      </c>
      <c r="BQ35" s="347" t="s">
        <v>442</v>
      </c>
      <c r="BS35" s="347">
        <v>0.14899999999999999</v>
      </c>
      <c r="BT35" s="347" t="s">
        <v>442</v>
      </c>
      <c r="BV35" s="347">
        <v>0.14899999999999999</v>
      </c>
      <c r="BW35" s="347" t="s">
        <v>442</v>
      </c>
      <c r="CS35" s="1386"/>
      <c r="CT35" s="1386"/>
      <c r="CU35" s="1386"/>
      <c r="CV35" s="1386"/>
      <c r="CW35" s="1386"/>
      <c r="CX35" s="1386"/>
      <c r="CY35" s="1386"/>
      <c r="CZ35" s="1386"/>
      <c r="DA35" s="1386"/>
      <c r="DB35" s="1752"/>
      <c r="DC35" s="1386"/>
      <c r="DD35" s="1386"/>
      <c r="DE35" s="1386"/>
      <c r="DF35" s="1386"/>
      <c r="EV35" s="300"/>
      <c r="FG35" s="278">
        <v>14</v>
      </c>
      <c r="FH35" s="278">
        <v>5.2</v>
      </c>
      <c r="FI35" s="278">
        <v>0.12</v>
      </c>
      <c r="FJ35" s="278">
        <f t="shared" si="8"/>
        <v>18.599999999999998</v>
      </c>
      <c r="FK35" s="278">
        <f t="shared" si="9"/>
        <v>40.799999999999997</v>
      </c>
      <c r="FL35" s="278">
        <f t="shared" si="10"/>
        <v>24</v>
      </c>
      <c r="FM35" s="278">
        <f t="shared" si="11"/>
        <v>0.18516401995451029</v>
      </c>
      <c r="FN35" s="278">
        <f t="shared" si="6"/>
        <v>6.5726706900619929</v>
      </c>
      <c r="FO35" s="278">
        <f t="shared" si="7"/>
        <v>21.280053983970024</v>
      </c>
    </row>
    <row r="36" spans="2:171" ht="48.75" customHeight="1">
      <c r="AQ36" s="300"/>
      <c r="AR36" s="91"/>
      <c r="AS36" s="92"/>
      <c r="AT36" s="194"/>
      <c r="AU36" s="194"/>
      <c r="AV36" s="194"/>
      <c r="AW36" s="194"/>
      <c r="AX36" s="194"/>
      <c r="AY36" s="195"/>
      <c r="AZ36" s="300"/>
      <c r="BA36" s="300"/>
      <c r="BB36" s="300"/>
      <c r="BC36" s="300"/>
      <c r="BD36" s="300"/>
      <c r="BG36" s="347">
        <v>0.16800000000000001</v>
      </c>
      <c r="BH36" s="347" t="s">
        <v>442</v>
      </c>
      <c r="BI36" s="11"/>
      <c r="BJ36" s="347">
        <v>0.16800000000000001</v>
      </c>
      <c r="BK36" s="347" t="s">
        <v>442</v>
      </c>
      <c r="BM36" s="347">
        <v>0.16800000000000001</v>
      </c>
      <c r="BN36" s="347" t="s">
        <v>442</v>
      </c>
      <c r="BP36" s="347">
        <v>0.16800000000000001</v>
      </c>
      <c r="BQ36" s="347" t="s">
        <v>442</v>
      </c>
      <c r="BS36" s="347">
        <v>0.16800000000000001</v>
      </c>
      <c r="BT36" s="347" t="s">
        <v>442</v>
      </c>
      <c r="BV36" s="347">
        <v>0.16800000000000001</v>
      </c>
      <c r="BW36" s="347" t="s">
        <v>442</v>
      </c>
      <c r="CS36" s="1386"/>
      <c r="CT36" s="1386"/>
      <c r="CU36" s="1386"/>
      <c r="CV36" s="1386"/>
      <c r="CW36" s="1386"/>
      <c r="CX36" s="1386"/>
      <c r="CY36" s="1386"/>
      <c r="CZ36" s="1386"/>
      <c r="DA36" s="1386"/>
      <c r="DB36" s="1752"/>
      <c r="DC36" s="1386"/>
      <c r="DD36" s="1386"/>
      <c r="DE36" s="1386"/>
      <c r="DF36" s="1386"/>
      <c r="EV36" s="300"/>
      <c r="FG36" s="278">
        <v>17</v>
      </c>
      <c r="FH36" s="278">
        <v>5</v>
      </c>
      <c r="FI36" s="278">
        <v>0.13</v>
      </c>
      <c r="FJ36" s="278">
        <f t="shared" si="8"/>
        <v>19.359493795035036</v>
      </c>
      <c r="FK36" s="278">
        <f t="shared" si="9"/>
        <v>42.465986389109105</v>
      </c>
      <c r="FL36" s="278">
        <f t="shared" si="10"/>
        <v>24.979991993593593</v>
      </c>
      <c r="FM36" s="278">
        <f t="shared" si="11"/>
        <v>0.19379255804998177</v>
      </c>
      <c r="FN36" s="278">
        <f t="shared" si="6"/>
        <v>6.8410525505948279</v>
      </c>
      <c r="FO36" s="278">
        <f t="shared" si="7"/>
        <v>21.984298846909098</v>
      </c>
    </row>
    <row r="37" spans="2:171" ht="48.75" customHeight="1">
      <c r="AP37" s="300"/>
      <c r="AQ37" s="300"/>
      <c r="AR37" s="193"/>
      <c r="AS37" s="194"/>
      <c r="AT37" s="194"/>
      <c r="AU37" s="194"/>
      <c r="AV37" s="194"/>
      <c r="AW37" s="194"/>
      <c r="AX37" s="194"/>
      <c r="AY37" s="195"/>
      <c r="AZ37" s="300"/>
      <c r="BA37" s="300"/>
      <c r="BB37" s="300"/>
      <c r="BC37" s="300"/>
      <c r="BD37" s="300"/>
      <c r="BG37" s="347">
        <v>0.191</v>
      </c>
      <c r="BH37" s="347" t="s">
        <v>442</v>
      </c>
      <c r="BI37" s="11"/>
      <c r="BJ37" s="347">
        <v>0.191</v>
      </c>
      <c r="BK37" s="347" t="s">
        <v>442</v>
      </c>
      <c r="BM37" s="347">
        <v>0.191</v>
      </c>
      <c r="BN37" s="347" t="s">
        <v>442</v>
      </c>
      <c r="BP37" s="347">
        <v>0.191</v>
      </c>
      <c r="BQ37" s="347" t="s">
        <v>442</v>
      </c>
      <c r="BS37" s="347">
        <v>0.191</v>
      </c>
      <c r="BT37" s="347" t="s">
        <v>442</v>
      </c>
      <c r="BV37" s="347">
        <v>0.191</v>
      </c>
      <c r="BW37" s="347" t="s">
        <v>442</v>
      </c>
      <c r="CS37" s="1386"/>
      <c r="CT37" s="1386"/>
      <c r="CU37" s="1386"/>
      <c r="CV37" s="1386"/>
      <c r="CW37" s="1386"/>
      <c r="CX37" s="1386"/>
      <c r="CY37" s="1386"/>
      <c r="CZ37" s="1386"/>
      <c r="DA37" s="1386"/>
      <c r="DB37" s="1752"/>
      <c r="DC37" s="1386"/>
      <c r="DD37" s="1386"/>
      <c r="DE37" s="1386"/>
      <c r="DF37" s="1386"/>
      <c r="DG37" s="300"/>
      <c r="EV37" s="300"/>
      <c r="FG37" s="278">
        <v>20</v>
      </c>
      <c r="FH37" s="278">
        <v>4.8</v>
      </c>
      <c r="FI37" s="278">
        <v>0.14000000000000001</v>
      </c>
      <c r="FJ37" s="278">
        <f t="shared" si="8"/>
        <v>20.09029616506437</v>
      </c>
      <c r="FK37" s="278">
        <f t="shared" si="9"/>
        <v>44.069036749173456</v>
      </c>
      <c r="FL37" s="278">
        <f t="shared" si="10"/>
        <v>25.922962793631442</v>
      </c>
      <c r="FM37" s="278">
        <f t="shared" si="11"/>
        <v>0.20207259421636903</v>
      </c>
      <c r="FN37" s="278">
        <f t="shared" si="6"/>
        <v>7.0992957397195386</v>
      </c>
      <c r="FO37" s="278">
        <f t="shared" si="7"/>
        <v>22.58039633545879</v>
      </c>
    </row>
    <row r="38" spans="2:171" ht="48.75" customHeight="1">
      <c r="B38" s="1033" t="s">
        <v>533</v>
      </c>
      <c r="C38" s="1385" t="s">
        <v>534</v>
      </c>
      <c r="D38" s="1385"/>
      <c r="E38" s="1385"/>
      <c r="F38" s="1385"/>
      <c r="G38" s="1385"/>
      <c r="H38" s="1385"/>
      <c r="I38" s="1385"/>
      <c r="J38" s="1385"/>
      <c r="K38" s="1385"/>
      <c r="L38" s="1049"/>
      <c r="O38" s="1405" t="s">
        <v>730</v>
      </c>
      <c r="P38" s="1406"/>
      <c r="Q38" s="1406"/>
      <c r="R38" s="1407"/>
      <c r="S38" s="281"/>
      <c r="AR38" s="193"/>
      <c r="AS38" s="194"/>
      <c r="AT38" s="194"/>
      <c r="AU38" s="194"/>
      <c r="AV38" s="194"/>
      <c r="AW38" s="194"/>
      <c r="AX38" s="194"/>
      <c r="AY38" s="195"/>
      <c r="AZ38" s="300"/>
      <c r="BA38" s="300"/>
      <c r="BB38" s="300"/>
      <c r="BC38" s="300"/>
      <c r="BD38" s="300"/>
      <c r="BG38" s="347">
        <v>0.22500000000000001</v>
      </c>
      <c r="BH38" s="347" t="s">
        <v>442</v>
      </c>
      <c r="BI38" s="11"/>
      <c r="BJ38" s="347">
        <v>0.22500000000000001</v>
      </c>
      <c r="BK38" s="347" t="s">
        <v>442</v>
      </c>
      <c r="BM38" s="347">
        <v>0.22500000000000001</v>
      </c>
      <c r="BN38" s="347" t="s">
        <v>442</v>
      </c>
      <c r="BP38" s="347">
        <v>0.22500000000000001</v>
      </c>
      <c r="BQ38" s="347" t="s">
        <v>442</v>
      </c>
      <c r="BS38" s="347">
        <v>0.22500000000000001</v>
      </c>
      <c r="BT38" s="347" t="s">
        <v>442</v>
      </c>
      <c r="BV38" s="347">
        <v>0.22500000000000001</v>
      </c>
      <c r="BW38" s="347" t="s">
        <v>442</v>
      </c>
      <c r="CS38" s="1386"/>
      <c r="CT38" s="1386"/>
      <c r="CU38" s="1386"/>
      <c r="CV38" s="1386"/>
      <c r="CW38" s="1386"/>
      <c r="CX38" s="1386"/>
      <c r="CY38" s="1386"/>
      <c r="CZ38" s="1386"/>
      <c r="DA38" s="1386"/>
      <c r="DB38" s="1752"/>
      <c r="DC38" s="1386"/>
      <c r="DD38" s="1386"/>
      <c r="DE38" s="1386"/>
      <c r="DF38" s="1386"/>
      <c r="DG38" s="300"/>
      <c r="EV38" s="300"/>
      <c r="FG38" s="278">
        <v>23</v>
      </c>
      <c r="FH38" s="278">
        <v>4.5999999999999996</v>
      </c>
      <c r="FI38" s="278">
        <v>0.15</v>
      </c>
      <c r="FJ38" s="278">
        <f t="shared" si="8"/>
        <v>20.795432190748045</v>
      </c>
      <c r="FK38" s="278">
        <f t="shared" si="9"/>
        <v>45.615786740995709</v>
      </c>
      <c r="FL38" s="278">
        <f t="shared" si="10"/>
        <v>26.832815729997478</v>
      </c>
      <c r="FM38" s="278">
        <f t="shared" si="11"/>
        <v>0.21004201260420147</v>
      </c>
      <c r="FN38" s="278">
        <f t="shared" si="6"/>
        <v>7.3484692283495336</v>
      </c>
      <c r="FO38" s="278">
        <f t="shared" si="7"/>
        <v>23.111497821993634</v>
      </c>
    </row>
    <row r="39" spans="2:171" ht="48.75" customHeight="1">
      <c r="B39" s="1033"/>
      <c r="C39" s="1385"/>
      <c r="D39" s="1385"/>
      <c r="E39" s="1385"/>
      <c r="F39" s="1385"/>
      <c r="G39" s="1385"/>
      <c r="H39" s="1385"/>
      <c r="I39" s="1385"/>
      <c r="J39" s="1385"/>
      <c r="K39" s="1385"/>
      <c r="L39" s="1049"/>
      <c r="O39" s="193"/>
      <c r="P39" s="194"/>
      <c r="Q39" s="194"/>
      <c r="R39" s="194"/>
      <c r="S39" s="195"/>
      <c r="U39" s="607" t="s">
        <v>1144</v>
      </c>
      <c r="V39" s="654">
        <f>'Вывод расчетов'!$AZ$21</f>
        <v>0.313</v>
      </c>
      <c r="AR39" s="193"/>
      <c r="AS39" s="194"/>
      <c r="AT39" s="194"/>
      <c r="AU39" s="194"/>
      <c r="AV39" s="194"/>
      <c r="AW39" s="194"/>
      <c r="AX39" s="194"/>
      <c r="AY39" s="195"/>
      <c r="AZ39" s="300"/>
      <c r="BA39" s="300"/>
      <c r="BB39" s="300"/>
      <c r="BC39" s="300"/>
      <c r="BD39" s="300"/>
      <c r="BG39" s="347">
        <v>0.27200000000000002</v>
      </c>
      <c r="BH39" s="347"/>
      <c r="BI39" s="11"/>
      <c r="BJ39" s="347">
        <v>0.27200000000000002</v>
      </c>
      <c r="BK39" s="347"/>
      <c r="BM39" s="347">
        <v>0.27200000000000002</v>
      </c>
      <c r="BN39" s="347"/>
      <c r="BP39" s="347">
        <v>0.27200000000000002</v>
      </c>
      <c r="BQ39" s="347"/>
      <c r="BS39" s="347">
        <v>0.27200000000000002</v>
      </c>
      <c r="BT39" s="347" t="s">
        <v>442</v>
      </c>
      <c r="BV39" s="347">
        <v>0.27200000000000002</v>
      </c>
      <c r="BW39" s="347" t="s">
        <v>442</v>
      </c>
      <c r="CS39" s="1386"/>
      <c r="CT39" s="1386"/>
      <c r="CU39" s="1386"/>
      <c r="CV39" s="1386"/>
      <c r="CW39" s="1386"/>
      <c r="CX39" s="1386"/>
      <c r="CY39" s="1386"/>
      <c r="CZ39" s="1386"/>
      <c r="DA39" s="1386"/>
      <c r="DB39" s="1752"/>
      <c r="DC39" s="1386"/>
      <c r="DD39" s="1386"/>
      <c r="DE39" s="1386"/>
      <c r="DF39" s="1386"/>
      <c r="DG39" s="300"/>
      <c r="EV39" s="300"/>
      <c r="FG39" s="278">
        <v>26</v>
      </c>
      <c r="FH39" s="278">
        <v>4.4000000000000004</v>
      </c>
      <c r="FI39" s="278">
        <v>0.16</v>
      </c>
      <c r="FJ39" s="278">
        <f t="shared" si="8"/>
        <v>21.477430013854079</v>
      </c>
      <c r="FK39" s="278">
        <f t="shared" si="9"/>
        <v>47.111781965873462</v>
      </c>
      <c r="FL39" s="278">
        <f t="shared" si="10"/>
        <v>27.712812921102035</v>
      </c>
      <c r="FM39" s="278">
        <f t="shared" si="11"/>
        <v>0.21773242158072695</v>
      </c>
      <c r="FN39" s="278">
        <f t="shared" si="6"/>
        <v>7.5894663844041101</v>
      </c>
      <c r="FO39" s="278">
        <f t="shared" si="7"/>
        <v>23.599726817344976</v>
      </c>
    </row>
    <row r="40" spans="2:171" ht="48.75" customHeight="1">
      <c r="B40" s="279" t="s">
        <v>428</v>
      </c>
      <c r="C40" s="279">
        <v>2</v>
      </c>
      <c r="D40" s="279">
        <v>4</v>
      </c>
      <c r="E40" s="279">
        <v>6</v>
      </c>
      <c r="F40" s="279" t="s">
        <v>429</v>
      </c>
      <c r="G40" s="1049"/>
      <c r="H40" s="279" t="s">
        <v>428</v>
      </c>
      <c r="I40" s="279">
        <v>2</v>
      </c>
      <c r="J40" s="279">
        <v>4</v>
      </c>
      <c r="K40" s="279">
        <v>6</v>
      </c>
      <c r="L40" s="279" t="s">
        <v>429</v>
      </c>
      <c r="O40" s="193"/>
      <c r="P40" s="194"/>
      <c r="Q40" s="194"/>
      <c r="R40" s="194"/>
      <c r="S40" s="195"/>
      <c r="AR40" s="193"/>
      <c r="AS40" s="194"/>
      <c r="AT40" s="194"/>
      <c r="AU40" s="194"/>
      <c r="AV40" s="194"/>
      <c r="AW40" s="194"/>
      <c r="AX40" s="194"/>
      <c r="AY40" s="195"/>
      <c r="AZ40" s="300"/>
      <c r="BA40" s="300"/>
      <c r="BB40" s="300"/>
      <c r="BC40" s="300"/>
      <c r="BD40" s="300"/>
      <c r="BG40" s="347">
        <v>0.313</v>
      </c>
      <c r="BH40" s="347"/>
      <c r="BI40" s="11"/>
      <c r="BJ40" s="347">
        <v>0.313</v>
      </c>
      <c r="BK40" s="347"/>
      <c r="BM40" s="347">
        <v>0.313</v>
      </c>
      <c r="BN40" s="347"/>
      <c r="BP40" s="347">
        <v>0.313</v>
      </c>
      <c r="BQ40" s="347"/>
      <c r="BS40" s="347">
        <v>0.313</v>
      </c>
      <c r="BT40" s="347" t="s">
        <v>442</v>
      </c>
      <c r="BV40" s="347">
        <v>0.313</v>
      </c>
      <c r="BW40" s="347" t="s">
        <v>442</v>
      </c>
      <c r="CS40" s="1386"/>
      <c r="CT40" s="1386"/>
      <c r="CU40" s="1386"/>
      <c r="CV40" s="1386"/>
      <c r="CW40" s="1386"/>
      <c r="CX40" s="1386"/>
      <c r="CY40" s="1386"/>
      <c r="CZ40" s="1386"/>
      <c r="DA40" s="1386"/>
      <c r="DB40" s="1752"/>
      <c r="DC40" s="1386"/>
      <c r="DD40" s="1386"/>
      <c r="DE40" s="1386"/>
      <c r="DF40" s="1386"/>
      <c r="DG40" s="300"/>
      <c r="EV40" s="300"/>
      <c r="FG40" s="278">
        <v>29</v>
      </c>
      <c r="FH40" s="278">
        <v>4.2</v>
      </c>
      <c r="FI40" s="278">
        <v>0.17</v>
      </c>
      <c r="FJ40" s="278">
        <f t="shared" si="8"/>
        <v>22.138428128482833</v>
      </c>
      <c r="FK40" s="278">
        <f t="shared" si="9"/>
        <v>48.561713314091378</v>
      </c>
      <c r="FL40" s="278">
        <f t="shared" si="10"/>
        <v>28.565713714171398</v>
      </c>
      <c r="FM40" s="278">
        <f t="shared" si="11"/>
        <v>0.22517050070105746</v>
      </c>
      <c r="FN40" s="278">
        <f t="shared" si="6"/>
        <v>7.8230428862431785</v>
      </c>
      <c r="FO40" s="278">
        <f t="shared" si="7"/>
        <v>24.057397518893204</v>
      </c>
    </row>
    <row r="41" spans="2:171" ht="48.75" customHeight="1">
      <c r="B41" s="1385" t="s">
        <v>430</v>
      </c>
      <c r="C41" s="278">
        <v>0.52</v>
      </c>
      <c r="D41" s="278">
        <v>0.64</v>
      </c>
      <c r="E41" s="278">
        <v>0.7</v>
      </c>
      <c r="F41" s="278">
        <v>0.74</v>
      </c>
      <c r="G41" s="1049"/>
      <c r="H41" s="279" t="s">
        <v>430</v>
      </c>
      <c r="I41" s="279" t="s">
        <v>431</v>
      </c>
      <c r="J41" s="279" t="s">
        <v>432</v>
      </c>
      <c r="K41" s="279" t="s">
        <v>433</v>
      </c>
      <c r="L41" s="279" t="s">
        <v>434</v>
      </c>
      <c r="O41" s="193"/>
      <c r="P41" s="194"/>
      <c r="Q41" s="194"/>
      <c r="R41" s="194"/>
      <c r="S41" s="195"/>
      <c r="AR41" s="193"/>
      <c r="AS41" s="194"/>
      <c r="AT41" s="194"/>
      <c r="AU41" s="194"/>
      <c r="AV41" s="194"/>
      <c r="AW41" s="194"/>
      <c r="AX41" s="194"/>
      <c r="AY41" s="195"/>
      <c r="AZ41" s="300"/>
      <c r="BA41" s="300"/>
      <c r="BG41" s="347">
        <v>0.34899999999999998</v>
      </c>
      <c r="BH41" s="347"/>
      <c r="BI41" s="11"/>
      <c r="BJ41" s="347">
        <v>0.34899999999999998</v>
      </c>
      <c r="BK41" s="347"/>
      <c r="BM41" s="347">
        <v>0.34899999999999998</v>
      </c>
      <c r="BN41" s="347"/>
      <c r="BP41" s="347">
        <v>0.34899999999999998</v>
      </c>
      <c r="BQ41" s="347"/>
      <c r="BS41" s="347">
        <v>0.34899999999999998</v>
      </c>
      <c r="BT41" s="347" t="s">
        <v>442</v>
      </c>
      <c r="BV41" s="347">
        <v>0.34899999999999998</v>
      </c>
      <c r="BW41" s="347" t="s">
        <v>442</v>
      </c>
      <c r="CS41" s="1386"/>
      <c r="CT41" s="1386"/>
      <c r="CU41" s="1386"/>
      <c r="CV41" s="1386"/>
      <c r="CW41" s="1386"/>
      <c r="CX41" s="1386"/>
      <c r="CY41" s="1386"/>
      <c r="CZ41" s="1386"/>
      <c r="DA41" s="1386"/>
      <c r="DB41" s="1752"/>
      <c r="DC41" s="1386"/>
      <c r="DD41" s="1386"/>
      <c r="DE41" s="1386"/>
      <c r="DF41" s="1386"/>
      <c r="DG41" s="300"/>
      <c r="EV41" s="300"/>
      <c r="FG41" s="278">
        <v>32</v>
      </c>
      <c r="FH41" s="278">
        <v>4</v>
      </c>
      <c r="FI41" s="278">
        <v>0.18</v>
      </c>
      <c r="FJ41" s="278">
        <f t="shared" si="8"/>
        <v>22.780254607883556</v>
      </c>
      <c r="FK41" s="278">
        <f t="shared" si="9"/>
        <v>49.969590752776838</v>
      </c>
      <c r="FL41" s="278">
        <f t="shared" si="10"/>
        <v>29.393876913398138</v>
      </c>
      <c r="FM41" s="278">
        <f t="shared" si="11"/>
        <v>0.232379000772445</v>
      </c>
      <c r="FN41" s="278">
        <f t="shared" si="6"/>
        <v>8.0498447189992426</v>
      </c>
      <c r="FO41" s="278">
        <f t="shared" si="7"/>
        <v>24.491881491472405</v>
      </c>
    </row>
    <row r="42" spans="2:171" ht="48.75" customHeight="1">
      <c r="B42" s="1385"/>
      <c r="C42" s="278">
        <v>0.53</v>
      </c>
      <c r="D42" s="278">
        <v>0.65</v>
      </c>
      <c r="E42" s="278">
        <v>0.71</v>
      </c>
      <c r="F42" s="278">
        <v>0.75</v>
      </c>
      <c r="G42" s="1049"/>
      <c r="H42" s="91"/>
      <c r="I42" s="92"/>
      <c r="J42" s="92"/>
      <c r="K42" s="92"/>
      <c r="L42" s="93"/>
      <c r="O42" s="193"/>
      <c r="P42" s="194"/>
      <c r="Q42" s="194"/>
      <c r="R42" s="194"/>
      <c r="S42" s="195"/>
      <c r="AR42" s="94"/>
      <c r="AS42" s="95"/>
      <c r="AT42" s="95"/>
      <c r="AU42" s="95"/>
      <c r="AV42" s="95"/>
      <c r="AW42" s="95"/>
      <c r="AX42" s="95"/>
      <c r="AY42" s="96"/>
      <c r="AZ42" s="300"/>
      <c r="BA42" s="300"/>
      <c r="BG42" s="347">
        <v>0.39200000000000002</v>
      </c>
      <c r="BH42" s="347"/>
      <c r="BI42" s="11"/>
      <c r="BJ42" s="347">
        <v>0.39200000000000002</v>
      </c>
      <c r="BK42" s="347"/>
      <c r="BM42" s="347">
        <v>0.39200000000000002</v>
      </c>
      <c r="BN42" s="347"/>
      <c r="BP42" s="347">
        <v>0.39200000000000002</v>
      </c>
      <c r="BQ42" s="347"/>
      <c r="BS42" s="347">
        <v>0.39200000000000002</v>
      </c>
      <c r="BT42" s="347" t="s">
        <v>442</v>
      </c>
      <c r="BV42" s="347">
        <v>0.39200000000000002</v>
      </c>
      <c r="BW42" s="347" t="s">
        <v>442</v>
      </c>
      <c r="DG42" s="300"/>
      <c r="DK42" s="300"/>
      <c r="DL42" s="300"/>
      <c r="DM42" s="300"/>
      <c r="DN42" s="300"/>
      <c r="EV42" s="300"/>
      <c r="FG42" s="278">
        <v>35</v>
      </c>
      <c r="FH42" s="278">
        <v>3.8</v>
      </c>
      <c r="FI42" s="278">
        <v>0.19</v>
      </c>
      <c r="FJ42" s="278">
        <f t="shared" si="8"/>
        <v>23.404486749339327</v>
      </c>
      <c r="FK42" s="278">
        <f t="shared" si="9"/>
        <v>51.338874159841104</v>
      </c>
      <c r="FL42" s="278">
        <f t="shared" si="10"/>
        <v>30.199337741082999</v>
      </c>
      <c r="FM42" s="278">
        <f>FI42*2/((((FI42+0.02)*12)^(1/2)))</f>
        <v>0.23937749957251059</v>
      </c>
      <c r="FN42" s="278">
        <f t="shared" si="6"/>
        <v>8.270429251254134</v>
      </c>
      <c r="FO42" s="278">
        <f t="shared" si="7"/>
        <v>24.907882495169169</v>
      </c>
    </row>
    <row r="43" spans="2:171" ht="48.75" customHeight="1">
      <c r="B43" s="1385"/>
      <c r="C43" s="278">
        <v>0.54</v>
      </c>
      <c r="D43" s="278">
        <v>0.66</v>
      </c>
      <c r="E43" s="278">
        <v>0.72</v>
      </c>
      <c r="F43" s="278">
        <v>0.76</v>
      </c>
      <c r="G43" s="1049"/>
      <c r="H43" s="193"/>
      <c r="I43" s="194"/>
      <c r="J43" s="194"/>
      <c r="K43" s="194"/>
      <c r="L43" s="195"/>
      <c r="O43" s="193"/>
      <c r="P43" s="194"/>
      <c r="Q43" s="194"/>
      <c r="R43" s="194"/>
      <c r="S43" s="195"/>
      <c r="BG43" s="347">
        <v>0.437</v>
      </c>
      <c r="BH43" s="347"/>
      <c r="BI43" s="11"/>
      <c r="BJ43" s="347">
        <v>0.437</v>
      </c>
      <c r="BK43" s="347"/>
      <c r="BM43" s="347">
        <v>0.437</v>
      </c>
      <c r="BN43" s="347"/>
      <c r="BP43" s="347">
        <v>0.437</v>
      </c>
      <c r="BQ43" s="347"/>
      <c r="BS43" s="347">
        <v>0.437</v>
      </c>
      <c r="BT43" s="347" t="s">
        <v>442</v>
      </c>
      <c r="BV43" s="347">
        <v>0.437</v>
      </c>
      <c r="BW43" s="347" t="s">
        <v>442</v>
      </c>
      <c r="DG43" s="300"/>
      <c r="DK43" s="300"/>
      <c r="DL43" s="300"/>
      <c r="DM43" s="300"/>
      <c r="DN43" s="300"/>
      <c r="EV43" s="300"/>
      <c r="FG43" s="278">
        <v>38</v>
      </c>
      <c r="FH43" s="278">
        <v>3.6</v>
      </c>
      <c r="FI43" s="278">
        <v>0.2</v>
      </c>
      <c r="FJ43" s="278">
        <f t="shared" si="8"/>
        <v>24.012496746485986</v>
      </c>
      <c r="FK43" s="278">
        <f t="shared" si="9"/>
        <v>52.672573508420868</v>
      </c>
      <c r="FL43" s="278">
        <f t="shared" si="10"/>
        <v>30.983866769659336</v>
      </c>
      <c r="FM43" s="278">
        <f t="shared" si="11"/>
        <v>0.24618298195866548</v>
      </c>
      <c r="FN43" s="278">
        <f t="shared" si="6"/>
        <v>8.4852813742385713</v>
      </c>
      <c r="FO43" s="278">
        <f t="shared" si="7"/>
        <v>25.308574351081656</v>
      </c>
    </row>
    <row r="44" spans="2:171" ht="48.75" customHeight="1">
      <c r="B44" s="1385"/>
      <c r="C44" s="278">
        <v>0.55000000000000004</v>
      </c>
      <c r="D44" s="278">
        <v>0.67</v>
      </c>
      <c r="E44" s="278" t="s">
        <v>442</v>
      </c>
      <c r="F44" s="278">
        <v>0.77</v>
      </c>
      <c r="G44" s="1049"/>
      <c r="H44" s="193"/>
      <c r="I44" s="194"/>
      <c r="J44" s="194"/>
      <c r="K44" s="194"/>
      <c r="L44" s="195"/>
      <c r="O44" s="94"/>
      <c r="P44" s="95"/>
      <c r="Q44" s="95"/>
      <c r="R44" s="95"/>
      <c r="S44" s="96"/>
      <c r="AO44" s="300"/>
      <c r="AP44" s="300"/>
      <c r="AQ44" s="300"/>
      <c r="AR44" s="300"/>
      <c r="AS44" s="12"/>
      <c r="AT44" s="12"/>
      <c r="AU44" s="12"/>
      <c r="AV44" s="12"/>
      <c r="BG44" s="347">
        <v>0.53</v>
      </c>
      <c r="BH44" s="347"/>
      <c r="BI44" s="11"/>
      <c r="BJ44" s="347">
        <v>0.53</v>
      </c>
      <c r="BK44" s="347"/>
      <c r="BM44" s="347">
        <v>0.53</v>
      </c>
      <c r="BN44" s="347"/>
      <c r="BP44" s="347">
        <v>0.53</v>
      </c>
      <c r="BQ44" s="347"/>
      <c r="BS44" s="347">
        <v>0.53</v>
      </c>
      <c r="BT44" s="347"/>
      <c r="BV44" s="347">
        <v>0.53</v>
      </c>
      <c r="BW44" s="347"/>
      <c r="DG44" s="300"/>
      <c r="DK44" s="300"/>
      <c r="DL44" s="300"/>
      <c r="DM44" s="300"/>
      <c r="DN44" s="300"/>
      <c r="EV44" s="300"/>
      <c r="FG44" s="278">
        <v>41</v>
      </c>
      <c r="FH44" s="278">
        <v>3.4</v>
      </c>
      <c r="FI44" s="278">
        <v>0.21</v>
      </c>
      <c r="FJ44" s="278">
        <f t="shared" si="8"/>
        <v>24.605487192900693</v>
      </c>
      <c r="FK44" s="278">
        <f t="shared" si="9"/>
        <v>53.97332674571765</v>
      </c>
      <c r="FL44" s="278">
        <f t="shared" si="10"/>
        <v>31.749015732775089</v>
      </c>
      <c r="FM44" s="278">
        <f t="shared" si="11"/>
        <v>0.2528102914801153</v>
      </c>
      <c r="FN44" s="278">
        <f t="shared" si="6"/>
        <v>8.6948260477136632</v>
      </c>
      <c r="FO44" s="278">
        <f t="shared" si="7"/>
        <v>25.696205258858928</v>
      </c>
    </row>
    <row r="45" spans="2:171" ht="48.75" customHeight="1">
      <c r="B45" s="1385"/>
      <c r="C45" s="278">
        <v>0.56000000000000005</v>
      </c>
      <c r="D45" s="278">
        <v>0.68</v>
      </c>
      <c r="E45" s="278" t="s">
        <v>442</v>
      </c>
      <c r="F45" s="278" t="s">
        <v>442</v>
      </c>
      <c r="G45" s="1049"/>
      <c r="H45" s="193"/>
      <c r="I45" s="194"/>
      <c r="J45" s="194"/>
      <c r="K45" s="194"/>
      <c r="L45" s="195"/>
      <c r="AO45" s="300"/>
      <c r="AP45" s="300"/>
      <c r="AQ45" s="300"/>
      <c r="AR45" s="300"/>
      <c r="AS45" s="12"/>
      <c r="AT45" s="12"/>
      <c r="AU45" s="12"/>
      <c r="AV45" s="12"/>
      <c r="BG45" s="347">
        <v>0.59</v>
      </c>
      <c r="BH45" s="347"/>
      <c r="BI45" s="11"/>
      <c r="BJ45" s="347">
        <v>0.59</v>
      </c>
      <c r="BK45" s="347"/>
      <c r="BM45" s="347">
        <v>0.59</v>
      </c>
      <c r="BN45" s="347"/>
      <c r="BP45" s="347">
        <v>0.59</v>
      </c>
      <c r="BQ45" s="347"/>
      <c r="BS45" s="347">
        <v>0.59</v>
      </c>
      <c r="BT45" s="347"/>
      <c r="BV45" s="347">
        <v>0.59</v>
      </c>
      <c r="BW45" s="347"/>
      <c r="DG45" s="300"/>
      <c r="DK45" s="300"/>
      <c r="DL45" s="300"/>
      <c r="DM45" s="300"/>
      <c r="DN45" s="300"/>
      <c r="EV45" s="300"/>
      <c r="FG45" s="278">
        <v>44</v>
      </c>
      <c r="FH45" s="278">
        <v>3.2</v>
      </c>
      <c r="FI45" s="278">
        <v>0.22</v>
      </c>
      <c r="FJ45" s="278">
        <f t="shared" si="8"/>
        <v>25.184519054371478</v>
      </c>
      <c r="FK45" s="278">
        <f t="shared" si="9"/>
        <v>55.243461151524528</v>
      </c>
      <c r="FL45" s="278">
        <f t="shared" si="10"/>
        <v>32.496153618543843</v>
      </c>
      <c r="FM45" s="278">
        <f t="shared" si="11"/>
        <v>0.25927248643506745</v>
      </c>
      <c r="FN45" s="278">
        <f t="shared" si="6"/>
        <v>8.8994381845147963</v>
      </c>
      <c r="FO45" s="278">
        <f t="shared" si="7"/>
        <v>26.072436167071277</v>
      </c>
    </row>
    <row r="46" spans="2:171" ht="48.75" customHeight="1">
      <c r="B46" s="1385"/>
      <c r="C46" s="278">
        <v>0.56999999999999995</v>
      </c>
      <c r="D46" s="278" t="s">
        <v>442</v>
      </c>
      <c r="E46" s="278" t="s">
        <v>442</v>
      </c>
      <c r="F46" s="278" t="s">
        <v>442</v>
      </c>
      <c r="G46" s="1049"/>
      <c r="H46" s="94"/>
      <c r="I46" s="95"/>
      <c r="J46" s="95"/>
      <c r="K46" s="95"/>
      <c r="L46" s="96"/>
      <c r="AL46" s="300"/>
      <c r="AM46" s="300"/>
      <c r="AN46" s="300"/>
      <c r="AO46" s="300"/>
      <c r="AP46" s="300"/>
      <c r="AQ46" s="300"/>
      <c r="AR46" s="300"/>
      <c r="AS46" s="97"/>
      <c r="AT46" s="97"/>
      <c r="AU46" s="12"/>
      <c r="AV46" s="12"/>
      <c r="BG46" s="347">
        <v>0.66</v>
      </c>
      <c r="BH46" s="347"/>
      <c r="BI46" s="11"/>
      <c r="BJ46" s="347">
        <v>0.66</v>
      </c>
      <c r="BK46" s="347"/>
      <c r="BM46" s="347">
        <v>0.66</v>
      </c>
      <c r="BN46" s="347"/>
      <c r="BP46" s="347">
        <v>0.66</v>
      </c>
      <c r="BQ46" s="347"/>
      <c r="BS46" s="347">
        <v>0.66</v>
      </c>
      <c r="BT46" s="347"/>
      <c r="BV46" s="347">
        <v>0.66</v>
      </c>
      <c r="BW46" s="347"/>
      <c r="DG46" s="300"/>
      <c r="DK46" s="300"/>
      <c r="DL46" s="300"/>
      <c r="DM46" s="300"/>
      <c r="DN46" s="300"/>
      <c r="EV46" s="300"/>
      <c r="FG46" s="278">
        <v>47</v>
      </c>
      <c r="FH46" s="278">
        <v>3</v>
      </c>
      <c r="FI46" s="278">
        <v>0.23</v>
      </c>
      <c r="FJ46" s="278">
        <f t="shared" si="8"/>
        <v>25.750533975046036</v>
      </c>
      <c r="FK46" s="278">
        <f t="shared" si="9"/>
        <v>56.485042267842914</v>
      </c>
      <c r="FL46" s="278">
        <f t="shared" si="10"/>
        <v>33.226495451672299</v>
      </c>
      <c r="FM46" s="278">
        <f t="shared" si="11"/>
        <v>0.26558112382722787</v>
      </c>
      <c r="FN46" s="278">
        <f t="shared" si="6"/>
        <v>9.0994505328618622</v>
      </c>
      <c r="FO46" s="278">
        <f t="shared" si="7"/>
        <v>26.438539314416712</v>
      </c>
    </row>
    <row r="47" spans="2:171" ht="48.75" customHeight="1">
      <c r="AL47" s="300"/>
      <c r="AM47" s="300"/>
      <c r="AN47" s="300"/>
      <c r="AS47" s="12"/>
      <c r="AT47" s="12"/>
      <c r="AU47" s="12"/>
      <c r="AV47" s="12"/>
      <c r="DG47" s="300"/>
      <c r="EV47" s="300"/>
      <c r="FG47" s="278">
        <v>50</v>
      </c>
      <c r="FH47" s="278">
        <v>2.8</v>
      </c>
      <c r="FI47" s="278">
        <v>0.24</v>
      </c>
      <c r="FJ47" s="278">
        <f t="shared" si="8"/>
        <v>26.304372260139569</v>
      </c>
      <c r="FK47" s="278">
        <f t="shared" si="9"/>
        <v>57.699913344822278</v>
      </c>
      <c r="FL47" s="278">
        <f t="shared" si="10"/>
        <v>33.941125496954278</v>
      </c>
      <c r="FM47" s="278">
        <f t="shared" si="11"/>
        <v>0.27174648819470298</v>
      </c>
      <c r="FN47" s="278">
        <f t="shared" si="6"/>
        <v>9.2951600308978009</v>
      </c>
      <c r="FO47" s="278">
        <f t="shared" si="7"/>
        <v>26.795519693127666</v>
      </c>
    </row>
    <row r="48" spans="2:171" ht="48.75" customHeight="1">
      <c r="B48" s="710" t="s">
        <v>538</v>
      </c>
      <c r="C48" s="1714"/>
      <c r="D48" s="1714"/>
      <c r="E48" s="1714"/>
      <c r="F48" s="1714"/>
      <c r="G48" s="711"/>
      <c r="H48" s="281" t="s">
        <v>529</v>
      </c>
      <c r="AL48" s="300"/>
      <c r="AM48" s="300"/>
      <c r="AN48" s="300"/>
      <c r="AS48" s="12"/>
      <c r="AT48" s="12"/>
      <c r="AU48" s="12"/>
      <c r="AV48" s="12"/>
      <c r="BB48" s="300"/>
      <c r="BC48" s="300"/>
      <c r="BD48" s="300"/>
      <c r="BE48" s="300"/>
      <c r="BF48" s="300"/>
      <c r="CC48" s="99"/>
      <c r="CD48" s="99"/>
      <c r="DD48" s="300"/>
      <c r="DE48" s="300"/>
      <c r="DF48" s="300"/>
      <c r="DG48" s="300"/>
      <c r="EV48" s="300"/>
      <c r="FG48" s="278">
        <v>53</v>
      </c>
      <c r="FH48" s="278">
        <v>2.6</v>
      </c>
      <c r="FI48" s="278">
        <v>0.25</v>
      </c>
      <c r="FJ48" s="278">
        <f t="shared" si="8"/>
        <v>26.846787517317598</v>
      </c>
      <c r="FK48" s="278">
        <f t="shared" si="9"/>
        <v>58.889727457341827</v>
      </c>
      <c r="FL48" s="278">
        <f t="shared" si="10"/>
        <v>34.641016151377542</v>
      </c>
      <c r="FM48" s="278">
        <f t="shared" si="11"/>
        <v>0.27777777777777779</v>
      </c>
      <c r="FN48" s="278">
        <f t="shared" si="6"/>
        <v>9.4868329805051381</v>
      </c>
      <c r="FO48" s="278">
        <f t="shared" si="7"/>
        <v>27.144192199026602</v>
      </c>
    </row>
    <row r="49" spans="2:171" ht="48.75" customHeight="1">
      <c r="B49" s="138" t="s">
        <v>527</v>
      </c>
      <c r="C49" s="279">
        <v>2</v>
      </c>
      <c r="D49" s="279">
        <v>3</v>
      </c>
      <c r="E49" s="279">
        <v>4</v>
      </c>
      <c r="F49" s="279">
        <v>5</v>
      </c>
      <c r="G49" s="279">
        <v>6</v>
      </c>
      <c r="H49" s="279" t="s">
        <v>528</v>
      </c>
      <c r="Z49" s="285"/>
      <c r="AA49" s="285"/>
      <c r="AB49" s="285"/>
      <c r="AC49" s="285"/>
      <c r="AL49" s="300"/>
      <c r="AM49" s="300"/>
      <c r="AN49" s="300"/>
      <c r="AP49" s="1728" t="s">
        <v>761</v>
      </c>
      <c r="AQ49" s="1724"/>
      <c r="AR49" s="1724"/>
      <c r="AS49" s="1724"/>
      <c r="AT49" s="1724"/>
      <c r="AU49" s="1725"/>
      <c r="AV49" s="114"/>
      <c r="BB49" s="300"/>
      <c r="BC49" s="300"/>
      <c r="BD49" s="300"/>
      <c r="BE49" s="300"/>
      <c r="BF49" s="300"/>
      <c r="BI49" s="300"/>
      <c r="BJ49" s="300"/>
      <c r="BK49" s="300"/>
      <c r="BL49" s="300"/>
      <c r="BM49" s="300"/>
      <c r="BN49" s="300"/>
      <c r="BO49" s="300"/>
      <c r="BP49" s="300"/>
      <c r="BQ49" s="300"/>
      <c r="BR49" s="300"/>
      <c r="CC49" s="99"/>
      <c r="CD49" s="99"/>
      <c r="CE49" s="300"/>
      <c r="EV49" s="300"/>
      <c r="FG49" s="278">
        <v>56</v>
      </c>
      <c r="FH49" s="278">
        <v>2.4</v>
      </c>
      <c r="FI49" s="278">
        <v>0.26</v>
      </c>
      <c r="FJ49" s="278">
        <f t="shared" si="8"/>
        <v>27.378458685616327</v>
      </c>
      <c r="FK49" s="278">
        <f t="shared" si="9"/>
        <v>60.05597389102936</v>
      </c>
      <c r="FL49" s="278">
        <f t="shared" si="10"/>
        <v>35.327043465311391</v>
      </c>
      <c r="FM49" s="278">
        <f t="shared" si="11"/>
        <v>0.28368325730679006</v>
      </c>
      <c r="FN49" s="278">
        <f t="shared" si="6"/>
        <v>9.6747092979582607</v>
      </c>
      <c r="FO49" s="278">
        <f t="shared" si="7"/>
        <v>27.48523232616698</v>
      </c>
    </row>
    <row r="50" spans="2:171" ht="48.75" customHeight="1">
      <c r="B50" s="279">
        <v>1</v>
      </c>
      <c r="C50" s="279">
        <v>0.96599999999999997</v>
      </c>
      <c r="D50" s="279">
        <v>0.96</v>
      </c>
      <c r="E50" s="279">
        <v>0.95799999999999996</v>
      </c>
      <c r="F50" s="279">
        <v>0.95699999999999996</v>
      </c>
      <c r="G50" s="279">
        <v>0.95699999999999996</v>
      </c>
      <c r="H50" s="279">
        <v>0.95499999999999996</v>
      </c>
      <c r="Z50" s="285"/>
      <c r="AA50" s="285"/>
      <c r="AB50" s="285"/>
      <c r="AC50" s="285"/>
      <c r="AD50" s="1405" t="s">
        <v>727</v>
      </c>
      <c r="AE50" s="1406"/>
      <c r="AF50" s="1406"/>
      <c r="AG50" s="1406"/>
      <c r="AH50" s="1406"/>
      <c r="AI50" s="1407"/>
      <c r="AJ50" s="281"/>
      <c r="AL50" s="300"/>
      <c r="AM50" s="300"/>
      <c r="AN50" s="300"/>
      <c r="AP50" s="1745"/>
      <c r="AQ50" s="1746"/>
      <c r="AR50" s="1746"/>
      <c r="AS50" s="1746"/>
      <c r="AT50" s="1746"/>
      <c r="AU50" s="1747"/>
      <c r="AV50" s="111"/>
      <c r="BB50" s="300"/>
      <c r="BC50" s="300"/>
      <c r="BD50" s="300"/>
      <c r="BE50" s="300"/>
      <c r="BF50" s="300"/>
      <c r="BG50" s="300"/>
      <c r="BI50" s="300"/>
      <c r="BJ50" s="300"/>
      <c r="BK50" s="300"/>
      <c r="BL50" s="300"/>
      <c r="BM50" s="300"/>
      <c r="BN50" s="300"/>
      <c r="BO50" s="300"/>
      <c r="BP50" s="300"/>
      <c r="BQ50" s="300"/>
      <c r="BR50" s="300"/>
      <c r="CE50" s="300"/>
      <c r="CK50" s="300"/>
      <c r="CL50" s="300"/>
      <c r="CM50" s="300"/>
      <c r="CN50" s="366"/>
      <c r="CO50" s="710" t="s">
        <v>1321</v>
      </c>
      <c r="CP50" s="1714"/>
      <c r="CQ50" s="1714"/>
      <c r="CR50" s="1714"/>
      <c r="CS50" s="1714"/>
      <c r="CT50" s="1714"/>
      <c r="CU50" s="1714"/>
      <c r="CV50" s="1714"/>
      <c r="CW50" s="1714"/>
      <c r="CX50" s="1714"/>
      <c r="CY50" s="1714"/>
      <c r="CZ50" s="1714"/>
      <c r="DA50" s="1714"/>
      <c r="DB50" s="1714"/>
      <c r="DC50" s="1714"/>
      <c r="DD50" s="1714"/>
      <c r="DE50" s="1714"/>
      <c r="DF50" s="1714"/>
      <c r="DG50" s="1714"/>
      <c r="DH50" s="1714"/>
      <c r="DI50" s="1714"/>
      <c r="DJ50" s="1714"/>
      <c r="DK50" s="140"/>
      <c r="DL50" s="300"/>
      <c r="EJ50" s="300"/>
      <c r="EK50" s="300"/>
      <c r="EL50" s="300"/>
      <c r="EM50" s="300"/>
      <c r="EN50" s="300"/>
      <c r="EO50" s="300"/>
      <c r="FG50" s="278">
        <v>59</v>
      </c>
      <c r="FH50" s="278">
        <v>2.2000000000000002</v>
      </c>
      <c r="FI50" s="278">
        <v>0.27</v>
      </c>
      <c r="FJ50" s="278">
        <f t="shared" si="8"/>
        <v>27.900000000000002</v>
      </c>
      <c r="FK50" s="278">
        <f t="shared" si="9"/>
        <v>61.2</v>
      </c>
      <c r="FL50" s="278">
        <f t="shared" si="10"/>
        <v>36</v>
      </c>
      <c r="FM50" s="278">
        <f t="shared" si="11"/>
        <v>0.28947038440620459</v>
      </c>
      <c r="FN50" s="278">
        <f t="shared" si="6"/>
        <v>9.8590060350929907</v>
      </c>
      <c r="FO50" s="278">
        <f t="shared" si="7"/>
        <v>27.819210520823351</v>
      </c>
    </row>
    <row r="51" spans="2:171" ht="48.75" customHeight="1">
      <c r="B51" s="279">
        <v>3</v>
      </c>
      <c r="C51" s="279">
        <v>0.70699999999999996</v>
      </c>
      <c r="D51" s="279">
        <v>0.66700000000000004</v>
      </c>
      <c r="E51" s="279">
        <v>0.65400000000000003</v>
      </c>
      <c r="F51" s="279">
        <v>0.64600000000000002</v>
      </c>
      <c r="G51" s="279">
        <v>0.64400000000000002</v>
      </c>
      <c r="H51" s="279">
        <v>0.63600000000000001</v>
      </c>
      <c r="W51" s="285"/>
      <c r="X51" s="285"/>
      <c r="Y51" s="131"/>
      <c r="Z51" s="285"/>
      <c r="AA51" s="285"/>
      <c r="AB51" s="285"/>
      <c r="AC51" s="285"/>
      <c r="AD51" s="1385" t="s">
        <v>725</v>
      </c>
      <c r="AE51" s="1385"/>
      <c r="AF51" s="279">
        <v>2</v>
      </c>
      <c r="AG51" s="279">
        <v>4</v>
      </c>
      <c r="AH51" s="279">
        <v>6</v>
      </c>
      <c r="AI51" s="279">
        <v>8</v>
      </c>
      <c r="AJ51" s="279">
        <v>10</v>
      </c>
      <c r="AL51" s="300"/>
      <c r="AM51" s="300"/>
      <c r="AN51" s="300"/>
      <c r="AP51" s="1729"/>
      <c r="AQ51" s="1726"/>
      <c r="AR51" s="1726"/>
      <c r="AS51" s="1726"/>
      <c r="AT51" s="1726"/>
      <c r="AU51" s="1727"/>
      <c r="AV51" s="115"/>
      <c r="BB51" s="300"/>
      <c r="BC51" s="300"/>
      <c r="BD51" s="300"/>
      <c r="BE51" s="300"/>
      <c r="BF51" s="300"/>
      <c r="BG51" s="300"/>
      <c r="BI51" s="11"/>
      <c r="BO51" s="300"/>
      <c r="BP51" s="300"/>
      <c r="BQ51" s="300"/>
      <c r="BR51" s="300"/>
      <c r="CB51" s="313"/>
      <c r="CC51" s="313"/>
      <c r="CD51" s="313"/>
      <c r="CE51" s="313"/>
      <c r="CF51" s="313"/>
      <c r="CG51" s="313"/>
      <c r="CH51" s="313"/>
      <c r="CI51" s="313"/>
      <c r="CJ51" s="313"/>
      <c r="CK51" s="313"/>
      <c r="CL51" s="351"/>
      <c r="CM51" s="300"/>
      <c r="CN51" s="367"/>
      <c r="CO51" s="312"/>
      <c r="CP51" s="313"/>
      <c r="CQ51" s="313"/>
      <c r="CR51" s="351"/>
      <c r="CS51" s="313"/>
      <c r="CT51" s="313"/>
      <c r="CU51" s="313"/>
      <c r="CV51" s="351"/>
      <c r="CW51" s="313"/>
      <c r="CX51" s="313"/>
      <c r="CY51" s="313"/>
      <c r="CZ51" s="351"/>
      <c r="DA51" s="313"/>
      <c r="DB51" s="313"/>
      <c r="DC51" s="313"/>
      <c r="DD51" s="351"/>
      <c r="DE51" s="313"/>
      <c r="DF51" s="313"/>
      <c r="DG51" s="313"/>
      <c r="DH51" s="351"/>
      <c r="DI51" s="313"/>
      <c r="DJ51" s="313"/>
      <c r="DK51" s="314"/>
      <c r="EJ51" s="300"/>
      <c r="EK51" s="300"/>
      <c r="EL51" s="300"/>
      <c r="EM51" s="300"/>
      <c r="EN51" s="300"/>
      <c r="EO51" s="300"/>
      <c r="FG51" s="278">
        <v>62</v>
      </c>
      <c r="FH51" s="278">
        <v>2</v>
      </c>
      <c r="FI51" s="278">
        <v>0.28000000000000003</v>
      </c>
      <c r="FJ51" s="278">
        <f t="shared" si="8"/>
        <v>28.41196930872621</v>
      </c>
      <c r="FK51" s="278">
        <f t="shared" si="9"/>
        <v>62.323029451399428</v>
      </c>
      <c r="FL51" s="278">
        <f t="shared" si="10"/>
        <v>36.660605559646726</v>
      </c>
      <c r="FM51" s="278">
        <f t="shared" si="11"/>
        <v>0.29514591494904874</v>
      </c>
      <c r="FN51" s="278">
        <f t="shared" si="6"/>
        <v>10.039920318408907</v>
      </c>
      <c r="FO51" s="278">
        <f t="shared" si="7"/>
        <v>28.146616125680204</v>
      </c>
    </row>
    <row r="52" spans="2:171" ht="48.75" customHeight="1">
      <c r="B52" s="279">
        <v>5</v>
      </c>
      <c r="C52" s="279">
        <v>0.25900000000000001</v>
      </c>
      <c r="D52" s="279">
        <v>0.217</v>
      </c>
      <c r="E52" s="279">
        <v>0.20499999999999999</v>
      </c>
      <c r="F52" s="279">
        <v>0.2</v>
      </c>
      <c r="G52" s="279">
        <v>0.19700000000000001</v>
      </c>
      <c r="H52" s="279">
        <v>0.191</v>
      </c>
      <c r="U52" s="710" t="s">
        <v>662</v>
      </c>
      <c r="V52" s="1714"/>
      <c r="W52" s="1714"/>
      <c r="X52" s="1714"/>
      <c r="Y52" s="301" t="s">
        <v>468</v>
      </c>
      <c r="Z52" s="285"/>
      <c r="AA52" s="285"/>
      <c r="AB52" s="285"/>
      <c r="AC52" s="285"/>
      <c r="AD52" s="1236" t="s">
        <v>126</v>
      </c>
      <c r="AE52" s="1236"/>
      <c r="AF52" s="279">
        <v>1</v>
      </c>
      <c r="AG52" s="279" t="s">
        <v>776</v>
      </c>
      <c r="AH52" s="279" t="s">
        <v>777</v>
      </c>
      <c r="AI52" s="279" t="s">
        <v>778</v>
      </c>
      <c r="AJ52" s="279" t="s">
        <v>779</v>
      </c>
      <c r="AL52" s="300"/>
      <c r="AM52" s="300"/>
      <c r="AN52" s="300"/>
      <c r="AP52" s="574" t="s">
        <v>456</v>
      </c>
      <c r="AQ52" s="573">
        <f>'Вывод расчетов'!$AW$38</f>
        <v>0.26781845000000004</v>
      </c>
      <c r="AR52" s="92"/>
      <c r="AS52" s="92"/>
      <c r="AT52" s="92"/>
      <c r="AU52" s="92"/>
      <c r="AV52" s="93"/>
      <c r="BB52" s="300"/>
      <c r="BC52" s="300"/>
      <c r="BD52" s="300"/>
      <c r="BE52" s="300"/>
      <c r="BF52" s="300"/>
      <c r="BG52" s="300"/>
      <c r="BO52" s="300"/>
      <c r="BP52" s="300"/>
      <c r="BQ52" s="300"/>
      <c r="BR52" s="300"/>
      <c r="CB52" s="345" t="s">
        <v>749</v>
      </c>
      <c r="CC52" s="345" t="s">
        <v>1261</v>
      </c>
      <c r="CD52" s="345" t="s">
        <v>1264</v>
      </c>
      <c r="CE52" s="345" t="s">
        <v>1264</v>
      </c>
      <c r="CF52" s="345" t="s">
        <v>1265</v>
      </c>
      <c r="CG52" s="345" t="s">
        <v>1262</v>
      </c>
      <c r="CH52" s="91"/>
      <c r="CI52" s="92"/>
      <c r="CJ52" s="92"/>
      <c r="CK52" s="93"/>
      <c r="CL52" s="1049"/>
      <c r="CM52" s="300"/>
      <c r="CN52" s="367"/>
      <c r="CO52" s="357" t="s">
        <v>749</v>
      </c>
      <c r="CP52" s="357" t="s">
        <v>1261</v>
      </c>
      <c r="CQ52" s="357" t="s">
        <v>1262</v>
      </c>
      <c r="CR52" s="1049"/>
      <c r="CS52" s="357" t="s">
        <v>749</v>
      </c>
      <c r="CT52" s="357" t="s">
        <v>1272</v>
      </c>
      <c r="CU52" s="357" t="s">
        <v>1273</v>
      </c>
      <c r="CV52" s="1049"/>
      <c r="CW52" s="357" t="s">
        <v>749</v>
      </c>
      <c r="CX52" s="357" t="s">
        <v>1304</v>
      </c>
      <c r="CY52" s="357" t="s">
        <v>1311</v>
      </c>
      <c r="CZ52" s="1049"/>
      <c r="DA52" s="357" t="s">
        <v>749</v>
      </c>
      <c r="DB52" s="357" t="s">
        <v>1310</v>
      </c>
      <c r="DC52" s="357" t="s">
        <v>1305</v>
      </c>
      <c r="DD52" s="1049"/>
      <c r="DE52" s="357" t="s">
        <v>749</v>
      </c>
      <c r="DF52" s="357" t="s">
        <v>1306</v>
      </c>
      <c r="DG52" s="357" t="s">
        <v>1307</v>
      </c>
      <c r="DH52" s="1049"/>
      <c r="DI52" s="357" t="s">
        <v>749</v>
      </c>
      <c r="DJ52" s="357" t="s">
        <v>1308</v>
      </c>
      <c r="DK52" s="357" t="s">
        <v>1309</v>
      </c>
      <c r="EJ52" s="300"/>
      <c r="EK52" s="300"/>
      <c r="EL52" s="300"/>
      <c r="EM52" s="300"/>
      <c r="EN52" s="300"/>
      <c r="EO52" s="300"/>
      <c r="FG52" s="278">
        <v>65</v>
      </c>
      <c r="FH52" s="278">
        <v>1.8</v>
      </c>
      <c r="FI52" s="278">
        <v>0.28999999999999998</v>
      </c>
      <c r="FJ52" s="278">
        <f t="shared" si="8"/>
        <v>28.914875064575327</v>
      </c>
      <c r="FK52" s="278">
        <f t="shared" si="9"/>
        <v>63.426177561003939</v>
      </c>
      <c r="FL52" s="278">
        <f t="shared" si="10"/>
        <v>37.309516212355256</v>
      </c>
      <c r="FM52" s="278">
        <f t="shared" si="11"/>
        <v>0.30071599147182332</v>
      </c>
      <c r="FN52" s="278">
        <f t="shared" si="6"/>
        <v>10.217631819555841</v>
      </c>
      <c r="FO52" s="278">
        <f t="shared" si="7"/>
        <v>28.467874502641394</v>
      </c>
    </row>
    <row r="53" spans="2:171" ht="48.75" customHeight="1">
      <c r="B53" s="279">
        <v>7</v>
      </c>
      <c r="C53" s="279">
        <v>-0.25900000000000001</v>
      </c>
      <c r="D53" s="279">
        <v>-0.17699999999999999</v>
      </c>
      <c r="E53" s="279">
        <v>-0.158</v>
      </c>
      <c r="F53" s="279">
        <v>-0.14899999999999999</v>
      </c>
      <c r="G53" s="279">
        <v>-0.14499999999999999</v>
      </c>
      <c r="H53" s="279">
        <v>-0.13600000000000001</v>
      </c>
      <c r="U53" s="710" t="s">
        <v>662</v>
      </c>
      <c r="V53" s="1714"/>
      <c r="W53" s="1714"/>
      <c r="X53" s="1714"/>
      <c r="Y53" s="301" t="s">
        <v>466</v>
      </c>
      <c r="Z53" s="285"/>
      <c r="AA53" s="285"/>
      <c r="AB53" s="285"/>
      <c r="AC53" s="285"/>
      <c r="AD53" s="1385" t="s">
        <v>726</v>
      </c>
      <c r="AE53" s="1385"/>
      <c r="AF53" s="279" t="s">
        <v>442</v>
      </c>
      <c r="AG53" s="279">
        <v>1</v>
      </c>
      <c r="AH53" s="279">
        <v>1</v>
      </c>
      <c r="AI53" s="279">
        <v>1</v>
      </c>
      <c r="AJ53" s="279">
        <v>1</v>
      </c>
      <c r="AL53" s="300"/>
      <c r="AM53" s="300"/>
      <c r="AN53" s="300"/>
      <c r="AP53" s="91"/>
      <c r="AQ53" s="92"/>
      <c r="AR53" s="194"/>
      <c r="AS53" s="194"/>
      <c r="AT53" s="194"/>
      <c r="AU53" s="194"/>
      <c r="AV53" s="195"/>
      <c r="BD53" s="300"/>
      <c r="BE53" s="300"/>
      <c r="BF53" s="300"/>
      <c r="BG53" s="300"/>
      <c r="BH53" s="300"/>
      <c r="CB53" s="347">
        <v>8.8999999999999996E-2</v>
      </c>
      <c r="CC53" s="345">
        <v>16000</v>
      </c>
      <c r="CD53" s="345">
        <v>16250</v>
      </c>
      <c r="CE53" s="345">
        <v>16500</v>
      </c>
      <c r="CF53" s="345">
        <v>16750</v>
      </c>
      <c r="CG53" s="345">
        <v>17000</v>
      </c>
      <c r="CH53" s="94"/>
      <c r="CI53" s="95"/>
      <c r="CJ53" s="95"/>
      <c r="CK53" s="96"/>
      <c r="CL53" s="1049"/>
      <c r="CM53" s="300"/>
      <c r="CN53" s="367"/>
      <c r="CO53" s="358">
        <v>8.8999999999999996E-2</v>
      </c>
      <c r="CP53" s="357">
        <v>16000</v>
      </c>
      <c r="CQ53" s="357">
        <v>17000</v>
      </c>
      <c r="CR53" s="1049"/>
      <c r="CS53" s="358">
        <v>8.8999999999999996E-2</v>
      </c>
      <c r="CT53" s="357"/>
      <c r="CU53" s="357"/>
      <c r="CV53" s="1049"/>
      <c r="CW53" s="358">
        <v>8.8999999999999996E-2</v>
      </c>
      <c r="CX53" s="357"/>
      <c r="CY53" s="357"/>
      <c r="CZ53" s="1049"/>
      <c r="DA53" s="358">
        <v>8.8999999999999996E-2</v>
      </c>
      <c r="DB53" s="357"/>
      <c r="DC53" s="357"/>
      <c r="DD53" s="1049"/>
      <c r="DE53" s="358">
        <v>8.8999999999999996E-2</v>
      </c>
      <c r="DF53" s="357"/>
      <c r="DG53" s="357"/>
      <c r="DH53" s="1049"/>
      <c r="DI53" s="358">
        <v>8.8999999999999996E-2</v>
      </c>
      <c r="DJ53" s="357"/>
      <c r="DK53" s="357"/>
      <c r="EJ53" s="300"/>
      <c r="EK53" s="300"/>
      <c r="EL53" s="300"/>
      <c r="EM53" s="300"/>
      <c r="EN53" s="300"/>
      <c r="EO53" s="300"/>
      <c r="FG53" s="278">
        <v>68</v>
      </c>
      <c r="FH53" s="278">
        <v>1.6</v>
      </c>
      <c r="FI53" s="278">
        <v>0.3</v>
      </c>
      <c r="FJ53" s="278">
        <f t="shared" si="8"/>
        <v>29.409182239565926</v>
      </c>
      <c r="FK53" s="278">
        <f t="shared" si="9"/>
        <v>64.510464267434941</v>
      </c>
      <c r="FL53" s="278">
        <f t="shared" si="10"/>
        <v>37.947331922020552</v>
      </c>
      <c r="FM53" s="278">
        <f>FI53*2/((((FI53+0.02)*12)^(1/2)))</f>
        <v>0.30618621784789729</v>
      </c>
      <c r="FN53" s="278">
        <f t="shared" si="6"/>
        <v>10.392304845413264</v>
      </c>
      <c r="FO53" s="278">
        <f t="shared" si="7"/>
        <v>28.783359568397731</v>
      </c>
    </row>
    <row r="54" spans="2:171" ht="48.75" customHeight="1">
      <c r="B54" s="279">
        <v>9</v>
      </c>
      <c r="C54" s="279">
        <v>-0.70699999999999996</v>
      </c>
      <c r="D54" s="279">
        <v>-0.33300000000000002</v>
      </c>
      <c r="E54" s="279">
        <v>-0.27</v>
      </c>
      <c r="F54" s="279">
        <v>-0.247</v>
      </c>
      <c r="G54" s="279">
        <v>-0.23599999999999999</v>
      </c>
      <c r="H54" s="279">
        <v>-0.21199999999999999</v>
      </c>
      <c r="U54" s="685" t="s">
        <v>746</v>
      </c>
      <c r="V54" s="686"/>
      <c r="W54" s="686"/>
      <c r="X54" s="687"/>
      <c r="Y54" s="301" t="s">
        <v>745</v>
      </c>
      <c r="Z54" s="285"/>
      <c r="AA54" s="285"/>
      <c r="AB54" s="285"/>
      <c r="AC54" s="285"/>
      <c r="AD54" s="1385"/>
      <c r="AE54" s="1385"/>
      <c r="AF54" s="279" t="s">
        <v>442</v>
      </c>
      <c r="AG54" s="279">
        <v>2</v>
      </c>
      <c r="AH54" s="279">
        <v>2</v>
      </c>
      <c r="AI54" s="279">
        <v>2</v>
      </c>
      <c r="AJ54" s="279">
        <v>2</v>
      </c>
      <c r="AL54" s="300"/>
      <c r="AM54" s="300"/>
      <c r="AN54" s="300"/>
      <c r="AP54" s="193"/>
      <c r="AQ54" s="194"/>
      <c r="AR54" s="194"/>
      <c r="AS54" s="194"/>
      <c r="AT54" s="194"/>
      <c r="AU54" s="194"/>
      <c r="AV54" s="195"/>
      <c r="BG54" s="300"/>
      <c r="BH54" s="300"/>
      <c r="CB54" s="345" t="s">
        <v>749</v>
      </c>
      <c r="CC54" s="345" t="s">
        <v>1261</v>
      </c>
      <c r="CD54" s="345" t="s">
        <v>1264</v>
      </c>
      <c r="CE54" s="345" t="s">
        <v>1264</v>
      </c>
      <c r="CF54" s="345" t="s">
        <v>1265</v>
      </c>
      <c r="CG54" s="345" t="s">
        <v>1265</v>
      </c>
      <c r="CH54" s="345" t="s">
        <v>1265</v>
      </c>
      <c r="CI54" s="345" t="s">
        <v>1265</v>
      </c>
      <c r="CJ54" s="345" t="s">
        <v>1265</v>
      </c>
      <c r="CK54" s="345" t="s">
        <v>1262</v>
      </c>
      <c r="CL54" s="1049"/>
      <c r="CM54" s="300"/>
      <c r="CN54" s="367"/>
      <c r="CO54" s="358">
        <v>0.1</v>
      </c>
      <c r="CP54" s="357">
        <v>16000</v>
      </c>
      <c r="CQ54" s="357">
        <v>18000</v>
      </c>
      <c r="CR54" s="1049"/>
      <c r="CS54" s="358">
        <v>0.1</v>
      </c>
      <c r="CT54" s="357"/>
      <c r="CU54" s="357"/>
      <c r="CV54" s="1049"/>
      <c r="CW54" s="358">
        <v>0.1</v>
      </c>
      <c r="CX54" s="357"/>
      <c r="CY54" s="357"/>
      <c r="CZ54" s="1049"/>
      <c r="DA54" s="358">
        <v>0.1</v>
      </c>
      <c r="DB54" s="357"/>
      <c r="DC54" s="357"/>
      <c r="DD54" s="1049"/>
      <c r="DE54" s="358">
        <v>0.1</v>
      </c>
      <c r="DF54" s="357"/>
      <c r="DG54" s="357"/>
      <c r="DH54" s="1049"/>
      <c r="DI54" s="358">
        <v>0.1</v>
      </c>
      <c r="DJ54" s="357"/>
      <c r="DK54" s="357"/>
      <c r="EJ54" s="300"/>
      <c r="EK54" s="300"/>
      <c r="EL54" s="300"/>
      <c r="EM54" s="300"/>
      <c r="EN54" s="300"/>
      <c r="EO54" s="300"/>
      <c r="FG54" s="278">
        <v>48</v>
      </c>
      <c r="FH54" s="278">
        <v>1.4</v>
      </c>
      <c r="FI54" s="278">
        <v>0.31</v>
      </c>
      <c r="FJ54" s="278">
        <f t="shared" si="8"/>
        <v>29.89531735907816</v>
      </c>
      <c r="FK54" s="278">
        <f t="shared" si="9"/>
        <v>65.576825174752088</v>
      </c>
      <c r="FL54" s="278">
        <f t="shared" si="10"/>
        <v>38.57460304397182</v>
      </c>
      <c r="FM54" s="278">
        <f t="shared" si="11"/>
        <v>0.31156172273035576</v>
      </c>
      <c r="FN54" s="278">
        <f t="shared" si="6"/>
        <v>10.564090116995404</v>
      </c>
      <c r="FO54" s="278">
        <f t="shared" si="7"/>
        <v>29.091077444168253</v>
      </c>
    </row>
    <row r="55" spans="2:171" ht="48.75" customHeight="1">
      <c r="B55" s="279">
        <v>11</v>
      </c>
      <c r="C55" s="279">
        <v>-0.96599999999999997</v>
      </c>
      <c r="D55" s="279">
        <v>-0.17699999999999999</v>
      </c>
      <c r="E55" s="279">
        <v>-0.126</v>
      </c>
      <c r="F55" s="279">
        <v>-0.11</v>
      </c>
      <c r="G55" s="279">
        <v>-0.10199999999999999</v>
      </c>
      <c r="H55" s="279">
        <v>-8.6999999999999994E-2</v>
      </c>
      <c r="W55" s="285"/>
      <c r="X55" s="285"/>
      <c r="Y55" s="131"/>
      <c r="Z55" s="285"/>
      <c r="AA55" s="285"/>
      <c r="AB55" s="285"/>
      <c r="AC55" s="285"/>
      <c r="AD55" s="1385"/>
      <c r="AE55" s="1385"/>
      <c r="AF55" s="279" t="s">
        <v>442</v>
      </c>
      <c r="AG55" s="279" t="s">
        <v>442</v>
      </c>
      <c r="AH55" s="279">
        <v>3</v>
      </c>
      <c r="AI55" s="279">
        <v>4</v>
      </c>
      <c r="AJ55" s="279">
        <v>5</v>
      </c>
      <c r="AP55" s="193"/>
      <c r="AQ55" s="194"/>
      <c r="AR55" s="194"/>
      <c r="AS55" s="194"/>
      <c r="AT55" s="194"/>
      <c r="AU55" s="194"/>
      <c r="AV55" s="195"/>
      <c r="AX55" s="1033" t="s">
        <v>1296</v>
      </c>
      <c r="AY55" s="1033"/>
      <c r="AZ55" s="1033"/>
      <c r="BA55" s="1033"/>
      <c r="BB55" s="1033"/>
      <c r="BC55" s="1033"/>
      <c r="BD55" s="1033"/>
      <c r="BE55" s="1033"/>
      <c r="BF55" s="140"/>
      <c r="BG55" s="300"/>
      <c r="BH55" s="1033" t="s">
        <v>1297</v>
      </c>
      <c r="BI55" s="1033"/>
      <c r="BJ55" s="1033"/>
      <c r="BK55" s="1033"/>
      <c r="BL55" s="1033"/>
      <c r="BM55" s="1033"/>
      <c r="BN55" s="1033"/>
      <c r="BO55" s="1033"/>
      <c r="BP55" s="140"/>
      <c r="CB55" s="347">
        <v>0.1</v>
      </c>
      <c r="CC55" s="345">
        <v>16000</v>
      </c>
      <c r="CD55" s="345">
        <v>16250</v>
      </c>
      <c r="CE55" s="345">
        <v>16500</v>
      </c>
      <c r="CF55" s="345">
        <v>16750</v>
      </c>
      <c r="CG55" s="345">
        <v>17000</v>
      </c>
      <c r="CH55" s="345">
        <v>17250</v>
      </c>
      <c r="CI55" s="345">
        <v>17500</v>
      </c>
      <c r="CJ55" s="345">
        <v>17750</v>
      </c>
      <c r="CK55" s="345">
        <v>18000</v>
      </c>
      <c r="CL55" s="1049"/>
      <c r="CM55" s="300"/>
      <c r="CN55" s="367"/>
      <c r="CO55" s="358">
        <v>0.11600000000000001</v>
      </c>
      <c r="CP55" s="357">
        <v>17000</v>
      </c>
      <c r="CQ55" s="357">
        <v>19000</v>
      </c>
      <c r="CR55" s="1049"/>
      <c r="CS55" s="358">
        <v>0.11600000000000001</v>
      </c>
      <c r="CT55" s="357"/>
      <c r="CU55" s="357"/>
      <c r="CV55" s="1049"/>
      <c r="CW55" s="358">
        <v>0.11600000000000001</v>
      </c>
      <c r="CX55" s="357"/>
      <c r="CY55" s="357"/>
      <c r="CZ55" s="1049"/>
      <c r="DA55" s="358">
        <v>0.11600000000000001</v>
      </c>
      <c r="DB55" s="357"/>
      <c r="DC55" s="357"/>
      <c r="DD55" s="1049"/>
      <c r="DE55" s="358">
        <v>0.11600000000000001</v>
      </c>
      <c r="DF55" s="357"/>
      <c r="DG55" s="357"/>
      <c r="DH55" s="1049"/>
      <c r="DI55" s="358">
        <v>0.11600000000000001</v>
      </c>
      <c r="DJ55" s="357"/>
      <c r="DK55" s="357"/>
      <c r="EJ55" s="300"/>
      <c r="EK55" s="300"/>
      <c r="EL55" s="300"/>
      <c r="EM55" s="300"/>
      <c r="EN55" s="300"/>
      <c r="EO55" s="300"/>
      <c r="FG55" s="278">
        <v>50</v>
      </c>
      <c r="FH55" s="278">
        <v>1.2</v>
      </c>
      <c r="FI55" s="278">
        <v>0.32</v>
      </c>
      <c r="FJ55" s="278">
        <f t="shared" si="8"/>
        <v>30.373672810511408</v>
      </c>
      <c r="FK55" s="278">
        <f t="shared" si="9"/>
        <v>66.626121003702437</v>
      </c>
      <c r="FL55" s="278">
        <f t="shared" si="10"/>
        <v>39.191835884530846</v>
      </c>
      <c r="FM55" s="278">
        <f t="shared" si="11"/>
        <v>0.31684721375253577</v>
      </c>
      <c r="FN55" s="278">
        <f t="shared" si="6"/>
        <v>10.733126291998991</v>
      </c>
      <c r="FO55" s="278">
        <f t="shared" si="7"/>
        <v>29.396725539109795</v>
      </c>
    </row>
    <row r="56" spans="2:171" ht="48.75" customHeight="1">
      <c r="W56" s="285"/>
      <c r="X56" s="285"/>
      <c r="Y56" s="131"/>
      <c r="Z56" s="285"/>
      <c r="AA56" s="285"/>
      <c r="AB56" s="285"/>
      <c r="AP56" s="193"/>
      <c r="AQ56" s="194"/>
      <c r="AR56" s="194"/>
      <c r="AS56" s="194"/>
      <c r="AT56" s="194"/>
      <c r="AU56" s="194"/>
      <c r="AV56" s="195"/>
      <c r="AX56" s="1819"/>
      <c r="AY56" s="1728" t="s">
        <v>1298</v>
      </c>
      <c r="AZ56" s="1724"/>
      <c r="BA56" s="1724"/>
      <c r="BB56" s="1724"/>
      <c r="BC56" s="1724"/>
      <c r="BD56" s="1724"/>
      <c r="BE56" s="1725"/>
      <c r="BF56" s="1819"/>
      <c r="BG56" s="300"/>
      <c r="BH56" s="1819"/>
      <c r="BI56" s="1728" t="s">
        <v>1298</v>
      </c>
      <c r="BJ56" s="1724"/>
      <c r="BK56" s="1724"/>
      <c r="BL56" s="1724"/>
      <c r="BM56" s="1724"/>
      <c r="BN56" s="1724"/>
      <c r="BO56" s="1725"/>
      <c r="BP56" s="1819"/>
      <c r="CB56" s="345" t="s">
        <v>749</v>
      </c>
      <c r="CC56" s="345" t="s">
        <v>1261</v>
      </c>
      <c r="CD56" s="345" t="s">
        <v>1264</v>
      </c>
      <c r="CE56" s="345" t="s">
        <v>1264</v>
      </c>
      <c r="CF56" s="345" t="s">
        <v>1265</v>
      </c>
      <c r="CG56" s="345" t="s">
        <v>1265</v>
      </c>
      <c r="CH56" s="345" t="s">
        <v>1265</v>
      </c>
      <c r="CI56" s="345" t="s">
        <v>1265</v>
      </c>
      <c r="CJ56" s="345" t="s">
        <v>1265</v>
      </c>
      <c r="CK56" s="345" t="s">
        <v>1262</v>
      </c>
      <c r="CL56" s="1049"/>
      <c r="CM56" s="300"/>
      <c r="CN56" s="367"/>
      <c r="CO56" s="358">
        <v>0.13100000000000001</v>
      </c>
      <c r="CP56" s="357">
        <v>19000</v>
      </c>
      <c r="CQ56" s="357">
        <v>21000</v>
      </c>
      <c r="CR56" s="1049"/>
      <c r="CS56" s="358">
        <v>0.13100000000000001</v>
      </c>
      <c r="CT56" s="357"/>
      <c r="CU56" s="357"/>
      <c r="CV56" s="1049"/>
      <c r="CW56" s="358">
        <v>0.13100000000000001</v>
      </c>
      <c r="CX56" s="357"/>
      <c r="CY56" s="357"/>
      <c r="CZ56" s="1049"/>
      <c r="DA56" s="358">
        <v>0.13100000000000001</v>
      </c>
      <c r="DB56" s="357"/>
      <c r="DC56" s="357"/>
      <c r="DD56" s="1049"/>
      <c r="DE56" s="358">
        <v>0.13100000000000001</v>
      </c>
      <c r="DF56" s="357"/>
      <c r="DG56" s="357"/>
      <c r="DH56" s="1049"/>
      <c r="DI56" s="358">
        <v>0.13100000000000001</v>
      </c>
      <c r="DJ56" s="357"/>
      <c r="DK56" s="357"/>
      <c r="EJ56" s="300"/>
      <c r="EK56" s="300"/>
      <c r="EL56" s="300"/>
      <c r="EM56" s="300"/>
      <c r="EN56" s="300"/>
      <c r="EO56" s="300"/>
      <c r="FG56" s="278">
        <v>52</v>
      </c>
      <c r="FH56" s="278">
        <v>1</v>
      </c>
      <c r="FI56" s="278">
        <v>0.33</v>
      </c>
      <c r="FJ56" s="278">
        <f t="shared" si="8"/>
        <v>30.844610550305219</v>
      </c>
      <c r="FK56" s="278">
        <f t="shared" si="9"/>
        <v>67.659145723250163</v>
      </c>
      <c r="FL56" s="278">
        <f t="shared" si="10"/>
        <v>39.799497484264798</v>
      </c>
      <c r="FM56" s="278">
        <f t="shared" si="11"/>
        <v>0.32204702407301594</v>
      </c>
      <c r="FN56" s="278">
        <f t="shared" si="6"/>
        <v>10.89954127475097</v>
      </c>
      <c r="FO56" s="278">
        <f t="shared" si="7"/>
        <v>29.6973109060526</v>
      </c>
    </row>
    <row r="57" spans="2:171" ht="48.75" customHeight="1">
      <c r="W57" s="285"/>
      <c r="X57" s="285"/>
      <c r="Y57" s="131"/>
      <c r="Z57" s="285"/>
      <c r="AA57" s="285"/>
      <c r="AB57" s="285"/>
      <c r="AP57" s="193"/>
      <c r="AQ57" s="194"/>
      <c r="AR57" s="194"/>
      <c r="AS57" s="194"/>
      <c r="AT57" s="194"/>
      <c r="AU57" s="194"/>
      <c r="AV57" s="195"/>
      <c r="AX57" s="1820"/>
      <c r="AY57" s="1745"/>
      <c r="AZ57" s="1746"/>
      <c r="BA57" s="1746"/>
      <c r="BB57" s="1746"/>
      <c r="BC57" s="1746"/>
      <c r="BD57" s="1746"/>
      <c r="BE57" s="1747"/>
      <c r="BF57" s="1820"/>
      <c r="BG57" s="300"/>
      <c r="BH57" s="1820"/>
      <c r="BI57" s="1745"/>
      <c r="BJ57" s="1746"/>
      <c r="BK57" s="1746"/>
      <c r="BL57" s="1746"/>
      <c r="BM57" s="1746"/>
      <c r="BN57" s="1746"/>
      <c r="BO57" s="1747"/>
      <c r="BP57" s="1820"/>
      <c r="CB57" s="347">
        <v>0.11600000000000001</v>
      </c>
      <c r="CC57" s="345">
        <v>17000</v>
      </c>
      <c r="CD57" s="345">
        <v>17250</v>
      </c>
      <c r="CE57" s="345">
        <v>17500</v>
      </c>
      <c r="CF57" s="345">
        <v>17750</v>
      </c>
      <c r="CG57" s="345">
        <v>18000</v>
      </c>
      <c r="CH57" s="345">
        <v>18250</v>
      </c>
      <c r="CI57" s="345">
        <v>18500</v>
      </c>
      <c r="CJ57" s="345">
        <v>18750</v>
      </c>
      <c r="CK57" s="345">
        <v>19000</v>
      </c>
      <c r="CL57" s="1049"/>
      <c r="CM57" s="300"/>
      <c r="CN57" s="367"/>
      <c r="CO57" s="358">
        <v>0.14899999999999999</v>
      </c>
      <c r="CP57" s="357">
        <v>20750</v>
      </c>
      <c r="CQ57" s="357">
        <v>22750</v>
      </c>
      <c r="CR57" s="1049"/>
      <c r="CS57" s="358">
        <v>0.14899999999999999</v>
      </c>
      <c r="CT57" s="357"/>
      <c r="CU57" s="357"/>
      <c r="CV57" s="1049"/>
      <c r="CW57" s="358">
        <v>0.14899999999999999</v>
      </c>
      <c r="CX57" s="357"/>
      <c r="CY57" s="357"/>
      <c r="CZ57" s="1049"/>
      <c r="DA57" s="358">
        <v>0.14899999999999999</v>
      </c>
      <c r="DB57" s="357"/>
      <c r="DC57" s="357"/>
      <c r="DD57" s="1049"/>
      <c r="DE57" s="358">
        <v>0.14899999999999999</v>
      </c>
      <c r="DF57" s="357"/>
      <c r="DG57" s="357"/>
      <c r="DH57" s="1049"/>
      <c r="DI57" s="358">
        <v>0.14899999999999999</v>
      </c>
      <c r="DJ57" s="357"/>
      <c r="DK57" s="357"/>
      <c r="EJ57" s="300"/>
      <c r="EK57" s="300"/>
      <c r="EL57" s="300"/>
      <c r="EM57" s="300"/>
      <c r="EN57" s="300"/>
      <c r="EO57" s="300"/>
      <c r="FG57" s="278">
        <v>54</v>
      </c>
      <c r="FH57" s="278">
        <v>0.8</v>
      </c>
      <c r="FI57" s="278">
        <v>0.34</v>
      </c>
      <c r="FJ57" s="278">
        <f t="shared" si="8"/>
        <v>31.308465308922443</v>
      </c>
      <c r="FK57" s="278">
        <f t="shared" si="9"/>
        <v>68.676633580862131</v>
      </c>
      <c r="FL57" s="278">
        <f t="shared" si="10"/>
        <v>40.39801975344831</v>
      </c>
      <c r="FM57" s="278">
        <f t="shared" si="11"/>
        <v>0.32716515254078793</v>
      </c>
      <c r="FN57" s="278">
        <f t="shared" si="6"/>
        <v>11.063453348751466</v>
      </c>
      <c r="FO57" s="278">
        <f t="shared" si="7"/>
        <v>29.993110036965906</v>
      </c>
    </row>
    <row r="58" spans="2:171" ht="48.75" customHeight="1">
      <c r="W58" s="285"/>
      <c r="X58" s="285"/>
      <c r="Y58" s="131"/>
      <c r="Z58" s="285"/>
      <c r="AA58" s="285"/>
      <c r="AB58" s="285"/>
      <c r="AE58" s="1728" t="s">
        <v>750</v>
      </c>
      <c r="AF58" s="1724"/>
      <c r="AG58" s="1724"/>
      <c r="AH58" s="1724"/>
      <c r="AI58" s="1724"/>
      <c r="AJ58" s="1724"/>
      <c r="AK58" s="1724"/>
      <c r="AL58" s="1724"/>
      <c r="AM58" s="1724"/>
      <c r="AN58" s="1073"/>
      <c r="AP58" s="193"/>
      <c r="AQ58" s="194"/>
      <c r="AR58" s="194"/>
      <c r="AS58" s="194"/>
      <c r="AT58" s="194"/>
      <c r="AU58" s="194"/>
      <c r="AV58" s="195"/>
      <c r="AX58" s="1820"/>
      <c r="AY58" s="1745"/>
      <c r="AZ58" s="1746"/>
      <c r="BA58" s="1746"/>
      <c r="BB58" s="1746"/>
      <c r="BC58" s="1746"/>
      <c r="BD58" s="1746"/>
      <c r="BE58" s="1747"/>
      <c r="BF58" s="1821"/>
      <c r="BG58" s="300"/>
      <c r="BH58" s="1821"/>
      <c r="BI58" s="1745"/>
      <c r="BJ58" s="1746"/>
      <c r="BK58" s="1746"/>
      <c r="BL58" s="1746"/>
      <c r="BM58" s="1746"/>
      <c r="BN58" s="1746"/>
      <c r="BO58" s="1747"/>
      <c r="BP58" s="1821"/>
      <c r="CB58" s="345" t="s">
        <v>749</v>
      </c>
      <c r="CC58" s="345" t="s">
        <v>1261</v>
      </c>
      <c r="CD58" s="345" t="s">
        <v>1264</v>
      </c>
      <c r="CE58" s="345" t="s">
        <v>1264</v>
      </c>
      <c r="CF58" s="345" t="s">
        <v>1265</v>
      </c>
      <c r="CG58" s="345" t="s">
        <v>1265</v>
      </c>
      <c r="CH58" s="345" t="s">
        <v>1265</v>
      </c>
      <c r="CI58" s="345" t="s">
        <v>1265</v>
      </c>
      <c r="CJ58" s="345" t="s">
        <v>1265</v>
      </c>
      <c r="CK58" s="345" t="s">
        <v>1262</v>
      </c>
      <c r="CL58" s="1049"/>
      <c r="CM58" s="300"/>
      <c r="CN58" s="367"/>
      <c r="CO58" s="358">
        <v>0.16800000000000001</v>
      </c>
      <c r="CP58" s="357">
        <v>21750</v>
      </c>
      <c r="CQ58" s="357">
        <v>23750</v>
      </c>
      <c r="CR58" s="1049"/>
      <c r="CS58" s="358">
        <v>0.16800000000000001</v>
      </c>
      <c r="CT58" s="357"/>
      <c r="CU58" s="357"/>
      <c r="CV58" s="1049"/>
      <c r="CW58" s="358">
        <v>0.16800000000000001</v>
      </c>
      <c r="CX58" s="357"/>
      <c r="CY58" s="357"/>
      <c r="CZ58" s="1049"/>
      <c r="DA58" s="358">
        <v>0.16800000000000001</v>
      </c>
      <c r="DB58" s="357"/>
      <c r="DC58" s="357"/>
      <c r="DD58" s="1049"/>
      <c r="DE58" s="358">
        <v>0.16800000000000001</v>
      </c>
      <c r="DF58" s="357"/>
      <c r="DG58" s="357"/>
      <c r="DH58" s="1049"/>
      <c r="DI58" s="358">
        <v>0.16800000000000001</v>
      </c>
      <c r="DJ58" s="357"/>
      <c r="DK58" s="357"/>
      <c r="EJ58" s="300"/>
      <c r="EK58" s="300"/>
      <c r="EL58" s="300"/>
      <c r="EM58" s="300"/>
      <c r="EN58" s="300"/>
      <c r="EO58" s="300"/>
      <c r="FG58" s="278">
        <v>56</v>
      </c>
      <c r="FH58" s="278">
        <v>0.6</v>
      </c>
      <c r="FI58" s="278">
        <v>0.35</v>
      </c>
      <c r="FJ58" s="278">
        <f t="shared" si="8"/>
        <v>31.76554737447475</v>
      </c>
      <c r="FK58" s="278">
        <f t="shared" si="9"/>
        <v>69.679265208525266</v>
      </c>
      <c r="FL58" s="278">
        <f t="shared" si="10"/>
        <v>40.987803063838385</v>
      </c>
      <c r="FM58" s="278">
        <f t="shared" si="11"/>
        <v>0.33220529851337466</v>
      </c>
      <c r="FN58" s="278">
        <f t="shared" si="6"/>
        <v>11.224972160321823</v>
      </c>
      <c r="FO58" s="278">
        <f t="shared" si="7"/>
        <v>30.284371366959171</v>
      </c>
    </row>
    <row r="59" spans="2:171" ht="48.75" customHeight="1">
      <c r="AE59" s="1729"/>
      <c r="AF59" s="1726"/>
      <c r="AG59" s="1726"/>
      <c r="AH59" s="1726"/>
      <c r="AI59" s="1726"/>
      <c r="AJ59" s="1726"/>
      <c r="AK59" s="1726"/>
      <c r="AL59" s="1726"/>
      <c r="AM59" s="1726"/>
      <c r="AN59" s="1072"/>
      <c r="AP59" s="94"/>
      <c r="AQ59" s="95"/>
      <c r="AR59" s="95"/>
      <c r="AS59" s="95"/>
      <c r="AT59" s="95"/>
      <c r="AU59" s="95"/>
      <c r="AV59" s="96"/>
      <c r="AX59" s="661" t="s">
        <v>1144</v>
      </c>
      <c r="AY59" s="662">
        <f>'Вывод расчетов'!$AZ$21</f>
        <v>0.313</v>
      </c>
      <c r="AZ59" s="661" t="s">
        <v>428</v>
      </c>
      <c r="BA59" s="664">
        <f>'Вывод расчетов'!$AW$16</f>
        <v>2</v>
      </c>
      <c r="BB59" s="863" t="s">
        <v>965</v>
      </c>
      <c r="BC59" s="863"/>
      <c r="BD59" s="863"/>
      <c r="BE59" s="664" t="str">
        <f>'Вывод расчетов'!O45</f>
        <v>IP44</v>
      </c>
      <c r="BF59" s="93"/>
      <c r="BG59" s="300"/>
      <c r="BH59" s="1141"/>
      <c r="BI59" s="1142"/>
      <c r="BJ59" s="1142"/>
      <c r="BK59" s="1142"/>
      <c r="BL59" s="1142"/>
      <c r="BM59" s="1142"/>
      <c r="BN59" s="1142"/>
      <c r="BO59" s="1142"/>
      <c r="BP59" s="1143"/>
      <c r="CB59" s="347">
        <v>0.13100000000000001</v>
      </c>
      <c r="CC59" s="345">
        <v>19000</v>
      </c>
      <c r="CD59" s="345">
        <v>19250</v>
      </c>
      <c r="CE59" s="345">
        <v>19500</v>
      </c>
      <c r="CF59" s="345">
        <v>19750</v>
      </c>
      <c r="CG59" s="345">
        <v>20000</v>
      </c>
      <c r="CH59" s="345">
        <v>20250</v>
      </c>
      <c r="CI59" s="345">
        <v>20500</v>
      </c>
      <c r="CJ59" s="345">
        <v>20750</v>
      </c>
      <c r="CK59" s="345">
        <v>21000</v>
      </c>
      <c r="CL59" s="1049"/>
      <c r="CM59" s="300"/>
      <c r="CN59" s="367"/>
      <c r="CO59" s="358">
        <v>0.191</v>
      </c>
      <c r="CP59" s="357">
        <v>23000</v>
      </c>
      <c r="CQ59" s="357">
        <v>25000</v>
      </c>
      <c r="CR59" s="1049"/>
      <c r="CS59" s="358">
        <v>0.191</v>
      </c>
      <c r="CT59" s="357"/>
      <c r="CU59" s="357"/>
      <c r="CV59" s="1049"/>
      <c r="CW59" s="358">
        <v>0.191</v>
      </c>
      <c r="CX59" s="357"/>
      <c r="CY59" s="357"/>
      <c r="CZ59" s="1049"/>
      <c r="DA59" s="358">
        <v>0.191</v>
      </c>
      <c r="DB59" s="357"/>
      <c r="DC59" s="357"/>
      <c r="DD59" s="1049"/>
      <c r="DE59" s="358">
        <v>0.191</v>
      </c>
      <c r="DF59" s="357"/>
      <c r="DG59" s="357"/>
      <c r="DH59" s="1049"/>
      <c r="DI59" s="358">
        <v>0.191</v>
      </c>
      <c r="DJ59" s="357"/>
      <c r="DK59" s="357"/>
      <c r="EJ59" s="300"/>
      <c r="EK59" s="300"/>
      <c r="EL59" s="300"/>
      <c r="EM59" s="300"/>
      <c r="EN59" s="300"/>
      <c r="EO59" s="300"/>
      <c r="EU59" s="300"/>
      <c r="EV59" s="300"/>
      <c r="EW59" s="300"/>
      <c r="EX59" s="300"/>
      <c r="EY59" s="300"/>
      <c r="EZ59" s="300"/>
      <c r="FG59" s="278">
        <v>58</v>
      </c>
      <c r="FH59" s="278">
        <v>0.4</v>
      </c>
      <c r="FI59" s="278">
        <v>0.36</v>
      </c>
      <c r="FJ59" s="278">
        <f t="shared" si="8"/>
        <v>32.21614502078112</v>
      </c>
      <c r="FK59" s="278">
        <f t="shared" si="9"/>
        <v>70.667672948810207</v>
      </c>
      <c r="FL59" s="278">
        <f t="shared" si="10"/>
        <v>41.569219381653056</v>
      </c>
      <c r="FM59" s="278">
        <f t="shared" si="11"/>
        <v>0.33717089216940982</v>
      </c>
      <c r="FN59" s="278">
        <f t="shared" si="6"/>
        <v>11.384199576606166</v>
      </c>
      <c r="FO59" s="278">
        <f t="shared" si="7"/>
        <v>30.571319531816371</v>
      </c>
    </row>
    <row r="60" spans="2:171" ht="48.75" customHeight="1">
      <c r="B60" s="1033" t="s">
        <v>535</v>
      </c>
      <c r="C60" s="1033"/>
      <c r="D60" s="1033"/>
      <c r="E60" s="1033"/>
      <c r="F60" s="1033"/>
      <c r="G60" s="1033"/>
      <c r="H60" s="1033"/>
      <c r="I60" s="1033"/>
      <c r="J60" s="1033"/>
      <c r="K60" s="1033"/>
      <c r="L60" s="1033"/>
      <c r="M60" s="1033"/>
      <c r="N60" s="1033"/>
      <c r="O60" s="1033"/>
      <c r="P60" s="1033"/>
      <c r="Q60" s="1033"/>
      <c r="R60" s="1033"/>
      <c r="S60" s="1033"/>
      <c r="T60" s="1033"/>
      <c r="U60" s="281"/>
      <c r="AE60" s="1141"/>
      <c r="AF60" s="1142"/>
      <c r="AG60" s="1142"/>
      <c r="AH60" s="1142"/>
      <c r="AI60" s="1142"/>
      <c r="AJ60" s="1142"/>
      <c r="AK60" s="1142"/>
      <c r="AL60" s="1142"/>
      <c r="AM60" s="1142"/>
      <c r="AN60" s="1143"/>
      <c r="AS60" s="12"/>
      <c r="AT60" s="12"/>
      <c r="AU60" s="12"/>
      <c r="AV60" s="12"/>
      <c r="AX60" s="193"/>
      <c r="AY60" s="194"/>
      <c r="AZ60" s="194"/>
      <c r="BA60" s="194"/>
      <c r="BB60" s="194"/>
      <c r="BC60" s="194"/>
      <c r="BD60" s="194"/>
      <c r="BE60" s="194"/>
      <c r="BF60" s="195"/>
      <c r="BG60" s="300"/>
      <c r="BH60" s="1144"/>
      <c r="BI60" s="1145"/>
      <c r="BJ60" s="1145"/>
      <c r="BK60" s="1145"/>
      <c r="BL60" s="1145"/>
      <c r="BM60" s="1145"/>
      <c r="BN60" s="1145"/>
      <c r="BO60" s="1145"/>
      <c r="BP60" s="1146"/>
      <c r="CB60" s="345" t="s">
        <v>749</v>
      </c>
      <c r="CC60" s="345" t="s">
        <v>1261</v>
      </c>
      <c r="CD60" s="345" t="s">
        <v>1264</v>
      </c>
      <c r="CE60" s="345" t="s">
        <v>1264</v>
      </c>
      <c r="CF60" s="345" t="s">
        <v>1265</v>
      </c>
      <c r="CG60" s="345" t="s">
        <v>1265</v>
      </c>
      <c r="CH60" s="345" t="s">
        <v>1265</v>
      </c>
      <c r="CI60" s="345" t="s">
        <v>1265</v>
      </c>
      <c r="CJ60" s="345" t="s">
        <v>1265</v>
      </c>
      <c r="CK60" s="345" t="s">
        <v>1262</v>
      </c>
      <c r="CL60" s="1049"/>
      <c r="CM60" s="300"/>
      <c r="CN60" s="367"/>
      <c r="CO60" s="358">
        <v>0.22500000000000001</v>
      </c>
      <c r="CP60" s="357">
        <v>24250</v>
      </c>
      <c r="CQ60" s="357">
        <v>26250</v>
      </c>
      <c r="CR60" s="1049"/>
      <c r="CS60" s="358">
        <v>0.22500000000000001</v>
      </c>
      <c r="CT60" s="357"/>
      <c r="CU60" s="357"/>
      <c r="CV60" s="1049"/>
      <c r="CW60" s="358">
        <v>0.22500000000000001</v>
      </c>
      <c r="CX60" s="357"/>
      <c r="CY60" s="357"/>
      <c r="CZ60" s="1049"/>
      <c r="DA60" s="358">
        <v>0.22500000000000001</v>
      </c>
      <c r="DB60" s="357"/>
      <c r="DC60" s="357"/>
      <c r="DD60" s="1049"/>
      <c r="DE60" s="358">
        <v>0.22500000000000001</v>
      </c>
      <c r="DF60" s="357"/>
      <c r="DG60" s="357"/>
      <c r="DH60" s="1049"/>
      <c r="DI60" s="358">
        <v>0.22500000000000001</v>
      </c>
      <c r="DJ60" s="357"/>
      <c r="DK60" s="357"/>
      <c r="EJ60" s="300"/>
      <c r="EK60" s="300"/>
      <c r="EL60" s="300"/>
      <c r="EM60" s="300"/>
      <c r="EN60" s="300"/>
      <c r="EO60" s="300"/>
      <c r="EU60" s="300"/>
      <c r="EV60" s="300"/>
      <c r="EW60" s="300"/>
      <c r="EX60" s="300"/>
      <c r="EY60" s="300"/>
      <c r="EZ60" s="300"/>
      <c r="FG60" s="278">
        <v>60</v>
      </c>
      <c r="FH60" s="278">
        <v>0.19999999999998999</v>
      </c>
      <c r="FI60" s="278">
        <v>0.37</v>
      </c>
      <c r="FJ60" s="278">
        <f t="shared" si="8"/>
        <v>32.660526633843489</v>
      </c>
      <c r="FK60" s="278">
        <f t="shared" si="9"/>
        <v>71.64244551939862</v>
      </c>
      <c r="FL60" s="278">
        <f t="shared" si="10"/>
        <v>42.142615011410953</v>
      </c>
      <c r="FM60" s="278">
        <f t="shared" si="11"/>
        <v>0.34206512100555803</v>
      </c>
      <c r="FN60" s="278">
        <f t="shared" si="6"/>
        <v>11.541230437002806</v>
      </c>
      <c r="FO60" s="278">
        <f t="shared" si="7"/>
        <v>30.854158787071718</v>
      </c>
    </row>
    <row r="61" spans="2:171" ht="48.75" customHeight="1">
      <c r="B61" s="1789" t="s">
        <v>478</v>
      </c>
      <c r="C61" s="1789" t="s">
        <v>479</v>
      </c>
      <c r="D61" s="1789" t="s">
        <v>865</v>
      </c>
      <c r="E61" s="1731"/>
      <c r="F61" s="1789" t="s">
        <v>478</v>
      </c>
      <c r="G61" s="1789" t="s">
        <v>479</v>
      </c>
      <c r="H61" s="1789" t="s">
        <v>865</v>
      </c>
      <c r="I61" s="1731"/>
      <c r="J61" s="1789" t="s">
        <v>478</v>
      </c>
      <c r="K61" s="1789" t="s">
        <v>479</v>
      </c>
      <c r="L61" s="1789" t="s">
        <v>865</v>
      </c>
      <c r="M61" s="1731"/>
      <c r="N61" s="1789" t="s">
        <v>478</v>
      </c>
      <c r="O61" s="1789" t="s">
        <v>479</v>
      </c>
      <c r="P61" s="1789" t="s">
        <v>865</v>
      </c>
      <c r="Q61" s="1731"/>
      <c r="R61" s="1732" t="s">
        <v>536</v>
      </c>
      <c r="S61" s="1733"/>
      <c r="T61" s="1733"/>
      <c r="U61" s="1734"/>
      <c r="AE61" s="1144"/>
      <c r="AF61" s="1145"/>
      <c r="AG61" s="1145"/>
      <c r="AH61" s="1145"/>
      <c r="AI61" s="1145"/>
      <c r="AJ61" s="1145"/>
      <c r="AK61" s="1145"/>
      <c r="AL61" s="1145"/>
      <c r="AM61" s="1145"/>
      <c r="AN61" s="1146"/>
      <c r="AX61" s="193"/>
      <c r="AY61" s="194"/>
      <c r="AZ61" s="194"/>
      <c r="BA61" s="194"/>
      <c r="BB61" s="194"/>
      <c r="BC61" s="194"/>
      <c r="BD61" s="194"/>
      <c r="BE61" s="194"/>
      <c r="BF61" s="195"/>
      <c r="BH61" s="1144"/>
      <c r="BI61" s="1145"/>
      <c r="BJ61" s="1145"/>
      <c r="BK61" s="1145"/>
      <c r="BL61" s="1145"/>
      <c r="BM61" s="1145"/>
      <c r="BN61" s="1145"/>
      <c r="BO61" s="1145"/>
      <c r="BP61" s="1146"/>
      <c r="CB61" s="347">
        <v>0.14899999999999999</v>
      </c>
      <c r="CC61" s="345">
        <v>20750</v>
      </c>
      <c r="CD61" s="345">
        <v>21000</v>
      </c>
      <c r="CE61" s="345">
        <v>21250</v>
      </c>
      <c r="CF61" s="345">
        <v>21500</v>
      </c>
      <c r="CG61" s="345">
        <v>21750</v>
      </c>
      <c r="CH61" s="345">
        <v>22000</v>
      </c>
      <c r="CI61" s="345">
        <v>22250</v>
      </c>
      <c r="CJ61" s="345">
        <v>22500</v>
      </c>
      <c r="CK61" s="345">
        <v>22750</v>
      </c>
      <c r="CL61" s="1049"/>
      <c r="CM61" s="300"/>
      <c r="CN61" s="367"/>
      <c r="CO61" s="358">
        <v>0.27200000000000002</v>
      </c>
      <c r="CP61" s="357">
        <v>34750</v>
      </c>
      <c r="CQ61" s="357">
        <v>36750</v>
      </c>
      <c r="CR61" s="1049"/>
      <c r="CS61" s="358">
        <v>0.27200000000000002</v>
      </c>
      <c r="CT61" s="357"/>
      <c r="CU61" s="357"/>
      <c r="CV61" s="1049"/>
      <c r="CW61" s="358">
        <v>0.27200000000000002</v>
      </c>
      <c r="CX61" s="357"/>
      <c r="CY61" s="357"/>
      <c r="CZ61" s="1049"/>
      <c r="DA61" s="358">
        <v>0.27200000000000002</v>
      </c>
      <c r="DB61" s="357"/>
      <c r="DC61" s="357"/>
      <c r="DD61" s="1049"/>
      <c r="DE61" s="358">
        <v>0.27200000000000002</v>
      </c>
      <c r="DF61" s="357"/>
      <c r="DG61" s="357"/>
      <c r="DH61" s="1049"/>
      <c r="DI61" s="358">
        <v>0.27200000000000002</v>
      </c>
      <c r="DJ61" s="357"/>
      <c r="DK61" s="357"/>
      <c r="EJ61" s="300"/>
      <c r="EK61" s="300"/>
      <c r="EL61" s="300"/>
      <c r="EM61" s="300"/>
      <c r="EN61" s="300"/>
      <c r="EO61" s="300"/>
      <c r="EU61" s="300"/>
      <c r="EV61" s="300"/>
      <c r="EW61" s="300"/>
      <c r="EX61" s="300"/>
      <c r="EY61" s="300"/>
      <c r="EZ61" s="300"/>
      <c r="FG61" s="278">
        <v>62</v>
      </c>
      <c r="FH61" s="278">
        <v>0</v>
      </c>
      <c r="FI61" s="278">
        <v>0.38</v>
      </c>
      <c r="FJ61" s="278">
        <f t="shared" si="8"/>
        <v>33.098942581297067</v>
      </c>
      <c r="FK61" s="278">
        <f t="shared" si="9"/>
        <v>72.604132113812909</v>
      </c>
      <c r="FL61" s="278">
        <f t="shared" si="10"/>
        <v>42.708313008125245</v>
      </c>
      <c r="FM61" s="278">
        <f t="shared" si="11"/>
        <v>0.34689095308660517</v>
      </c>
      <c r="FN61" s="278">
        <f t="shared" si="6"/>
        <v>11.696153213770756</v>
      </c>
      <c r="FO61" s="278">
        <f t="shared" si="7"/>
        <v>31.133075784787366</v>
      </c>
    </row>
    <row r="62" spans="2:171" ht="48.75" customHeight="1">
      <c r="B62" s="1385"/>
      <c r="C62" s="1385"/>
      <c r="D62" s="1385"/>
      <c r="E62" s="1236"/>
      <c r="F62" s="1385"/>
      <c r="G62" s="1385"/>
      <c r="H62" s="1385"/>
      <c r="I62" s="1236"/>
      <c r="J62" s="1385"/>
      <c r="K62" s="1385"/>
      <c r="L62" s="1385"/>
      <c r="M62" s="1236"/>
      <c r="N62" s="1385"/>
      <c r="O62" s="1385"/>
      <c r="P62" s="1385"/>
      <c r="Q62" s="1236"/>
      <c r="R62" s="1735"/>
      <c r="S62" s="1736"/>
      <c r="T62" s="1736"/>
      <c r="U62" s="1737"/>
      <c r="AE62" s="1144"/>
      <c r="AF62" s="1145"/>
      <c r="AG62" s="1145"/>
      <c r="AH62" s="1145"/>
      <c r="AI62" s="1145"/>
      <c r="AJ62" s="1145"/>
      <c r="AK62" s="1145"/>
      <c r="AL62" s="1145"/>
      <c r="AM62" s="1145"/>
      <c r="AN62" s="1146"/>
      <c r="AX62" s="193"/>
      <c r="AY62" s="194"/>
      <c r="AZ62" s="194"/>
      <c r="BA62" s="194"/>
      <c r="BB62" s="194"/>
      <c r="BC62" s="194"/>
      <c r="BD62" s="194"/>
      <c r="BE62" s="194"/>
      <c r="BF62" s="195"/>
      <c r="BH62" s="1144"/>
      <c r="BI62" s="1145"/>
      <c r="BJ62" s="1145"/>
      <c r="BK62" s="1145"/>
      <c r="BL62" s="1145"/>
      <c r="BM62" s="1145"/>
      <c r="BN62" s="1145"/>
      <c r="BO62" s="1145"/>
      <c r="BP62" s="1146"/>
      <c r="CB62" s="345" t="s">
        <v>749</v>
      </c>
      <c r="CC62" s="345" t="s">
        <v>1261</v>
      </c>
      <c r="CD62" s="345" t="s">
        <v>1264</v>
      </c>
      <c r="CE62" s="345" t="s">
        <v>1264</v>
      </c>
      <c r="CF62" s="345" t="s">
        <v>1265</v>
      </c>
      <c r="CG62" s="345" t="s">
        <v>1265</v>
      </c>
      <c r="CH62" s="345" t="s">
        <v>1265</v>
      </c>
      <c r="CI62" s="345" t="s">
        <v>1265</v>
      </c>
      <c r="CJ62" s="345" t="s">
        <v>1265</v>
      </c>
      <c r="CK62" s="345" t="s">
        <v>1262</v>
      </c>
      <c r="CL62" s="1049"/>
      <c r="CM62" s="300"/>
      <c r="CN62" s="367"/>
      <c r="CO62" s="358">
        <v>0.313</v>
      </c>
      <c r="CP62" s="357">
        <v>36250</v>
      </c>
      <c r="CQ62" s="357">
        <v>38250</v>
      </c>
      <c r="CR62" s="1049"/>
      <c r="CS62" s="358">
        <v>0.313</v>
      </c>
      <c r="CT62" s="357"/>
      <c r="CU62" s="357"/>
      <c r="CV62" s="1049"/>
      <c r="CW62" s="358">
        <v>0.313</v>
      </c>
      <c r="CX62" s="357"/>
      <c r="CY62" s="357"/>
      <c r="CZ62" s="1049"/>
      <c r="DA62" s="358">
        <v>0.313</v>
      </c>
      <c r="DB62" s="357"/>
      <c r="DC62" s="357"/>
      <c r="DD62" s="1049"/>
      <c r="DE62" s="358">
        <v>0.313</v>
      </c>
      <c r="DF62" s="357"/>
      <c r="DG62" s="357"/>
      <c r="DH62" s="1049"/>
      <c r="DI62" s="358">
        <v>0.313</v>
      </c>
      <c r="DJ62" s="357"/>
      <c r="DK62" s="357"/>
      <c r="EJ62" s="300"/>
      <c r="EK62" s="300"/>
      <c r="EL62" s="300"/>
      <c r="EM62" s="300"/>
      <c r="EN62" s="300"/>
      <c r="EO62" s="300"/>
      <c r="EU62" s="300"/>
      <c r="EV62" s="300"/>
      <c r="EW62" s="300"/>
      <c r="EX62" s="300"/>
      <c r="EY62" s="300"/>
      <c r="EZ62" s="300"/>
      <c r="FG62" s="278">
        <v>64</v>
      </c>
      <c r="FH62" s="278">
        <v>-0.20000000000001</v>
      </c>
      <c r="FI62" s="278">
        <v>0.39</v>
      </c>
      <c r="FJ62" s="278">
        <f t="shared" si="8"/>
        <v>33.531626861815099</v>
      </c>
      <c r="FK62" s="278">
        <f t="shared" si="9"/>
        <v>73.553246019465377</v>
      </c>
      <c r="FL62" s="278">
        <f t="shared" si="10"/>
        <v>43.266615305567868</v>
      </c>
      <c r="FM62" s="278">
        <f t="shared" si="11"/>
        <v>0.35165115752029863</v>
      </c>
      <c r="FN62" s="278">
        <f t="shared" si="6"/>
        <v>11.8490505948789</v>
      </c>
      <c r="FO62" s="278">
        <f t="shared" si="7"/>
        <v>31.408241852392507</v>
      </c>
    </row>
    <row r="63" spans="2:171" ht="48.75" customHeight="1">
      <c r="B63" s="1385"/>
      <c r="C63" s="1385"/>
      <c r="D63" s="1385"/>
      <c r="E63" s="1236"/>
      <c r="F63" s="1385"/>
      <c r="G63" s="1385"/>
      <c r="H63" s="1385"/>
      <c r="I63" s="1236"/>
      <c r="J63" s="1385"/>
      <c r="K63" s="1385"/>
      <c r="L63" s="1385"/>
      <c r="M63" s="1236"/>
      <c r="N63" s="1385"/>
      <c r="O63" s="1385"/>
      <c r="P63" s="1385"/>
      <c r="Q63" s="1236"/>
      <c r="R63" s="1735"/>
      <c r="S63" s="1736"/>
      <c r="T63" s="1736"/>
      <c r="U63" s="1737"/>
      <c r="AE63" s="1144"/>
      <c r="AF63" s="1145"/>
      <c r="AG63" s="1145"/>
      <c r="AH63" s="1145"/>
      <c r="AI63" s="1145"/>
      <c r="AJ63" s="1145"/>
      <c r="AK63" s="1145"/>
      <c r="AL63" s="1145"/>
      <c r="AM63" s="1145"/>
      <c r="AN63" s="1146"/>
      <c r="AO63" s="97"/>
      <c r="AP63" s="97"/>
      <c r="AQ63" s="97"/>
      <c r="AX63" s="193"/>
      <c r="AY63" s="194"/>
      <c r="AZ63" s="194"/>
      <c r="BA63" s="194"/>
      <c r="BB63" s="194"/>
      <c r="BC63" s="194"/>
      <c r="BD63" s="194"/>
      <c r="BE63" s="194"/>
      <c r="BF63" s="195"/>
      <c r="BH63" s="1144"/>
      <c r="BI63" s="1145"/>
      <c r="BJ63" s="1145"/>
      <c r="BK63" s="1145"/>
      <c r="BL63" s="1145"/>
      <c r="BM63" s="1145"/>
      <c r="BN63" s="1145"/>
      <c r="BO63" s="1145"/>
      <c r="BP63" s="1146"/>
      <c r="CB63" s="347">
        <v>0.16800000000000001</v>
      </c>
      <c r="CC63" s="345">
        <v>21750</v>
      </c>
      <c r="CD63" s="345">
        <v>22000</v>
      </c>
      <c r="CE63" s="345">
        <v>22250</v>
      </c>
      <c r="CF63" s="345">
        <v>22500</v>
      </c>
      <c r="CG63" s="345">
        <v>22750</v>
      </c>
      <c r="CH63" s="345">
        <v>23000</v>
      </c>
      <c r="CI63" s="345">
        <v>23250</v>
      </c>
      <c r="CJ63" s="345">
        <v>23500</v>
      </c>
      <c r="CK63" s="345">
        <v>23750</v>
      </c>
      <c r="CL63" s="1049"/>
      <c r="CM63" s="300"/>
      <c r="CN63" s="367"/>
      <c r="CO63" s="358">
        <v>0.34899999999999998</v>
      </c>
      <c r="CP63" s="357">
        <v>38250</v>
      </c>
      <c r="CQ63" s="357">
        <v>40000</v>
      </c>
      <c r="CR63" s="1049"/>
      <c r="CS63" s="358">
        <v>0.34899999999999998</v>
      </c>
      <c r="CT63" s="357"/>
      <c r="CU63" s="357"/>
      <c r="CV63" s="1049"/>
      <c r="CW63" s="358">
        <v>0.34899999999999998</v>
      </c>
      <c r="CX63" s="357"/>
      <c r="CY63" s="357"/>
      <c r="CZ63" s="1049"/>
      <c r="DA63" s="358">
        <v>0.34899999999999998</v>
      </c>
      <c r="DB63" s="357"/>
      <c r="DC63" s="357"/>
      <c r="DD63" s="1049"/>
      <c r="DE63" s="358">
        <v>0.34899999999999998</v>
      </c>
      <c r="DF63" s="357"/>
      <c r="DG63" s="357"/>
      <c r="DH63" s="1049"/>
      <c r="DI63" s="358">
        <v>0.34899999999999998</v>
      </c>
      <c r="DJ63" s="357"/>
      <c r="DK63" s="357"/>
      <c r="EJ63" s="300"/>
      <c r="EK63" s="300"/>
      <c r="EL63" s="300"/>
      <c r="EM63" s="300"/>
      <c r="EN63" s="300"/>
      <c r="EO63" s="300"/>
      <c r="EU63" s="300"/>
      <c r="EV63" s="300"/>
      <c r="EW63" s="300"/>
      <c r="EX63" s="300"/>
      <c r="EY63" s="300"/>
      <c r="EZ63" s="300"/>
      <c r="FG63" s="278">
        <v>66</v>
      </c>
      <c r="FH63" s="278">
        <v>-0.40000000000001001</v>
      </c>
      <c r="FI63" s="278">
        <v>0.4</v>
      </c>
      <c r="FJ63" s="278">
        <f t="shared" si="8"/>
        <v>33.958798565320301</v>
      </c>
      <c r="FK63" s="278">
        <f t="shared" si="9"/>
        <v>74.490267820702599</v>
      </c>
      <c r="FL63" s="278">
        <f t="shared" si="10"/>
        <v>43.817804600413297</v>
      </c>
      <c r="FM63" s="278">
        <f t="shared" si="11"/>
        <v>0.35634832254989918</v>
      </c>
      <c r="FN63" s="278">
        <f t="shared" si="6"/>
        <v>12</v>
      </c>
      <c r="FO63" s="278">
        <f t="shared" si="7"/>
        <v>31.679814881132735</v>
      </c>
    </row>
    <row r="64" spans="2:171" ht="48.75" customHeight="1">
      <c r="B64" s="279">
        <v>0.08</v>
      </c>
      <c r="C64" s="279">
        <v>0.1</v>
      </c>
      <c r="D64" s="279">
        <v>5.0200000000000002E-3</v>
      </c>
      <c r="E64" s="1073"/>
      <c r="F64" s="279">
        <v>0.28000000000000003</v>
      </c>
      <c r="G64" s="279">
        <v>0.315</v>
      </c>
      <c r="H64" s="279">
        <v>6.1600000000000002E-2</v>
      </c>
      <c r="I64" s="1073"/>
      <c r="J64" s="279">
        <v>0.8</v>
      </c>
      <c r="K64" s="279">
        <v>0.86499999999999999</v>
      </c>
      <c r="L64" s="279">
        <v>0.503</v>
      </c>
      <c r="M64" s="1073"/>
      <c r="N64" s="279">
        <v>2.2400000000000002</v>
      </c>
      <c r="O64" s="279">
        <v>2.34</v>
      </c>
      <c r="P64" s="279">
        <v>3.94</v>
      </c>
      <c r="Q64" s="1073"/>
      <c r="R64" s="1735"/>
      <c r="S64" s="1736"/>
      <c r="T64" s="1736"/>
      <c r="U64" s="1737"/>
      <c r="AE64" s="1144"/>
      <c r="AF64" s="1145"/>
      <c r="AG64" s="1145"/>
      <c r="AH64" s="1145"/>
      <c r="AI64" s="1145"/>
      <c r="AJ64" s="1145"/>
      <c r="AK64" s="1145"/>
      <c r="AL64" s="1145"/>
      <c r="AM64" s="1145"/>
      <c r="AN64" s="1146"/>
      <c r="AO64" s="97"/>
      <c r="AP64" s="97"/>
      <c r="AQ64" s="97"/>
      <c r="AX64" s="193"/>
      <c r="AY64" s="194"/>
      <c r="AZ64" s="194"/>
      <c r="BA64" s="194"/>
      <c r="BB64" s="194"/>
      <c r="BC64" s="194"/>
      <c r="BD64" s="194"/>
      <c r="BE64" s="194"/>
      <c r="BF64" s="195"/>
      <c r="BH64" s="1144"/>
      <c r="BI64" s="1145"/>
      <c r="BJ64" s="1145"/>
      <c r="BK64" s="1145"/>
      <c r="BL64" s="1145"/>
      <c r="BM64" s="1145"/>
      <c r="BN64" s="1145"/>
      <c r="BO64" s="1145"/>
      <c r="BP64" s="1146"/>
      <c r="CB64" s="345" t="s">
        <v>749</v>
      </c>
      <c r="CC64" s="345" t="s">
        <v>1261</v>
      </c>
      <c r="CD64" s="345" t="s">
        <v>1264</v>
      </c>
      <c r="CE64" s="345" t="s">
        <v>1264</v>
      </c>
      <c r="CF64" s="345" t="s">
        <v>1265</v>
      </c>
      <c r="CG64" s="345" t="s">
        <v>1265</v>
      </c>
      <c r="CH64" s="345" t="s">
        <v>1265</v>
      </c>
      <c r="CI64" s="345" t="s">
        <v>1265</v>
      </c>
      <c r="CJ64" s="345" t="s">
        <v>1265</v>
      </c>
      <c r="CK64" s="345" t="s">
        <v>1262</v>
      </c>
      <c r="CL64" s="1049"/>
      <c r="CM64" s="300"/>
      <c r="CN64" s="367"/>
      <c r="CO64" s="358">
        <v>0.39200000000000002</v>
      </c>
      <c r="CP64" s="357">
        <v>39500</v>
      </c>
      <c r="CQ64" s="357">
        <v>41500</v>
      </c>
      <c r="CR64" s="1049"/>
      <c r="CS64" s="358">
        <v>0.39200000000000002</v>
      </c>
      <c r="CT64" s="357"/>
      <c r="CU64" s="357"/>
      <c r="CV64" s="1049"/>
      <c r="CW64" s="358">
        <v>0.39200000000000002</v>
      </c>
      <c r="CX64" s="357"/>
      <c r="CY64" s="357"/>
      <c r="CZ64" s="1049"/>
      <c r="DA64" s="358">
        <v>0.39200000000000002</v>
      </c>
      <c r="DB64" s="357"/>
      <c r="DC64" s="357"/>
      <c r="DD64" s="1049"/>
      <c r="DE64" s="358">
        <v>0.39200000000000002</v>
      </c>
      <c r="DF64" s="357"/>
      <c r="DG64" s="357"/>
      <c r="DH64" s="1049"/>
      <c r="DI64" s="358">
        <v>0.39200000000000002</v>
      </c>
      <c r="DJ64" s="357"/>
      <c r="DK64" s="357"/>
      <c r="EJ64" s="300"/>
      <c r="EK64" s="300"/>
      <c r="EL64" s="300"/>
      <c r="EM64" s="300"/>
      <c r="EN64" s="300"/>
      <c r="EO64" s="300"/>
      <c r="EU64" s="300"/>
      <c r="EV64" s="300"/>
      <c r="EW64" s="300"/>
      <c r="EX64" s="300"/>
      <c r="EY64" s="300"/>
      <c r="EZ64" s="300"/>
    </row>
    <row r="65" spans="2:156" ht="48.75" customHeight="1">
      <c r="B65" s="279">
        <v>0.09</v>
      </c>
      <c r="C65" s="279">
        <v>0.11</v>
      </c>
      <c r="D65" s="279">
        <v>6.3600000000000002E-3</v>
      </c>
      <c r="E65" s="1798"/>
      <c r="F65" s="279">
        <v>0.3</v>
      </c>
      <c r="G65" s="279">
        <v>0.33500000000000002</v>
      </c>
      <c r="H65" s="279">
        <v>7.0699999999999999E-2</v>
      </c>
      <c r="I65" s="1798"/>
      <c r="J65" s="279">
        <v>0.85</v>
      </c>
      <c r="K65" s="279">
        <v>0.91500000000000004</v>
      </c>
      <c r="L65" s="279">
        <v>0.56699999999999995</v>
      </c>
      <c r="M65" s="1798"/>
      <c r="N65" s="279">
        <v>2.36</v>
      </c>
      <c r="O65" s="279">
        <v>2.46</v>
      </c>
      <c r="P65" s="279">
        <v>4.3600000000000003</v>
      </c>
      <c r="Q65" s="1798"/>
      <c r="R65" s="1735"/>
      <c r="S65" s="1736"/>
      <c r="T65" s="1736"/>
      <c r="U65" s="1737"/>
      <c r="AE65" s="1144"/>
      <c r="AF65" s="1145"/>
      <c r="AG65" s="1145"/>
      <c r="AH65" s="1145"/>
      <c r="AI65" s="1145"/>
      <c r="AJ65" s="1145"/>
      <c r="AK65" s="1145"/>
      <c r="AL65" s="1145"/>
      <c r="AM65" s="1145"/>
      <c r="AN65" s="1146"/>
      <c r="AO65" s="97"/>
      <c r="AP65" s="97"/>
      <c r="AQ65" s="97"/>
      <c r="AX65" s="193"/>
      <c r="AY65" s="194"/>
      <c r="AZ65" s="194"/>
      <c r="BA65" s="194"/>
      <c r="BB65" s="194"/>
      <c r="BC65" s="194"/>
      <c r="BD65" s="194"/>
      <c r="BE65" s="194"/>
      <c r="BF65" s="195"/>
      <c r="BH65" s="1144"/>
      <c r="BI65" s="1145"/>
      <c r="BJ65" s="1145"/>
      <c r="BK65" s="1145"/>
      <c r="BL65" s="1145"/>
      <c r="BM65" s="1145"/>
      <c r="BN65" s="1145"/>
      <c r="BO65" s="1145"/>
      <c r="BP65" s="1146"/>
      <c r="CB65" s="347">
        <v>0.191</v>
      </c>
      <c r="CC65" s="345">
        <v>23000</v>
      </c>
      <c r="CD65" s="345">
        <v>23250</v>
      </c>
      <c r="CE65" s="345">
        <v>23500</v>
      </c>
      <c r="CF65" s="345">
        <v>23750</v>
      </c>
      <c r="CG65" s="345">
        <v>24000</v>
      </c>
      <c r="CH65" s="345">
        <v>24250</v>
      </c>
      <c r="CI65" s="345">
        <v>24500</v>
      </c>
      <c r="CJ65" s="345">
        <v>24750</v>
      </c>
      <c r="CK65" s="345">
        <v>25000</v>
      </c>
      <c r="CL65" s="1049"/>
      <c r="CM65" s="300"/>
      <c r="CN65" s="367"/>
      <c r="CO65" s="358">
        <v>0.437</v>
      </c>
      <c r="CP65" s="357">
        <v>40750</v>
      </c>
      <c r="CQ65" s="357">
        <v>42750</v>
      </c>
      <c r="CR65" s="1049"/>
      <c r="CS65" s="358">
        <v>0.437</v>
      </c>
      <c r="CT65" s="357"/>
      <c r="CU65" s="357"/>
      <c r="CV65" s="1049"/>
      <c r="CW65" s="358">
        <v>0.437</v>
      </c>
      <c r="CX65" s="357"/>
      <c r="CY65" s="357"/>
      <c r="CZ65" s="1049"/>
      <c r="DA65" s="358">
        <v>0.437</v>
      </c>
      <c r="DB65" s="357"/>
      <c r="DC65" s="357"/>
      <c r="DD65" s="1049"/>
      <c r="DE65" s="358">
        <v>0.437</v>
      </c>
      <c r="DF65" s="357"/>
      <c r="DG65" s="357"/>
      <c r="DH65" s="1049"/>
      <c r="DI65" s="358">
        <v>0.437</v>
      </c>
      <c r="DJ65" s="357"/>
      <c r="DK65" s="357"/>
      <c r="EJ65" s="300"/>
      <c r="EK65" s="300"/>
      <c r="EL65" s="300"/>
      <c r="EM65" s="300"/>
      <c r="EN65" s="300"/>
      <c r="EO65" s="300"/>
      <c r="EU65" s="300"/>
      <c r="EV65" s="300"/>
      <c r="EW65" s="300"/>
      <c r="EX65" s="300"/>
      <c r="EY65" s="300"/>
      <c r="EZ65" s="300"/>
    </row>
    <row r="66" spans="2:156" ht="48.75" customHeight="1">
      <c r="B66" s="279">
        <v>0.1</v>
      </c>
      <c r="C66" s="279">
        <v>0.122</v>
      </c>
      <c r="D66" s="279">
        <v>7.8499999999999993E-3</v>
      </c>
      <c r="E66" s="1798"/>
      <c r="F66" s="279">
        <v>0.315</v>
      </c>
      <c r="G66" s="279">
        <v>0.35</v>
      </c>
      <c r="H66" s="279">
        <v>7.7899999999999997E-2</v>
      </c>
      <c r="I66" s="1798"/>
      <c r="J66" s="279">
        <v>0.9</v>
      </c>
      <c r="K66" s="279">
        <v>0.96499999999999997</v>
      </c>
      <c r="L66" s="279">
        <v>0.63600000000000001</v>
      </c>
      <c r="M66" s="1798"/>
      <c r="N66" s="279">
        <v>2.5</v>
      </c>
      <c r="O66" s="279">
        <v>2.6</v>
      </c>
      <c r="P66" s="279">
        <v>4.91</v>
      </c>
      <c r="Q66" s="1798"/>
      <c r="R66" s="91"/>
      <c r="S66" s="92"/>
      <c r="T66" s="92"/>
      <c r="U66" s="93"/>
      <c r="AE66" s="1144"/>
      <c r="AF66" s="1145"/>
      <c r="AG66" s="1145"/>
      <c r="AH66" s="1145"/>
      <c r="AI66" s="1145"/>
      <c r="AJ66" s="1145"/>
      <c r="AK66" s="1145"/>
      <c r="AL66" s="1145"/>
      <c r="AM66" s="1145"/>
      <c r="AN66" s="1146"/>
      <c r="AO66" s="97"/>
      <c r="AP66" s="97"/>
      <c r="AQ66" s="97"/>
      <c r="AX66" s="193"/>
      <c r="AY66" s="194"/>
      <c r="AZ66" s="194"/>
      <c r="BA66" s="194"/>
      <c r="BB66" s="194"/>
      <c r="BC66" s="194"/>
      <c r="BD66" s="194"/>
      <c r="BE66" s="194"/>
      <c r="BF66" s="195"/>
      <c r="BH66" s="1144"/>
      <c r="BI66" s="1145"/>
      <c r="BJ66" s="1145"/>
      <c r="BK66" s="1145"/>
      <c r="BL66" s="1145"/>
      <c r="BM66" s="1145"/>
      <c r="BN66" s="1145"/>
      <c r="BO66" s="1145"/>
      <c r="BP66" s="1146"/>
      <c r="CB66" s="345" t="s">
        <v>749</v>
      </c>
      <c r="CC66" s="345" t="s">
        <v>1261</v>
      </c>
      <c r="CD66" s="345" t="s">
        <v>1264</v>
      </c>
      <c r="CE66" s="345" t="s">
        <v>1264</v>
      </c>
      <c r="CF66" s="345" t="s">
        <v>1265</v>
      </c>
      <c r="CG66" s="345" t="s">
        <v>1265</v>
      </c>
      <c r="CH66" s="345" t="s">
        <v>1265</v>
      </c>
      <c r="CI66" s="345" t="s">
        <v>1265</v>
      </c>
      <c r="CJ66" s="345" t="s">
        <v>1265</v>
      </c>
      <c r="CK66" s="345" t="s">
        <v>1262</v>
      </c>
      <c r="CL66" s="1049"/>
      <c r="CM66" s="300"/>
      <c r="CN66" s="367"/>
      <c r="CO66" s="358">
        <v>0.53</v>
      </c>
      <c r="CP66" s="357">
        <v>48000</v>
      </c>
      <c r="CQ66" s="357">
        <v>49750</v>
      </c>
      <c r="CR66" s="1049"/>
      <c r="CS66" s="358">
        <v>0.53</v>
      </c>
      <c r="CT66" s="357"/>
      <c r="CU66" s="357"/>
      <c r="CV66" s="1049"/>
      <c r="CW66" s="358">
        <v>0.53</v>
      </c>
      <c r="CX66" s="357"/>
      <c r="CY66" s="357"/>
      <c r="CZ66" s="1049"/>
      <c r="DA66" s="358">
        <v>0.53</v>
      </c>
      <c r="DB66" s="357"/>
      <c r="DC66" s="357"/>
      <c r="DD66" s="1049"/>
      <c r="DE66" s="358">
        <v>0.53</v>
      </c>
      <c r="DF66" s="357"/>
      <c r="DG66" s="357"/>
      <c r="DH66" s="1049"/>
      <c r="DI66" s="358">
        <v>0.53</v>
      </c>
      <c r="DJ66" s="357"/>
      <c r="DK66" s="357"/>
      <c r="EJ66" s="300"/>
      <c r="EK66" s="300"/>
      <c r="EL66" s="300"/>
      <c r="EM66" s="300"/>
      <c r="EN66" s="300"/>
      <c r="EO66" s="300"/>
      <c r="EU66" s="300"/>
      <c r="EV66" s="300"/>
      <c r="EW66" s="300"/>
      <c r="EX66" s="300"/>
      <c r="EY66" s="300"/>
      <c r="EZ66" s="300"/>
    </row>
    <row r="67" spans="2:156" ht="48.75" customHeight="1">
      <c r="B67" s="279">
        <v>0.112</v>
      </c>
      <c r="C67" s="279">
        <v>0.13400000000000001</v>
      </c>
      <c r="D67" s="279">
        <v>9.8499999999999994E-3</v>
      </c>
      <c r="E67" s="1798"/>
      <c r="F67" s="279">
        <v>0.33500000000000002</v>
      </c>
      <c r="G67" s="279">
        <v>0.37</v>
      </c>
      <c r="H67" s="279">
        <v>8.8099999999999998E-2</v>
      </c>
      <c r="I67" s="1798"/>
      <c r="J67" s="279">
        <v>0.95</v>
      </c>
      <c r="K67" s="279">
        <v>1.0149999999999999</v>
      </c>
      <c r="L67" s="279">
        <v>0.70899999999999996</v>
      </c>
      <c r="M67" s="1798"/>
      <c r="N67" s="91"/>
      <c r="O67" s="92"/>
      <c r="P67" s="92"/>
      <c r="Q67" s="859"/>
      <c r="R67" s="193"/>
      <c r="S67" s="194"/>
      <c r="T67" s="194"/>
      <c r="U67" s="195"/>
      <c r="AE67" s="1144"/>
      <c r="AF67" s="1145"/>
      <c r="AG67" s="1145"/>
      <c r="AH67" s="1145"/>
      <c r="AI67" s="1145"/>
      <c r="AJ67" s="1145"/>
      <c r="AK67" s="1145"/>
      <c r="AL67" s="1145"/>
      <c r="AM67" s="1145"/>
      <c r="AN67" s="1146"/>
      <c r="AO67" s="97"/>
      <c r="AP67" s="97"/>
      <c r="AQ67" s="97"/>
      <c r="AX67" s="193"/>
      <c r="AY67" s="194"/>
      <c r="AZ67" s="194"/>
      <c r="BA67" s="194"/>
      <c r="BB67" s="194"/>
      <c r="BC67" s="194"/>
      <c r="BD67" s="194"/>
      <c r="BE67" s="194"/>
      <c r="BF67" s="195"/>
      <c r="BH67" s="1144"/>
      <c r="BI67" s="1145"/>
      <c r="BJ67" s="1145"/>
      <c r="BK67" s="1145"/>
      <c r="BL67" s="1145"/>
      <c r="BM67" s="1145"/>
      <c r="BN67" s="1145"/>
      <c r="BO67" s="1145"/>
      <c r="BP67" s="1146"/>
      <c r="CB67" s="347">
        <v>0.22500000000000001</v>
      </c>
      <c r="CC67" s="345">
        <v>24250</v>
      </c>
      <c r="CD67" s="345">
        <v>24500</v>
      </c>
      <c r="CE67" s="345">
        <v>24750</v>
      </c>
      <c r="CF67" s="345">
        <v>25000</v>
      </c>
      <c r="CG67" s="345">
        <v>25250</v>
      </c>
      <c r="CH67" s="345">
        <v>25500</v>
      </c>
      <c r="CI67" s="345">
        <v>25750</v>
      </c>
      <c r="CJ67" s="345">
        <v>26000</v>
      </c>
      <c r="CK67" s="345">
        <v>26250</v>
      </c>
      <c r="CL67" s="1049"/>
      <c r="CM67" s="300"/>
      <c r="CN67" s="367"/>
      <c r="CO67" s="358">
        <v>0.59</v>
      </c>
      <c r="CP67" s="357">
        <v>49000</v>
      </c>
      <c r="CQ67" s="357">
        <v>50750</v>
      </c>
      <c r="CR67" s="1049"/>
      <c r="CS67" s="358">
        <v>0.59</v>
      </c>
      <c r="CT67" s="357"/>
      <c r="CU67" s="357"/>
      <c r="CV67" s="1049"/>
      <c r="CW67" s="358">
        <v>0.59</v>
      </c>
      <c r="CX67" s="357"/>
      <c r="CY67" s="357"/>
      <c r="CZ67" s="1049"/>
      <c r="DA67" s="358">
        <v>0.59</v>
      </c>
      <c r="DB67" s="357"/>
      <c r="DC67" s="357"/>
      <c r="DD67" s="1049"/>
      <c r="DE67" s="358">
        <v>0.59</v>
      </c>
      <c r="DF67" s="357"/>
      <c r="DG67" s="357"/>
      <c r="DH67" s="1049"/>
      <c r="DI67" s="358">
        <v>0.59</v>
      </c>
      <c r="DJ67" s="357"/>
      <c r="DK67" s="357"/>
      <c r="EJ67" s="300"/>
      <c r="EK67" s="300"/>
      <c r="EL67" s="300"/>
      <c r="EM67" s="300"/>
      <c r="EN67" s="300"/>
      <c r="EO67" s="300"/>
      <c r="EU67" s="300"/>
      <c r="EV67" s="300"/>
      <c r="EW67" s="300"/>
      <c r="EX67" s="300"/>
      <c r="EY67" s="300"/>
      <c r="EZ67" s="300"/>
    </row>
    <row r="68" spans="2:156" ht="48.75" customHeight="1">
      <c r="B68" s="279">
        <v>0.125</v>
      </c>
      <c r="C68" s="279">
        <v>0.14699999999999999</v>
      </c>
      <c r="D68" s="279">
        <v>1.227E-2</v>
      </c>
      <c r="E68" s="1798"/>
      <c r="F68" s="279">
        <v>0.35499999999999998</v>
      </c>
      <c r="G68" s="279">
        <v>0.39500000000000002</v>
      </c>
      <c r="H68" s="279">
        <v>9.9000000000000005E-2</v>
      </c>
      <c r="I68" s="1798"/>
      <c r="J68" s="279">
        <v>1</v>
      </c>
      <c r="K68" s="279">
        <v>1.08</v>
      </c>
      <c r="L68" s="279">
        <v>0.78500000000000003</v>
      </c>
      <c r="M68" s="1798"/>
      <c r="N68" s="193"/>
      <c r="O68" s="194"/>
      <c r="P68" s="194"/>
      <c r="Q68" s="859"/>
      <c r="R68" s="193"/>
      <c r="S68" s="194"/>
      <c r="T68" s="194"/>
      <c r="U68" s="195"/>
      <c r="AE68" s="1144"/>
      <c r="AF68" s="1145"/>
      <c r="AG68" s="1145"/>
      <c r="AH68" s="1145"/>
      <c r="AI68" s="1145"/>
      <c r="AJ68" s="1145"/>
      <c r="AK68" s="1145"/>
      <c r="AL68" s="1145"/>
      <c r="AM68" s="1145"/>
      <c r="AN68" s="1146"/>
      <c r="AO68" s="97"/>
      <c r="AP68" s="97"/>
      <c r="AQ68" s="97"/>
      <c r="AX68" s="193"/>
      <c r="AY68" s="194"/>
      <c r="AZ68" s="194"/>
      <c r="BA68" s="194"/>
      <c r="BB68" s="194"/>
      <c r="BC68" s="194"/>
      <c r="BD68" s="194"/>
      <c r="BE68" s="194"/>
      <c r="BF68" s="195"/>
      <c r="BH68" s="1144"/>
      <c r="BI68" s="1145"/>
      <c r="BJ68" s="1145"/>
      <c r="BK68" s="1145"/>
      <c r="BL68" s="1145"/>
      <c r="BM68" s="1145"/>
      <c r="BN68" s="1145"/>
      <c r="BO68" s="1145"/>
      <c r="BP68" s="1146"/>
      <c r="CB68" s="345" t="s">
        <v>749</v>
      </c>
      <c r="CC68" s="345" t="s">
        <v>1261</v>
      </c>
      <c r="CD68" s="345" t="s">
        <v>1264</v>
      </c>
      <c r="CE68" s="345" t="s">
        <v>1264</v>
      </c>
      <c r="CF68" s="345" t="s">
        <v>1265</v>
      </c>
      <c r="CG68" s="345" t="s">
        <v>1265</v>
      </c>
      <c r="CH68" s="345" t="s">
        <v>1265</v>
      </c>
      <c r="CI68" s="345" t="s">
        <v>1265</v>
      </c>
      <c r="CJ68" s="345" t="s">
        <v>1265</v>
      </c>
      <c r="CK68" s="345" t="s">
        <v>1262</v>
      </c>
      <c r="CL68" s="1049"/>
      <c r="CM68" s="300"/>
      <c r="CN68" s="368"/>
      <c r="CO68" s="358">
        <v>0.66</v>
      </c>
      <c r="CP68" s="357">
        <v>50000</v>
      </c>
      <c r="CQ68" s="357">
        <v>51750</v>
      </c>
      <c r="CR68" s="1049"/>
      <c r="CS68" s="358">
        <v>0.66</v>
      </c>
      <c r="CT68" s="357"/>
      <c r="CU68" s="357"/>
      <c r="CV68" s="1049"/>
      <c r="CW68" s="358">
        <v>0.66</v>
      </c>
      <c r="CX68" s="357"/>
      <c r="CY68" s="357"/>
      <c r="CZ68" s="1049"/>
      <c r="DA68" s="358">
        <v>0.66</v>
      </c>
      <c r="DB68" s="357"/>
      <c r="DC68" s="357"/>
      <c r="DD68" s="1049"/>
      <c r="DE68" s="358">
        <v>0.66</v>
      </c>
      <c r="DF68" s="357"/>
      <c r="DG68" s="357"/>
      <c r="DH68" s="1049"/>
      <c r="DI68" s="358">
        <v>0.66</v>
      </c>
      <c r="DJ68" s="357"/>
      <c r="DK68" s="357"/>
      <c r="EJ68" s="300"/>
      <c r="EK68" s="300"/>
      <c r="EL68" s="300"/>
      <c r="EM68" s="300"/>
      <c r="EN68" s="300"/>
      <c r="EO68" s="300"/>
      <c r="EU68" s="300"/>
      <c r="EV68" s="300"/>
      <c r="EW68" s="300"/>
      <c r="EX68" s="300"/>
      <c r="EY68" s="300"/>
      <c r="EZ68" s="300"/>
    </row>
    <row r="69" spans="2:156" ht="48.75" customHeight="1">
      <c r="B69" s="279">
        <v>0.13200000000000001</v>
      </c>
      <c r="C69" s="279">
        <v>0.154</v>
      </c>
      <c r="D69" s="279">
        <v>1.3679999999999999E-2</v>
      </c>
      <c r="E69" s="1798"/>
      <c r="F69" s="279">
        <v>0.375</v>
      </c>
      <c r="G69" s="279">
        <v>0.41499999999999998</v>
      </c>
      <c r="H69" s="279">
        <v>0.1104</v>
      </c>
      <c r="I69" s="1798"/>
      <c r="J69" s="279">
        <v>1.06</v>
      </c>
      <c r="K69" s="279">
        <v>1.1399999999999999</v>
      </c>
      <c r="L69" s="279">
        <v>0.88300000000000001</v>
      </c>
      <c r="M69" s="1798"/>
      <c r="N69" s="193"/>
      <c r="O69" s="194"/>
      <c r="P69" s="194"/>
      <c r="Q69" s="859"/>
      <c r="R69" s="193"/>
      <c r="S69" s="194"/>
      <c r="T69" s="194"/>
      <c r="U69" s="195"/>
      <c r="AE69" s="1144"/>
      <c r="AF69" s="1145"/>
      <c r="AG69" s="1145"/>
      <c r="AH69" s="1145"/>
      <c r="AI69" s="1145"/>
      <c r="AJ69" s="1145"/>
      <c r="AK69" s="1145"/>
      <c r="AL69" s="1145"/>
      <c r="AM69" s="1145"/>
      <c r="AN69" s="1146"/>
      <c r="AO69" s="97"/>
      <c r="AP69" s="97"/>
      <c r="AQ69" s="97"/>
      <c r="AX69" s="193"/>
      <c r="AY69" s="194"/>
      <c r="AZ69" s="194"/>
      <c r="BA69" s="194"/>
      <c r="BB69" s="194"/>
      <c r="BC69" s="194"/>
      <c r="BD69" s="194"/>
      <c r="BE69" s="194"/>
      <c r="BF69" s="195"/>
      <c r="BH69" s="1144"/>
      <c r="BI69" s="1145"/>
      <c r="BJ69" s="1145"/>
      <c r="BK69" s="1145"/>
      <c r="BL69" s="1145"/>
      <c r="BM69" s="1145"/>
      <c r="BN69" s="1145"/>
      <c r="BO69" s="1145"/>
      <c r="BP69" s="1146"/>
      <c r="CB69" s="347">
        <v>0.27200000000000002</v>
      </c>
      <c r="CC69" s="345">
        <v>34750</v>
      </c>
      <c r="CD69" s="345">
        <v>35000</v>
      </c>
      <c r="CE69" s="345">
        <v>35250</v>
      </c>
      <c r="CF69" s="345">
        <v>35500</v>
      </c>
      <c r="CG69" s="345">
        <v>35750</v>
      </c>
      <c r="CH69" s="345">
        <v>36000</v>
      </c>
      <c r="CI69" s="345">
        <v>36250</v>
      </c>
      <c r="CJ69" s="345">
        <v>36500</v>
      </c>
      <c r="CK69" s="345">
        <v>36750</v>
      </c>
      <c r="CL69" s="1049"/>
      <c r="CM69" s="300"/>
      <c r="CN69" s="300"/>
      <c r="DL69" s="300"/>
      <c r="DM69" s="300"/>
      <c r="DN69" s="300"/>
      <c r="DO69" s="300"/>
      <c r="DP69" s="300"/>
      <c r="DQ69" s="300"/>
      <c r="DR69" s="300"/>
      <c r="DS69" s="300"/>
      <c r="DT69" s="300"/>
      <c r="DU69" s="300"/>
      <c r="DV69" s="300"/>
      <c r="DW69" s="300"/>
      <c r="DX69" s="300"/>
      <c r="DY69" s="300"/>
      <c r="DZ69" s="300"/>
      <c r="EA69" s="300"/>
      <c r="EB69" s="300"/>
      <c r="EC69" s="300"/>
      <c r="ED69" s="300"/>
      <c r="EE69" s="300"/>
      <c r="EF69" s="300"/>
      <c r="EG69" s="300"/>
      <c r="EH69" s="300"/>
      <c r="EI69" s="300"/>
      <c r="EJ69" s="300"/>
      <c r="EK69" s="300"/>
      <c r="EL69" s="300"/>
      <c r="EM69" s="300"/>
      <c r="EN69" s="300"/>
      <c r="EO69" s="300"/>
      <c r="EU69" s="300"/>
      <c r="EV69" s="300"/>
      <c r="EW69" s="300"/>
      <c r="EX69" s="300"/>
      <c r="EY69" s="300"/>
      <c r="EZ69" s="300"/>
    </row>
    <row r="70" spans="2:156" ht="48.75" customHeight="1">
      <c r="B70" s="279">
        <v>0.14000000000000001</v>
      </c>
      <c r="C70" s="279">
        <v>0.16200000000000001</v>
      </c>
      <c r="D70" s="279">
        <v>1.5389999999999999E-2</v>
      </c>
      <c r="E70" s="1798"/>
      <c r="F70" s="279">
        <v>0.4</v>
      </c>
      <c r="G70" s="279">
        <v>0.44</v>
      </c>
      <c r="H70" s="279">
        <v>0.12570000000000001</v>
      </c>
      <c r="I70" s="1798"/>
      <c r="J70" s="279">
        <v>1.1200000000000001</v>
      </c>
      <c r="K70" s="279">
        <v>1.2</v>
      </c>
      <c r="L70" s="279">
        <v>0.98499999999999999</v>
      </c>
      <c r="M70" s="1798"/>
      <c r="N70" s="193"/>
      <c r="O70" s="194"/>
      <c r="P70" s="194"/>
      <c r="Q70" s="859"/>
      <c r="R70" s="193"/>
      <c r="S70" s="194"/>
      <c r="T70" s="194"/>
      <c r="U70" s="195"/>
      <c r="AE70" s="1147"/>
      <c r="AF70" s="1148"/>
      <c r="AG70" s="1148"/>
      <c r="AH70" s="1148"/>
      <c r="AI70" s="1148"/>
      <c r="AJ70" s="1148"/>
      <c r="AK70" s="1148"/>
      <c r="AL70" s="1148"/>
      <c r="AM70" s="1148"/>
      <c r="AN70" s="1149"/>
      <c r="AO70" s="97"/>
      <c r="AP70" s="97"/>
      <c r="AQ70" s="97"/>
      <c r="AX70" s="193"/>
      <c r="AY70" s="194"/>
      <c r="AZ70" s="194"/>
      <c r="BA70" s="194"/>
      <c r="BB70" s="194"/>
      <c r="BC70" s="194"/>
      <c r="BD70" s="194"/>
      <c r="BE70" s="194"/>
      <c r="BF70" s="195"/>
      <c r="BH70" s="1144"/>
      <c r="BI70" s="1145"/>
      <c r="BJ70" s="1145"/>
      <c r="BK70" s="1145"/>
      <c r="BL70" s="1145"/>
      <c r="BM70" s="1145"/>
      <c r="BN70" s="1145"/>
      <c r="BO70" s="1145"/>
      <c r="BP70" s="1146"/>
      <c r="CB70" s="345" t="s">
        <v>749</v>
      </c>
      <c r="CC70" s="345" t="s">
        <v>1261</v>
      </c>
      <c r="CD70" s="345" t="s">
        <v>1264</v>
      </c>
      <c r="CE70" s="345" t="s">
        <v>1264</v>
      </c>
      <c r="CF70" s="345" t="s">
        <v>1265</v>
      </c>
      <c r="CG70" s="345" t="s">
        <v>1265</v>
      </c>
      <c r="CH70" s="345" t="s">
        <v>1265</v>
      </c>
      <c r="CI70" s="345" t="s">
        <v>1265</v>
      </c>
      <c r="CJ70" s="345" t="s">
        <v>1265</v>
      </c>
      <c r="CK70" s="345" t="s">
        <v>1262</v>
      </c>
      <c r="CL70" s="1049"/>
      <c r="CM70" s="300"/>
      <c r="CN70" s="300"/>
      <c r="DL70" s="300"/>
      <c r="DM70" s="300"/>
      <c r="DN70" s="300"/>
      <c r="DO70" s="300"/>
      <c r="DP70" s="300"/>
      <c r="DQ70" s="300"/>
      <c r="DR70" s="300"/>
      <c r="DS70" s="300"/>
      <c r="DT70" s="300"/>
      <c r="DU70" s="300"/>
      <c r="DV70" s="300"/>
      <c r="DW70" s="300"/>
      <c r="DX70" s="300"/>
      <c r="DY70" s="300"/>
      <c r="DZ70" s="300"/>
      <c r="EA70" s="300"/>
      <c r="EB70" s="300"/>
      <c r="EC70" s="300"/>
      <c r="ED70" s="300"/>
      <c r="EE70" s="300"/>
      <c r="EF70" s="300"/>
      <c r="EG70" s="300"/>
      <c r="EH70" s="300"/>
      <c r="EI70" s="300"/>
      <c r="EJ70" s="300"/>
      <c r="EK70" s="300"/>
      <c r="EL70" s="300"/>
      <c r="EM70" s="300"/>
      <c r="EN70" s="300"/>
      <c r="EO70" s="300"/>
      <c r="EU70" s="300"/>
      <c r="EV70" s="300"/>
      <c r="EW70" s="300"/>
      <c r="EX70" s="300"/>
      <c r="EY70" s="300"/>
      <c r="EZ70" s="300"/>
    </row>
    <row r="71" spans="2:156" ht="48.75" customHeight="1">
      <c r="B71" s="279">
        <v>0.15</v>
      </c>
      <c r="C71" s="279">
        <v>0.18</v>
      </c>
      <c r="D71" s="279">
        <v>1.7670000000000002E-2</v>
      </c>
      <c r="E71" s="1798"/>
      <c r="F71" s="279">
        <v>0.42499999999999999</v>
      </c>
      <c r="G71" s="279">
        <v>0.46500000000000002</v>
      </c>
      <c r="H71" s="279">
        <v>0.1419</v>
      </c>
      <c r="I71" s="1798"/>
      <c r="J71" s="279">
        <v>1.18</v>
      </c>
      <c r="K71" s="279">
        <v>1.26</v>
      </c>
      <c r="L71" s="279">
        <v>1.0940000000000001</v>
      </c>
      <c r="M71" s="1798"/>
      <c r="N71" s="193"/>
      <c r="O71" s="194"/>
      <c r="P71" s="194"/>
      <c r="Q71" s="859"/>
      <c r="R71" s="193"/>
      <c r="S71" s="194"/>
      <c r="T71" s="194"/>
      <c r="U71" s="195"/>
      <c r="AF71" s="97"/>
      <c r="AN71" s="97"/>
      <c r="AO71" s="97"/>
      <c r="AP71" s="97"/>
      <c r="AQ71" s="97"/>
      <c r="AX71" s="193"/>
      <c r="AY71" s="194"/>
      <c r="AZ71" s="194"/>
      <c r="BA71" s="194"/>
      <c r="BB71" s="194"/>
      <c r="BC71" s="194"/>
      <c r="BD71" s="194"/>
      <c r="BE71" s="194"/>
      <c r="BF71" s="195"/>
      <c r="BH71" s="1144"/>
      <c r="BI71" s="1145"/>
      <c r="BJ71" s="1145"/>
      <c r="BK71" s="1145"/>
      <c r="BL71" s="1145"/>
      <c r="BM71" s="1145"/>
      <c r="BN71" s="1145"/>
      <c r="BO71" s="1145"/>
      <c r="BP71" s="1146"/>
      <c r="CB71" s="347">
        <v>0.313</v>
      </c>
      <c r="CC71" s="345">
        <v>36250</v>
      </c>
      <c r="CD71" s="345">
        <v>36500</v>
      </c>
      <c r="CE71" s="345">
        <v>36750</v>
      </c>
      <c r="CF71" s="345">
        <v>37000</v>
      </c>
      <c r="CG71" s="345">
        <v>37250</v>
      </c>
      <c r="CH71" s="345">
        <v>37500</v>
      </c>
      <c r="CI71" s="345">
        <v>37750</v>
      </c>
      <c r="CJ71" s="345">
        <v>38000</v>
      </c>
      <c r="CK71" s="345">
        <v>38250</v>
      </c>
      <c r="CL71" s="1049"/>
      <c r="CM71" s="300"/>
      <c r="CN71" s="366"/>
      <c r="CO71" s="710" t="s">
        <v>1320</v>
      </c>
      <c r="CP71" s="1714"/>
      <c r="CQ71" s="1714"/>
      <c r="CR71" s="1714"/>
      <c r="CS71" s="1714"/>
      <c r="CT71" s="1714"/>
      <c r="CU71" s="1714"/>
      <c r="CV71" s="1714"/>
      <c r="CW71" s="1714"/>
      <c r="CX71" s="1714"/>
      <c r="CY71" s="1714"/>
      <c r="CZ71" s="1714"/>
      <c r="DA71" s="1714"/>
      <c r="DB71" s="1714"/>
      <c r="DC71" s="1714"/>
      <c r="DD71" s="1714"/>
      <c r="DE71" s="1714"/>
      <c r="DF71" s="1714"/>
      <c r="DG71" s="1714"/>
      <c r="DH71" s="1714"/>
      <c r="DI71" s="1714"/>
      <c r="DJ71" s="1714"/>
      <c r="DK71" s="114"/>
      <c r="DL71" s="300"/>
      <c r="DM71" s="300"/>
      <c r="DN71" s="300"/>
      <c r="DO71" s="300"/>
      <c r="DP71" s="300"/>
      <c r="DQ71" s="300"/>
      <c r="DR71" s="300"/>
      <c r="DS71" s="300"/>
      <c r="DT71" s="300"/>
      <c r="DU71" s="300"/>
      <c r="DV71" s="300"/>
      <c r="DW71" s="300"/>
      <c r="DX71" s="300"/>
      <c r="DY71" s="300"/>
      <c r="DZ71" s="300"/>
      <c r="EA71" s="300"/>
      <c r="EB71" s="300"/>
      <c r="EC71" s="300"/>
      <c r="ED71" s="300"/>
      <c r="EE71" s="300"/>
      <c r="EF71" s="300"/>
      <c r="EG71" s="300"/>
      <c r="EH71" s="300"/>
      <c r="EI71" s="300"/>
      <c r="EJ71" s="300"/>
      <c r="EK71" s="300"/>
      <c r="EL71" s="300"/>
      <c r="EM71" s="300"/>
      <c r="EN71" s="300"/>
      <c r="EO71" s="300"/>
      <c r="EU71" s="300"/>
      <c r="EV71" s="300"/>
      <c r="EW71" s="300"/>
      <c r="EX71" s="300"/>
      <c r="EY71" s="300"/>
      <c r="EZ71" s="300"/>
    </row>
    <row r="72" spans="2:156" ht="48.75" customHeight="1">
      <c r="B72" s="279">
        <v>0.16</v>
      </c>
      <c r="C72" s="279">
        <v>0.19</v>
      </c>
      <c r="D72" s="279">
        <v>2.01E-2</v>
      </c>
      <c r="E72" s="1798"/>
      <c r="F72" s="279">
        <v>0.45</v>
      </c>
      <c r="G72" s="279">
        <v>0.49</v>
      </c>
      <c r="H72" s="279">
        <v>0.159</v>
      </c>
      <c r="I72" s="1798"/>
      <c r="J72" s="279">
        <v>1.25</v>
      </c>
      <c r="K72" s="279">
        <v>1.33</v>
      </c>
      <c r="L72" s="279">
        <v>1.2270000000000001</v>
      </c>
      <c r="M72" s="1798"/>
      <c r="N72" s="193"/>
      <c r="O72" s="194"/>
      <c r="P72" s="194"/>
      <c r="Q72" s="859"/>
      <c r="R72" s="193"/>
      <c r="S72" s="194"/>
      <c r="T72" s="194"/>
      <c r="U72" s="195"/>
      <c r="AF72" s="97"/>
      <c r="AN72" s="97"/>
      <c r="AO72" s="97"/>
      <c r="AP72" s="97"/>
      <c r="AQ72" s="97"/>
      <c r="AX72" s="193"/>
      <c r="AY72" s="194"/>
      <c r="AZ72" s="194"/>
      <c r="BA72" s="194"/>
      <c r="BB72" s="194"/>
      <c r="BC72" s="194"/>
      <c r="BD72" s="194"/>
      <c r="BE72" s="194"/>
      <c r="BF72" s="195"/>
      <c r="BH72" s="1144"/>
      <c r="BI72" s="1145"/>
      <c r="BJ72" s="1145"/>
      <c r="BK72" s="1145"/>
      <c r="BL72" s="1145"/>
      <c r="BM72" s="1145"/>
      <c r="BN72" s="1145"/>
      <c r="BO72" s="1145"/>
      <c r="BP72" s="1146"/>
      <c r="CB72" s="345" t="s">
        <v>749</v>
      </c>
      <c r="CC72" s="345" t="s">
        <v>1261</v>
      </c>
      <c r="CD72" s="345" t="s">
        <v>1264</v>
      </c>
      <c r="CE72" s="345" t="s">
        <v>1264</v>
      </c>
      <c r="CF72" s="345" t="s">
        <v>1265</v>
      </c>
      <c r="CG72" s="345" t="s">
        <v>1265</v>
      </c>
      <c r="CH72" s="345" t="s">
        <v>1265</v>
      </c>
      <c r="CI72" s="345" t="s">
        <v>1265</v>
      </c>
      <c r="CJ72" s="345" t="s">
        <v>1262</v>
      </c>
      <c r="CK72" s="141"/>
      <c r="CL72" s="1049"/>
      <c r="CM72" s="300"/>
      <c r="CN72" s="367"/>
      <c r="CO72" s="312"/>
      <c r="CP72" s="313"/>
      <c r="CQ72" s="313"/>
      <c r="CR72" s="351"/>
      <c r="CS72" s="313"/>
      <c r="CT72" s="313"/>
      <c r="CU72" s="313"/>
      <c r="CV72" s="351"/>
      <c r="CW72" s="313"/>
      <c r="CX72" s="313"/>
      <c r="CY72" s="313"/>
      <c r="CZ72" s="351"/>
      <c r="DA72" s="313"/>
      <c r="DB72" s="313"/>
      <c r="DC72" s="313"/>
      <c r="DD72" s="351"/>
      <c r="DE72" s="313"/>
      <c r="DF72" s="313"/>
      <c r="DG72" s="313"/>
      <c r="DH72" s="351"/>
      <c r="DI72" s="313"/>
      <c r="DJ72" s="313"/>
      <c r="DK72" s="314"/>
      <c r="DL72" s="300"/>
      <c r="DM72" s="300"/>
      <c r="DN72" s="300"/>
      <c r="DO72" s="300"/>
      <c r="DP72" s="300"/>
      <c r="DQ72" s="300"/>
      <c r="DR72" s="300"/>
      <c r="DS72" s="300"/>
      <c r="DT72" s="300"/>
      <c r="DU72" s="300"/>
      <c r="DV72" s="300"/>
      <c r="DW72" s="300"/>
      <c r="DX72" s="300"/>
      <c r="DY72" s="300"/>
      <c r="DZ72" s="300"/>
      <c r="EA72" s="300"/>
      <c r="EB72" s="300"/>
      <c r="EC72" s="300"/>
      <c r="ED72" s="300"/>
      <c r="EE72" s="300"/>
      <c r="EF72" s="300"/>
      <c r="EG72" s="300"/>
      <c r="EH72" s="300"/>
      <c r="EI72" s="300"/>
      <c r="EJ72" s="300"/>
      <c r="EK72" s="300"/>
      <c r="EL72" s="300"/>
      <c r="EM72" s="300"/>
      <c r="EN72" s="300"/>
      <c r="EO72" s="300"/>
      <c r="EU72" s="300"/>
      <c r="EV72" s="300"/>
      <c r="EW72" s="300"/>
      <c r="EX72" s="300"/>
      <c r="EY72" s="300"/>
      <c r="EZ72" s="300"/>
    </row>
    <row r="73" spans="2:156" ht="48.75" customHeight="1">
      <c r="B73" s="279">
        <v>0.17</v>
      </c>
      <c r="C73" s="279">
        <v>0.2</v>
      </c>
      <c r="D73" s="279">
        <v>2.2700000000000001E-2</v>
      </c>
      <c r="E73" s="1798"/>
      <c r="F73" s="279">
        <v>0.47499999999999998</v>
      </c>
      <c r="G73" s="279">
        <v>0.51500000000000001</v>
      </c>
      <c r="H73" s="279">
        <v>0.1772</v>
      </c>
      <c r="I73" s="1798"/>
      <c r="J73" s="279">
        <v>1.32</v>
      </c>
      <c r="K73" s="279">
        <v>1.405</v>
      </c>
      <c r="L73" s="279">
        <v>1.3680000000000001</v>
      </c>
      <c r="M73" s="1798"/>
      <c r="N73" s="193"/>
      <c r="O73" s="194"/>
      <c r="P73" s="194"/>
      <c r="Q73" s="859"/>
      <c r="R73" s="193"/>
      <c r="S73" s="194"/>
      <c r="T73" s="194"/>
      <c r="U73" s="195"/>
      <c r="Y73" s="659" t="s">
        <v>465</v>
      </c>
      <c r="Z73" s="659" t="s">
        <v>466</v>
      </c>
      <c r="AA73" s="1738" t="s">
        <v>554</v>
      </c>
      <c r="AB73" s="1738"/>
      <c r="AC73" s="1738"/>
      <c r="AF73" s="97"/>
      <c r="AN73" s="97"/>
      <c r="AO73" s="97"/>
      <c r="AP73" s="97"/>
      <c r="AQ73" s="97"/>
      <c r="AX73" s="193"/>
      <c r="AY73" s="194"/>
      <c r="AZ73" s="194"/>
      <c r="BA73" s="194"/>
      <c r="BB73" s="194"/>
      <c r="BC73" s="194"/>
      <c r="BD73" s="194"/>
      <c r="BE73" s="194"/>
      <c r="BF73" s="195"/>
      <c r="BH73" s="1144"/>
      <c r="BI73" s="1145"/>
      <c r="BJ73" s="1145"/>
      <c r="BK73" s="1145"/>
      <c r="BL73" s="1145"/>
      <c r="BM73" s="1145"/>
      <c r="BN73" s="1145"/>
      <c r="BO73" s="1145"/>
      <c r="BP73" s="1146"/>
      <c r="CB73" s="347">
        <v>0.34899999999999998</v>
      </c>
      <c r="CC73" s="345">
        <v>38250</v>
      </c>
      <c r="CD73" s="345">
        <v>38500</v>
      </c>
      <c r="CE73" s="345">
        <v>38750</v>
      </c>
      <c r="CF73" s="345">
        <v>39000</v>
      </c>
      <c r="CG73" s="345">
        <v>39250</v>
      </c>
      <c r="CH73" s="345">
        <v>39500</v>
      </c>
      <c r="CI73" s="345">
        <v>39750</v>
      </c>
      <c r="CJ73" s="345">
        <v>40000</v>
      </c>
      <c r="CK73" s="345">
        <v>40250</v>
      </c>
      <c r="CL73" s="1049"/>
      <c r="CM73" s="300"/>
      <c r="CN73" s="367"/>
      <c r="CO73" s="359" t="s">
        <v>749</v>
      </c>
      <c r="CP73" s="359" t="s">
        <v>1261</v>
      </c>
      <c r="CQ73" s="359" t="s">
        <v>1262</v>
      </c>
      <c r="CR73" s="1049"/>
      <c r="CS73" s="359" t="s">
        <v>749</v>
      </c>
      <c r="CT73" s="359" t="s">
        <v>1272</v>
      </c>
      <c r="CU73" s="359" t="s">
        <v>1273</v>
      </c>
      <c r="CV73" s="1049"/>
      <c r="CW73" s="359" t="s">
        <v>749</v>
      </c>
      <c r="CX73" s="359" t="s">
        <v>1304</v>
      </c>
      <c r="CY73" s="359" t="s">
        <v>1311</v>
      </c>
      <c r="CZ73" s="1049"/>
      <c r="DA73" s="359" t="s">
        <v>749</v>
      </c>
      <c r="DB73" s="359" t="s">
        <v>1310</v>
      </c>
      <c r="DC73" s="359" t="s">
        <v>1305</v>
      </c>
      <c r="DD73" s="1049"/>
      <c r="DE73" s="359" t="s">
        <v>749</v>
      </c>
      <c r="DF73" s="359" t="s">
        <v>1306</v>
      </c>
      <c r="DG73" s="359" t="s">
        <v>1307</v>
      </c>
      <c r="DH73" s="1049"/>
      <c r="DI73" s="359" t="s">
        <v>749</v>
      </c>
      <c r="DJ73" s="359" t="s">
        <v>1308</v>
      </c>
      <c r="DK73" s="359" t="s">
        <v>1309</v>
      </c>
      <c r="DL73" s="300"/>
      <c r="DM73" s="300"/>
      <c r="DN73" s="300"/>
      <c r="DO73" s="300"/>
      <c r="DP73" s="300"/>
      <c r="DQ73" s="300"/>
      <c r="DR73" s="300"/>
      <c r="DS73" s="300"/>
      <c r="DT73" s="300"/>
      <c r="DU73" s="300"/>
      <c r="DV73" s="300"/>
      <c r="DW73" s="300"/>
      <c r="DX73" s="300"/>
      <c r="DY73" s="300"/>
      <c r="DZ73" s="300"/>
      <c r="EA73" s="300"/>
      <c r="EB73" s="300"/>
      <c r="EC73" s="300"/>
      <c r="ED73" s="300"/>
      <c r="EE73" s="300"/>
      <c r="EF73" s="300"/>
      <c r="EG73" s="300"/>
      <c r="EH73" s="300"/>
      <c r="EI73" s="300"/>
      <c r="EJ73" s="300"/>
      <c r="EK73" s="300"/>
      <c r="EL73" s="300"/>
      <c r="EM73" s="300"/>
      <c r="EN73" s="300"/>
      <c r="EO73" s="300"/>
      <c r="EU73" s="300"/>
      <c r="EV73" s="300"/>
      <c r="EW73" s="300"/>
      <c r="EX73" s="300"/>
      <c r="EY73" s="300"/>
      <c r="EZ73" s="300"/>
    </row>
    <row r="74" spans="2:156" ht="48.75" customHeight="1">
      <c r="B74" s="279">
        <v>0.18</v>
      </c>
      <c r="C74" s="279">
        <v>0.21</v>
      </c>
      <c r="D74" s="279">
        <v>2.5499999999999998E-2</v>
      </c>
      <c r="E74" s="1798"/>
      <c r="F74" s="279">
        <v>0.5</v>
      </c>
      <c r="G74" s="279">
        <v>0.54500000000000004</v>
      </c>
      <c r="H74" s="279">
        <v>0.1963</v>
      </c>
      <c r="I74" s="1798"/>
      <c r="J74" s="279">
        <v>1.4</v>
      </c>
      <c r="K74" s="279">
        <v>1.4850000000000001</v>
      </c>
      <c r="L74" s="279">
        <v>1.5389999999999999</v>
      </c>
      <c r="M74" s="1798"/>
      <c r="N74" s="193"/>
      <c r="O74" s="194"/>
      <c r="P74" s="194"/>
      <c r="Q74" s="859"/>
      <c r="R74" s="193"/>
      <c r="S74" s="194"/>
      <c r="T74" s="194"/>
      <c r="U74" s="195"/>
      <c r="Y74" s="659" t="s">
        <v>465</v>
      </c>
      <c r="Z74" s="659" t="s">
        <v>466</v>
      </c>
      <c r="AA74" s="1738" t="s">
        <v>555</v>
      </c>
      <c r="AB74" s="1738"/>
      <c r="AC74" s="1738"/>
      <c r="AF74" s="97"/>
      <c r="AN74" s="97"/>
      <c r="AO74" s="97"/>
      <c r="AP74" s="97"/>
      <c r="AQ74" s="97"/>
      <c r="AX74" s="193"/>
      <c r="AY74" s="194"/>
      <c r="AZ74" s="194"/>
      <c r="BA74" s="194"/>
      <c r="BB74" s="194"/>
      <c r="BC74" s="194"/>
      <c r="BD74" s="194"/>
      <c r="BE74" s="194"/>
      <c r="BF74" s="195"/>
      <c r="BH74" s="1144"/>
      <c r="BI74" s="1145"/>
      <c r="BJ74" s="1145"/>
      <c r="BK74" s="1145"/>
      <c r="BL74" s="1145"/>
      <c r="BM74" s="1145"/>
      <c r="BN74" s="1145"/>
      <c r="BO74" s="1145"/>
      <c r="BP74" s="1146"/>
      <c r="CB74" s="345" t="s">
        <v>749</v>
      </c>
      <c r="CC74" s="345" t="s">
        <v>1261</v>
      </c>
      <c r="CD74" s="345" t="s">
        <v>1264</v>
      </c>
      <c r="CE74" s="345" t="s">
        <v>1264</v>
      </c>
      <c r="CF74" s="345" t="s">
        <v>1265</v>
      </c>
      <c r="CG74" s="345" t="s">
        <v>1265</v>
      </c>
      <c r="CH74" s="345" t="s">
        <v>1265</v>
      </c>
      <c r="CI74" s="345" t="s">
        <v>1265</v>
      </c>
      <c r="CJ74" s="345" t="s">
        <v>1265</v>
      </c>
      <c r="CK74" s="345" t="s">
        <v>1262</v>
      </c>
      <c r="CL74" s="1049"/>
      <c r="CM74" s="300"/>
      <c r="CN74" s="367"/>
      <c r="CO74" s="360">
        <v>8.8999999999999996E-2</v>
      </c>
      <c r="CP74" s="359">
        <v>16000</v>
      </c>
      <c r="CQ74" s="359">
        <v>17000</v>
      </c>
      <c r="CR74" s="1049"/>
      <c r="CS74" s="360">
        <v>8.8999999999999996E-2</v>
      </c>
      <c r="CT74" s="359"/>
      <c r="CU74" s="359"/>
      <c r="CV74" s="1049"/>
      <c r="CW74" s="360">
        <v>8.8999999999999996E-2</v>
      </c>
      <c r="CX74" s="359"/>
      <c r="CY74" s="359"/>
      <c r="CZ74" s="1049"/>
      <c r="DA74" s="360">
        <v>8.8999999999999996E-2</v>
      </c>
      <c r="DB74" s="359"/>
      <c r="DC74" s="359"/>
      <c r="DD74" s="1049"/>
      <c r="DE74" s="360">
        <v>8.8999999999999996E-2</v>
      </c>
      <c r="DF74" s="359"/>
      <c r="DG74" s="359"/>
      <c r="DH74" s="1049"/>
      <c r="DI74" s="360">
        <v>8.8999999999999996E-2</v>
      </c>
      <c r="DJ74" s="359"/>
      <c r="DK74" s="359"/>
      <c r="DL74" s="300"/>
      <c r="DM74" s="300"/>
      <c r="DN74" s="300"/>
      <c r="DO74" s="300"/>
      <c r="DP74" s="300"/>
      <c r="DQ74" s="300"/>
      <c r="DR74" s="300"/>
      <c r="DS74" s="300"/>
      <c r="DT74" s="300"/>
      <c r="DU74" s="300"/>
      <c r="DV74" s="300"/>
      <c r="DW74" s="300"/>
      <c r="DX74" s="300"/>
      <c r="DY74" s="300"/>
      <c r="DZ74" s="300"/>
      <c r="EA74" s="300"/>
      <c r="EB74" s="300"/>
      <c r="EC74" s="300"/>
      <c r="ED74" s="300"/>
      <c r="EE74" s="300"/>
      <c r="EF74" s="300"/>
      <c r="EG74" s="300"/>
      <c r="EH74" s="300"/>
      <c r="EI74" s="300"/>
      <c r="EJ74" s="300"/>
      <c r="EK74" s="300"/>
      <c r="EL74" s="300"/>
      <c r="EM74" s="300"/>
      <c r="EN74" s="300"/>
      <c r="EO74" s="300"/>
    </row>
    <row r="75" spans="2:156" ht="48.75" customHeight="1">
      <c r="B75" s="279">
        <v>0.19</v>
      </c>
      <c r="C75" s="279">
        <v>0.22</v>
      </c>
      <c r="D75" s="279">
        <v>0.28399999999999997</v>
      </c>
      <c r="E75" s="1798"/>
      <c r="F75" s="279">
        <v>0.53</v>
      </c>
      <c r="G75" s="279">
        <v>0.58499999999999996</v>
      </c>
      <c r="H75" s="279">
        <v>0.221</v>
      </c>
      <c r="I75" s="1798"/>
      <c r="J75" s="279">
        <v>1.5</v>
      </c>
      <c r="K75" s="279">
        <v>1.585</v>
      </c>
      <c r="L75" s="279">
        <v>1.7669999999999999</v>
      </c>
      <c r="M75" s="1798"/>
      <c r="N75" s="193"/>
      <c r="O75" s="194"/>
      <c r="P75" s="194"/>
      <c r="Q75" s="859"/>
      <c r="R75" s="193"/>
      <c r="S75" s="194"/>
      <c r="T75" s="194"/>
      <c r="U75" s="195"/>
      <c r="Y75" s="710" t="s">
        <v>662</v>
      </c>
      <c r="Z75" s="1714"/>
      <c r="AA75" s="1714"/>
      <c r="AB75" s="1714"/>
      <c r="AC75" s="301" t="s">
        <v>468</v>
      </c>
      <c r="AF75" s="97"/>
      <c r="AN75" s="97"/>
      <c r="AO75" s="97"/>
      <c r="AP75" s="97"/>
      <c r="AQ75" s="97"/>
      <c r="AX75" s="193"/>
      <c r="AY75" s="194"/>
      <c r="AZ75" s="194"/>
      <c r="BA75" s="194"/>
      <c r="BB75" s="194"/>
      <c r="BC75" s="194"/>
      <c r="BD75" s="194"/>
      <c r="BE75" s="194"/>
      <c r="BF75" s="195"/>
      <c r="BH75" s="1147"/>
      <c r="BI75" s="1148"/>
      <c r="BJ75" s="1148"/>
      <c r="BK75" s="1148"/>
      <c r="BL75" s="1148"/>
      <c r="BM75" s="1148"/>
      <c r="BN75" s="1148"/>
      <c r="BO75" s="1148"/>
      <c r="BP75" s="1149"/>
      <c r="CB75" s="347">
        <v>0.39200000000000002</v>
      </c>
      <c r="CC75" s="345">
        <v>39500</v>
      </c>
      <c r="CD75" s="345">
        <v>39750</v>
      </c>
      <c r="CE75" s="345">
        <v>40000</v>
      </c>
      <c r="CF75" s="345">
        <v>40250</v>
      </c>
      <c r="CG75" s="345">
        <v>40500</v>
      </c>
      <c r="CH75" s="345">
        <v>40750</v>
      </c>
      <c r="CI75" s="345">
        <v>41000</v>
      </c>
      <c r="CJ75" s="345">
        <v>41250</v>
      </c>
      <c r="CK75" s="345">
        <v>41500</v>
      </c>
      <c r="CL75" s="1049"/>
      <c r="CM75" s="300"/>
      <c r="CN75" s="367"/>
      <c r="CO75" s="360">
        <v>0.1</v>
      </c>
      <c r="CP75" s="359">
        <v>16000</v>
      </c>
      <c r="CQ75" s="359">
        <v>18000</v>
      </c>
      <c r="CR75" s="1049"/>
      <c r="CS75" s="360">
        <v>0.1</v>
      </c>
      <c r="CT75" s="359"/>
      <c r="CU75" s="359"/>
      <c r="CV75" s="1049"/>
      <c r="CW75" s="360">
        <v>0.1</v>
      </c>
      <c r="CX75" s="359"/>
      <c r="CY75" s="359"/>
      <c r="CZ75" s="1049"/>
      <c r="DA75" s="360">
        <v>0.1</v>
      </c>
      <c r="DB75" s="359"/>
      <c r="DC75" s="359"/>
      <c r="DD75" s="1049"/>
      <c r="DE75" s="360">
        <v>0.1</v>
      </c>
      <c r="DF75" s="359"/>
      <c r="DG75" s="359"/>
      <c r="DH75" s="1049"/>
      <c r="DI75" s="360">
        <v>0.1</v>
      </c>
      <c r="DJ75" s="359"/>
      <c r="DK75" s="359"/>
      <c r="DL75" s="300"/>
      <c r="DM75" s="300"/>
      <c r="DN75" s="300"/>
      <c r="DO75" s="300"/>
      <c r="DP75" s="300"/>
      <c r="DQ75" s="300"/>
      <c r="DR75" s="300"/>
      <c r="DS75" s="300"/>
      <c r="DT75" s="300"/>
      <c r="DU75" s="300"/>
      <c r="DV75" s="300"/>
      <c r="DW75" s="300"/>
      <c r="DX75" s="300"/>
      <c r="DY75" s="300"/>
      <c r="DZ75" s="300"/>
      <c r="EA75" s="300"/>
      <c r="EB75" s="300"/>
      <c r="EC75" s="300"/>
      <c r="ED75" s="300"/>
      <c r="EE75" s="300"/>
      <c r="EF75" s="300"/>
      <c r="EG75" s="300"/>
      <c r="EH75" s="300"/>
      <c r="EI75" s="300"/>
      <c r="EJ75" s="300"/>
      <c r="EK75" s="300"/>
      <c r="EL75" s="300"/>
      <c r="EM75" s="300"/>
      <c r="EN75" s="300"/>
      <c r="EO75" s="300"/>
    </row>
    <row r="76" spans="2:156" ht="48.75" customHeight="1">
      <c r="B76" s="279">
        <v>0.2</v>
      </c>
      <c r="C76" s="279">
        <v>0.23</v>
      </c>
      <c r="D76" s="279">
        <v>3.1399999999999997E-2</v>
      </c>
      <c r="E76" s="1798"/>
      <c r="F76" s="279">
        <v>0.56000000000000005</v>
      </c>
      <c r="G76" s="279">
        <v>0.61499999999999999</v>
      </c>
      <c r="H76" s="279">
        <v>0.246</v>
      </c>
      <c r="I76" s="1798"/>
      <c r="J76" s="279">
        <v>1.6</v>
      </c>
      <c r="K76" s="279">
        <v>1.6850000000000001</v>
      </c>
      <c r="L76" s="279">
        <v>2.0110000000000001</v>
      </c>
      <c r="M76" s="1798"/>
      <c r="N76" s="193"/>
      <c r="O76" s="194"/>
      <c r="P76" s="194"/>
      <c r="Q76" s="859"/>
      <c r="R76" s="193"/>
      <c r="S76" s="194"/>
      <c r="T76" s="194"/>
      <c r="U76" s="195"/>
      <c r="Y76" s="710" t="s">
        <v>662</v>
      </c>
      <c r="Z76" s="1714"/>
      <c r="AA76" s="1714"/>
      <c r="AB76" s="1714"/>
      <c r="AC76" s="301" t="s">
        <v>466</v>
      </c>
      <c r="AF76" s="97"/>
      <c r="AN76" s="97"/>
      <c r="AO76" s="97"/>
      <c r="AP76" s="97"/>
      <c r="AQ76" s="97"/>
      <c r="AX76" s="193"/>
      <c r="AY76" s="194"/>
      <c r="AZ76" s="194"/>
      <c r="BA76" s="194"/>
      <c r="BB76" s="194"/>
      <c r="BC76" s="194"/>
      <c r="BD76" s="194"/>
      <c r="BE76" s="194"/>
      <c r="BF76" s="195"/>
      <c r="CB76" s="345" t="s">
        <v>749</v>
      </c>
      <c r="CC76" s="345" t="s">
        <v>1261</v>
      </c>
      <c r="CD76" s="345" t="s">
        <v>1264</v>
      </c>
      <c r="CE76" s="345" t="s">
        <v>1264</v>
      </c>
      <c r="CF76" s="345" t="s">
        <v>1265</v>
      </c>
      <c r="CG76" s="345" t="s">
        <v>1265</v>
      </c>
      <c r="CH76" s="345" t="s">
        <v>1265</v>
      </c>
      <c r="CI76" s="345" t="s">
        <v>1265</v>
      </c>
      <c r="CJ76" s="345" t="s">
        <v>1265</v>
      </c>
      <c r="CK76" s="345" t="s">
        <v>1262</v>
      </c>
      <c r="CL76" s="1049"/>
      <c r="CM76" s="300"/>
      <c r="CN76" s="367"/>
      <c r="CO76" s="360">
        <v>0.11600000000000001</v>
      </c>
      <c r="CP76" s="359">
        <v>17000</v>
      </c>
      <c r="CQ76" s="359">
        <v>19000</v>
      </c>
      <c r="CR76" s="1049"/>
      <c r="CS76" s="360">
        <v>0.11600000000000001</v>
      </c>
      <c r="CT76" s="359"/>
      <c r="CU76" s="359"/>
      <c r="CV76" s="1049"/>
      <c r="CW76" s="360">
        <v>0.11600000000000001</v>
      </c>
      <c r="CX76" s="359"/>
      <c r="CY76" s="359"/>
      <c r="CZ76" s="1049"/>
      <c r="DA76" s="360">
        <v>0.11600000000000001</v>
      </c>
      <c r="DB76" s="359"/>
      <c r="DC76" s="359"/>
      <c r="DD76" s="1049"/>
      <c r="DE76" s="360">
        <v>0.11600000000000001</v>
      </c>
      <c r="DF76" s="359"/>
      <c r="DG76" s="359"/>
      <c r="DH76" s="1049"/>
      <c r="DI76" s="360">
        <v>0.11600000000000001</v>
      </c>
      <c r="DJ76" s="359"/>
      <c r="DK76" s="359"/>
      <c r="DL76" s="300"/>
      <c r="DM76" s="300"/>
      <c r="DN76" s="300"/>
      <c r="DO76" s="300"/>
      <c r="DP76" s="300"/>
      <c r="DQ76" s="300"/>
      <c r="DR76" s="300"/>
      <c r="DS76" s="300"/>
      <c r="DT76" s="300"/>
      <c r="DU76" s="300"/>
      <c r="DV76" s="300"/>
      <c r="DW76" s="300"/>
      <c r="DX76" s="300"/>
      <c r="DY76" s="300"/>
      <c r="DZ76" s="300"/>
      <c r="EA76" s="300"/>
      <c r="EB76" s="300"/>
      <c r="EC76" s="300"/>
      <c r="ED76" s="300"/>
      <c r="EE76" s="300"/>
      <c r="EF76" s="300"/>
      <c r="EG76" s="300"/>
      <c r="EH76" s="300"/>
      <c r="EI76" s="300"/>
      <c r="EJ76" s="300"/>
      <c r="EK76" s="300"/>
      <c r="EL76" s="300"/>
      <c r="EM76" s="300"/>
      <c r="EN76" s="300"/>
      <c r="EO76" s="300"/>
    </row>
    <row r="77" spans="2:156" ht="48.75" customHeight="1">
      <c r="B77" s="279">
        <v>0.21199999999999999</v>
      </c>
      <c r="C77" s="279">
        <v>0.24199999999999999</v>
      </c>
      <c r="D77" s="279">
        <v>3.5299999999999998E-2</v>
      </c>
      <c r="E77" s="1798"/>
      <c r="F77" s="279">
        <v>0.6</v>
      </c>
      <c r="G77" s="279">
        <v>0.65500000000000003</v>
      </c>
      <c r="H77" s="279">
        <v>0.28299999999999997</v>
      </c>
      <c r="I77" s="1798"/>
      <c r="J77" s="279">
        <v>1.7</v>
      </c>
      <c r="K77" s="279">
        <v>1.7849999999999999</v>
      </c>
      <c r="L77" s="279">
        <v>2.27</v>
      </c>
      <c r="M77" s="1798"/>
      <c r="N77" s="193"/>
      <c r="O77" s="194"/>
      <c r="P77" s="194"/>
      <c r="Q77" s="859"/>
      <c r="R77" s="193"/>
      <c r="S77" s="194"/>
      <c r="T77" s="194"/>
      <c r="U77" s="195"/>
      <c r="AF77" s="97"/>
      <c r="AG77" s="97"/>
      <c r="AH77" s="97"/>
      <c r="AI77" s="97"/>
      <c r="AJ77" s="97"/>
      <c r="AK77" s="97"/>
      <c r="AL77" s="97"/>
      <c r="AM77" s="97"/>
      <c r="AN77" s="97"/>
      <c r="AO77" s="97"/>
      <c r="AP77" s="97"/>
      <c r="AQ77" s="97"/>
      <c r="AX77" s="193"/>
      <c r="AY77" s="194"/>
      <c r="AZ77" s="194"/>
      <c r="BA77" s="194"/>
      <c r="BB77" s="194"/>
      <c r="BC77" s="194"/>
      <c r="BD77" s="194"/>
      <c r="BE77" s="194"/>
      <c r="BF77" s="195"/>
      <c r="CB77" s="347">
        <v>0.437</v>
      </c>
      <c r="CC77" s="345">
        <v>40750</v>
      </c>
      <c r="CD77" s="345">
        <v>41000</v>
      </c>
      <c r="CE77" s="345">
        <v>41250</v>
      </c>
      <c r="CF77" s="345">
        <v>41500</v>
      </c>
      <c r="CG77" s="345">
        <v>41750</v>
      </c>
      <c r="CH77" s="345">
        <v>42000</v>
      </c>
      <c r="CI77" s="345">
        <v>42250</v>
      </c>
      <c r="CJ77" s="345">
        <v>42500</v>
      </c>
      <c r="CK77" s="345">
        <v>42750</v>
      </c>
      <c r="CL77" s="1049"/>
      <c r="CM77" s="300"/>
      <c r="CN77" s="367"/>
      <c r="CO77" s="360">
        <v>0.13100000000000001</v>
      </c>
      <c r="CP77" s="359">
        <v>19000</v>
      </c>
      <c r="CQ77" s="359">
        <v>21000</v>
      </c>
      <c r="CR77" s="1049"/>
      <c r="CS77" s="360">
        <v>0.13100000000000001</v>
      </c>
      <c r="CT77" s="359"/>
      <c r="CU77" s="359"/>
      <c r="CV77" s="1049"/>
      <c r="CW77" s="360">
        <v>0.13100000000000001</v>
      </c>
      <c r="CX77" s="359"/>
      <c r="CY77" s="359"/>
      <c r="CZ77" s="1049"/>
      <c r="DA77" s="360">
        <v>0.13100000000000001</v>
      </c>
      <c r="DB77" s="359"/>
      <c r="DC77" s="359"/>
      <c r="DD77" s="1049"/>
      <c r="DE77" s="360">
        <v>0.13100000000000001</v>
      </c>
      <c r="DF77" s="359"/>
      <c r="DG77" s="359"/>
      <c r="DH77" s="1049"/>
      <c r="DI77" s="360">
        <v>0.13100000000000001</v>
      </c>
      <c r="DJ77" s="359"/>
      <c r="DK77" s="359"/>
      <c r="DL77" s="300"/>
      <c r="DM77" s="300"/>
      <c r="DN77" s="300"/>
      <c r="DO77" s="300"/>
      <c r="DP77" s="300"/>
      <c r="DQ77" s="300"/>
      <c r="DR77" s="300"/>
      <c r="DS77" s="300"/>
      <c r="DT77" s="300"/>
      <c r="DU77" s="300"/>
      <c r="DV77" s="300"/>
      <c r="DW77" s="300"/>
      <c r="DX77" s="300"/>
      <c r="DY77" s="300"/>
      <c r="DZ77" s="300"/>
      <c r="EA77" s="300"/>
      <c r="EB77" s="300"/>
      <c r="EC77" s="300"/>
      <c r="ED77" s="300"/>
      <c r="EE77" s="300"/>
      <c r="EF77" s="300"/>
      <c r="EG77" s="300"/>
      <c r="EH77" s="300"/>
      <c r="EI77" s="300"/>
      <c r="EJ77" s="300"/>
      <c r="EK77" s="300"/>
      <c r="EL77" s="300"/>
      <c r="EM77" s="300"/>
      <c r="EN77" s="300"/>
      <c r="EO77" s="300"/>
    </row>
    <row r="78" spans="2:156" ht="48.75" customHeight="1">
      <c r="B78" s="279">
        <v>0.224</v>
      </c>
      <c r="C78" s="279">
        <v>0.25900000000000001</v>
      </c>
      <c r="D78" s="279">
        <v>3.9399999999999998E-2</v>
      </c>
      <c r="E78" s="1798"/>
      <c r="F78" s="279">
        <v>0.63</v>
      </c>
      <c r="G78" s="279">
        <v>0.69</v>
      </c>
      <c r="H78" s="279">
        <v>0.312</v>
      </c>
      <c r="I78" s="1798"/>
      <c r="J78" s="279">
        <v>1.8</v>
      </c>
      <c r="K78" s="279">
        <v>1.895</v>
      </c>
      <c r="L78" s="279">
        <v>2.54</v>
      </c>
      <c r="M78" s="1798"/>
      <c r="N78" s="193"/>
      <c r="O78" s="194"/>
      <c r="P78" s="194"/>
      <c r="Q78" s="859"/>
      <c r="R78" s="193"/>
      <c r="S78" s="194"/>
      <c r="T78" s="194"/>
      <c r="U78" s="195"/>
      <c r="AF78" s="97"/>
      <c r="AG78" s="97"/>
      <c r="AH78" s="97"/>
      <c r="AI78" s="97"/>
      <c r="AJ78" s="97"/>
      <c r="AK78" s="97"/>
      <c r="AL78" s="97"/>
      <c r="AM78" s="97"/>
      <c r="AN78" s="97"/>
      <c r="AO78" s="97"/>
      <c r="AP78" s="97"/>
      <c r="AQ78" s="97"/>
      <c r="AX78" s="94"/>
      <c r="AY78" s="95"/>
      <c r="AZ78" s="95"/>
      <c r="BA78" s="95"/>
      <c r="BB78" s="95"/>
      <c r="BC78" s="95"/>
      <c r="BD78" s="95"/>
      <c r="BE78" s="95"/>
      <c r="BF78" s="96"/>
      <c r="CB78" s="345" t="s">
        <v>749</v>
      </c>
      <c r="CC78" s="345" t="s">
        <v>1261</v>
      </c>
      <c r="CD78" s="345" t="s">
        <v>1264</v>
      </c>
      <c r="CE78" s="345" t="s">
        <v>1264</v>
      </c>
      <c r="CF78" s="345" t="s">
        <v>1265</v>
      </c>
      <c r="CG78" s="345" t="s">
        <v>1265</v>
      </c>
      <c r="CH78" s="345" t="s">
        <v>1265</v>
      </c>
      <c r="CI78" s="345" t="s">
        <v>1265</v>
      </c>
      <c r="CJ78" s="345" t="s">
        <v>1265</v>
      </c>
      <c r="CK78" s="345" t="s">
        <v>1262</v>
      </c>
      <c r="CL78" s="1049"/>
      <c r="CM78" s="300"/>
      <c r="CN78" s="367"/>
      <c r="CO78" s="360">
        <v>0.14899999999999999</v>
      </c>
      <c r="CP78" s="359">
        <v>20750</v>
      </c>
      <c r="CQ78" s="359">
        <v>22750</v>
      </c>
      <c r="CR78" s="1049"/>
      <c r="CS78" s="360">
        <v>0.14899999999999999</v>
      </c>
      <c r="CT78" s="359"/>
      <c r="CU78" s="359"/>
      <c r="CV78" s="1049"/>
      <c r="CW78" s="360">
        <v>0.14899999999999999</v>
      </c>
      <c r="CX78" s="359"/>
      <c r="CY78" s="359"/>
      <c r="CZ78" s="1049"/>
      <c r="DA78" s="360">
        <v>0.14899999999999999</v>
      </c>
      <c r="DB78" s="359"/>
      <c r="DC78" s="359"/>
      <c r="DD78" s="1049"/>
      <c r="DE78" s="360">
        <v>0.14899999999999999</v>
      </c>
      <c r="DF78" s="359"/>
      <c r="DG78" s="359"/>
      <c r="DH78" s="1049"/>
      <c r="DI78" s="360">
        <v>0.14899999999999999</v>
      </c>
      <c r="DJ78" s="359"/>
      <c r="DK78" s="359"/>
      <c r="DL78" s="300"/>
      <c r="DM78" s="300"/>
      <c r="DN78" s="300"/>
      <c r="DO78" s="300"/>
      <c r="DP78" s="300"/>
      <c r="DQ78" s="300"/>
      <c r="DR78" s="300"/>
      <c r="DS78" s="300"/>
      <c r="DT78" s="300"/>
      <c r="DU78" s="300"/>
      <c r="DV78" s="300"/>
      <c r="DW78" s="300"/>
      <c r="DX78" s="300"/>
      <c r="DY78" s="300"/>
      <c r="DZ78" s="300"/>
      <c r="EA78" s="300"/>
      <c r="EB78" s="300"/>
      <c r="EC78" s="300"/>
      <c r="ED78" s="300"/>
      <c r="EE78" s="300"/>
      <c r="EF78" s="300"/>
      <c r="EG78" s="300"/>
      <c r="EH78" s="300"/>
      <c r="EI78" s="300"/>
      <c r="EJ78" s="300"/>
      <c r="EK78" s="300"/>
      <c r="EL78" s="300"/>
      <c r="EM78" s="300"/>
      <c r="EN78" s="300"/>
      <c r="EO78" s="300"/>
    </row>
    <row r="79" spans="2:156" ht="48.75" customHeight="1">
      <c r="B79" s="279">
        <v>0.23599999999999999</v>
      </c>
      <c r="C79" s="279">
        <v>0.27100000000000002</v>
      </c>
      <c r="D79" s="279">
        <v>4.3700000000000003E-2</v>
      </c>
      <c r="E79" s="1798"/>
      <c r="F79" s="279">
        <v>0.67</v>
      </c>
      <c r="G79" s="279">
        <v>0.73</v>
      </c>
      <c r="H79" s="279">
        <v>0.35299999999999998</v>
      </c>
      <c r="I79" s="1798"/>
      <c r="J79" s="279">
        <v>1.9</v>
      </c>
      <c r="K79" s="279">
        <v>1.9950000000000001</v>
      </c>
      <c r="L79" s="279">
        <v>2.83</v>
      </c>
      <c r="M79" s="1798"/>
      <c r="N79" s="193"/>
      <c r="O79" s="194"/>
      <c r="P79" s="194"/>
      <c r="Q79" s="859"/>
      <c r="R79" s="193"/>
      <c r="S79" s="194"/>
      <c r="T79" s="194"/>
      <c r="U79" s="195"/>
      <c r="X79" s="97"/>
      <c r="Y79" s="281"/>
      <c r="Z79" s="97"/>
      <c r="AF79" s="97"/>
      <c r="AG79" s="97"/>
      <c r="AH79" s="97"/>
      <c r="AI79" s="97"/>
      <c r="AJ79" s="97"/>
      <c r="AK79" s="97"/>
      <c r="AL79" s="97"/>
      <c r="AM79" s="97"/>
      <c r="AN79" s="97"/>
      <c r="AO79" s="97"/>
      <c r="AP79" s="97"/>
      <c r="AQ79" s="97"/>
      <c r="CB79" s="347">
        <v>0.53</v>
      </c>
      <c r="CC79" s="345">
        <v>48000</v>
      </c>
      <c r="CD79" s="345">
        <v>48250</v>
      </c>
      <c r="CE79" s="345">
        <v>48500</v>
      </c>
      <c r="CF79" s="345">
        <v>48750</v>
      </c>
      <c r="CG79" s="345">
        <v>49000</v>
      </c>
      <c r="CH79" s="345">
        <v>49250</v>
      </c>
      <c r="CI79" s="345">
        <v>49500</v>
      </c>
      <c r="CJ79" s="345">
        <v>49750</v>
      </c>
      <c r="CK79" s="141"/>
      <c r="CL79" s="1049"/>
      <c r="CM79" s="300"/>
      <c r="CN79" s="367"/>
      <c r="CO79" s="360">
        <v>0.16800000000000001</v>
      </c>
      <c r="CP79" s="359">
        <v>21750</v>
      </c>
      <c r="CQ79" s="359">
        <v>23750</v>
      </c>
      <c r="CR79" s="1049"/>
      <c r="CS79" s="360">
        <v>0.16800000000000001</v>
      </c>
      <c r="CT79" s="359"/>
      <c r="CU79" s="359"/>
      <c r="CV79" s="1049"/>
      <c r="CW79" s="360">
        <v>0.16800000000000001</v>
      </c>
      <c r="CX79" s="359"/>
      <c r="CY79" s="359"/>
      <c r="CZ79" s="1049"/>
      <c r="DA79" s="360">
        <v>0.16800000000000001</v>
      </c>
      <c r="DB79" s="359"/>
      <c r="DC79" s="359"/>
      <c r="DD79" s="1049"/>
      <c r="DE79" s="360">
        <v>0.16800000000000001</v>
      </c>
      <c r="DF79" s="359"/>
      <c r="DG79" s="359"/>
      <c r="DH79" s="1049"/>
      <c r="DI79" s="360">
        <v>0.16800000000000001</v>
      </c>
      <c r="DJ79" s="359"/>
      <c r="DK79" s="359"/>
      <c r="DL79" s="300"/>
      <c r="DM79" s="300"/>
      <c r="DN79" s="300"/>
      <c r="DO79" s="300"/>
      <c r="DP79" s="300"/>
      <c r="DQ79" s="300"/>
      <c r="DR79" s="300"/>
      <c r="DS79" s="300"/>
      <c r="DT79" s="300"/>
      <c r="DU79" s="300"/>
      <c r="DV79" s="300"/>
      <c r="DW79" s="300"/>
      <c r="DX79" s="300"/>
      <c r="DY79" s="300"/>
      <c r="DZ79" s="300"/>
      <c r="EA79" s="300"/>
      <c r="EB79" s="300"/>
      <c r="EC79" s="300"/>
      <c r="ED79" s="300"/>
      <c r="EE79" s="300"/>
      <c r="EF79" s="300"/>
      <c r="EG79" s="300"/>
      <c r="EH79" s="300"/>
      <c r="EI79" s="300"/>
      <c r="EJ79" s="300"/>
      <c r="EK79" s="300"/>
      <c r="EL79" s="300"/>
      <c r="EM79" s="300"/>
      <c r="EN79" s="300"/>
      <c r="EO79" s="300"/>
    </row>
    <row r="80" spans="2:156" ht="48.75" customHeight="1">
      <c r="B80" s="279">
        <v>0.25</v>
      </c>
      <c r="C80" s="279">
        <v>0.28499999999999998</v>
      </c>
      <c r="D80" s="279">
        <v>4.9099999999999998E-2</v>
      </c>
      <c r="E80" s="1798"/>
      <c r="F80" s="279">
        <v>0.71</v>
      </c>
      <c r="G80" s="279">
        <v>0.77</v>
      </c>
      <c r="H80" s="279">
        <v>0.39600000000000002</v>
      </c>
      <c r="I80" s="1798"/>
      <c r="J80" s="279">
        <v>2</v>
      </c>
      <c r="K80" s="279">
        <v>2.0950000000000002</v>
      </c>
      <c r="L80" s="279">
        <v>3.14</v>
      </c>
      <c r="M80" s="1798"/>
      <c r="N80" s="193"/>
      <c r="O80" s="194"/>
      <c r="P80" s="194"/>
      <c r="Q80" s="859"/>
      <c r="R80" s="193"/>
      <c r="S80" s="194"/>
      <c r="T80" s="194"/>
      <c r="U80" s="195"/>
      <c r="X80" s="97"/>
      <c r="Y80" s="97"/>
      <c r="Z80" s="97"/>
      <c r="AF80" s="97"/>
      <c r="AG80" s="97"/>
      <c r="AH80" s="97"/>
      <c r="AI80" s="97"/>
      <c r="AJ80" s="97"/>
      <c r="AK80" s="97"/>
      <c r="AL80" s="97"/>
      <c r="AM80" s="97"/>
      <c r="AN80" s="97"/>
      <c r="AO80" s="97"/>
      <c r="AP80" s="97"/>
      <c r="AQ80" s="97"/>
      <c r="CB80" s="345" t="s">
        <v>749</v>
      </c>
      <c r="CC80" s="345" t="s">
        <v>1261</v>
      </c>
      <c r="CD80" s="345" t="s">
        <v>1264</v>
      </c>
      <c r="CE80" s="345" t="s">
        <v>1264</v>
      </c>
      <c r="CF80" s="345" t="s">
        <v>1265</v>
      </c>
      <c r="CG80" s="345" t="s">
        <v>1265</v>
      </c>
      <c r="CH80" s="345" t="s">
        <v>1265</v>
      </c>
      <c r="CI80" s="345" t="s">
        <v>1265</v>
      </c>
      <c r="CJ80" s="345" t="s">
        <v>1265</v>
      </c>
      <c r="CK80" s="345" t="s">
        <v>1262</v>
      </c>
      <c r="CL80" s="1049"/>
      <c r="CM80" s="300"/>
      <c r="CN80" s="367"/>
      <c r="CO80" s="360">
        <v>0.191</v>
      </c>
      <c r="CP80" s="359">
        <v>23000</v>
      </c>
      <c r="CQ80" s="359">
        <v>25000</v>
      </c>
      <c r="CR80" s="1049"/>
      <c r="CS80" s="360">
        <v>0.191</v>
      </c>
      <c r="CT80" s="359"/>
      <c r="CU80" s="359"/>
      <c r="CV80" s="1049"/>
      <c r="CW80" s="360">
        <v>0.191</v>
      </c>
      <c r="CX80" s="359"/>
      <c r="CY80" s="359"/>
      <c r="CZ80" s="1049"/>
      <c r="DA80" s="360">
        <v>0.191</v>
      </c>
      <c r="DB80" s="359"/>
      <c r="DC80" s="359"/>
      <c r="DD80" s="1049"/>
      <c r="DE80" s="360">
        <v>0.191</v>
      </c>
      <c r="DF80" s="359"/>
      <c r="DG80" s="359"/>
      <c r="DH80" s="1049"/>
      <c r="DI80" s="360">
        <v>0.191</v>
      </c>
      <c r="DJ80" s="359"/>
      <c r="DK80" s="359"/>
      <c r="DL80" s="300"/>
      <c r="DM80" s="300"/>
      <c r="DN80" s="300"/>
      <c r="DO80" s="300"/>
      <c r="DP80" s="300"/>
      <c r="DQ80" s="300"/>
      <c r="DR80" s="300"/>
      <c r="DS80" s="300"/>
      <c r="DT80" s="300"/>
      <c r="DU80" s="300"/>
      <c r="DV80" s="300"/>
      <c r="DW80" s="300"/>
      <c r="DX80" s="300"/>
      <c r="DY80" s="300"/>
      <c r="DZ80" s="300"/>
      <c r="EA80" s="300"/>
      <c r="EB80" s="300"/>
      <c r="EC80" s="300"/>
      <c r="ED80" s="300"/>
      <c r="EE80" s="300"/>
      <c r="EF80" s="300"/>
      <c r="EG80" s="300"/>
      <c r="EH80" s="300"/>
      <c r="EI80" s="300"/>
      <c r="EJ80" s="300"/>
      <c r="EK80" s="300"/>
      <c r="EL80" s="300"/>
      <c r="EM80" s="300"/>
      <c r="EN80" s="300"/>
      <c r="EO80" s="300"/>
    </row>
    <row r="81" spans="2:147" ht="48.75" customHeight="1">
      <c r="B81" s="279">
        <v>0.26500000000000001</v>
      </c>
      <c r="C81" s="279">
        <v>0.3</v>
      </c>
      <c r="D81" s="279">
        <v>5.5199999999999999E-2</v>
      </c>
      <c r="E81" s="1072"/>
      <c r="F81" s="279">
        <v>0.75</v>
      </c>
      <c r="G81" s="279">
        <v>0.81499999999999995</v>
      </c>
      <c r="H81" s="279">
        <v>0.442</v>
      </c>
      <c r="I81" s="1072"/>
      <c r="J81" s="279">
        <v>2.12</v>
      </c>
      <c r="K81" s="279">
        <v>2.2200000000000002</v>
      </c>
      <c r="L81" s="279">
        <v>3.53</v>
      </c>
      <c r="M81" s="1072"/>
      <c r="N81" s="94"/>
      <c r="O81" s="95"/>
      <c r="P81" s="95"/>
      <c r="Q81" s="861"/>
      <c r="R81" s="94"/>
      <c r="S81" s="95"/>
      <c r="T81" s="95"/>
      <c r="U81" s="96"/>
      <c r="X81" s="97"/>
      <c r="Y81" s="97"/>
      <c r="Z81" s="97"/>
      <c r="AF81" s="97"/>
      <c r="AG81" s="97"/>
      <c r="AH81" s="97"/>
      <c r="AI81" s="97"/>
      <c r="AJ81" s="97"/>
      <c r="AK81" s="97"/>
      <c r="AL81" s="97"/>
      <c r="AM81" s="97"/>
      <c r="AN81" s="97"/>
      <c r="AO81" s="97"/>
      <c r="AP81" s="97"/>
      <c r="AQ81" s="97"/>
      <c r="CB81" s="347">
        <v>0.59</v>
      </c>
      <c r="CC81" s="345">
        <v>49000</v>
      </c>
      <c r="CD81" s="345">
        <v>49250</v>
      </c>
      <c r="CE81" s="345">
        <v>49500</v>
      </c>
      <c r="CF81" s="345">
        <v>49750</v>
      </c>
      <c r="CG81" s="345">
        <v>50000</v>
      </c>
      <c r="CH81" s="345">
        <v>50250</v>
      </c>
      <c r="CI81" s="345">
        <v>50500</v>
      </c>
      <c r="CJ81" s="345">
        <v>50750</v>
      </c>
      <c r="CK81" s="345"/>
      <c r="CL81" s="1049"/>
      <c r="CM81" s="300"/>
      <c r="CN81" s="367"/>
      <c r="CO81" s="360">
        <v>0.22500000000000001</v>
      </c>
      <c r="CP81" s="359">
        <v>24250</v>
      </c>
      <c r="CQ81" s="359">
        <v>26250</v>
      </c>
      <c r="CR81" s="1049"/>
      <c r="CS81" s="360">
        <v>0.22500000000000001</v>
      </c>
      <c r="CT81" s="359"/>
      <c r="CU81" s="359"/>
      <c r="CV81" s="1049"/>
      <c r="CW81" s="360">
        <v>0.22500000000000001</v>
      </c>
      <c r="CX81" s="359"/>
      <c r="CY81" s="359"/>
      <c r="CZ81" s="1049"/>
      <c r="DA81" s="360">
        <v>0.22500000000000001</v>
      </c>
      <c r="DB81" s="359"/>
      <c r="DC81" s="359"/>
      <c r="DD81" s="1049"/>
      <c r="DE81" s="360">
        <v>0.22500000000000001</v>
      </c>
      <c r="DF81" s="359"/>
      <c r="DG81" s="359"/>
      <c r="DH81" s="1049"/>
      <c r="DI81" s="360">
        <v>0.22500000000000001</v>
      </c>
      <c r="DJ81" s="359"/>
      <c r="DK81" s="359"/>
      <c r="DL81" s="300"/>
      <c r="DM81" s="300"/>
      <c r="DN81" s="300"/>
      <c r="DO81" s="300"/>
      <c r="DP81" s="300"/>
      <c r="DQ81" s="300"/>
      <c r="DR81" s="300"/>
      <c r="DS81" s="300"/>
      <c r="DT81" s="300"/>
      <c r="DU81" s="300"/>
      <c r="DV81" s="300"/>
      <c r="DW81" s="300"/>
      <c r="DX81" s="300"/>
      <c r="DY81" s="300"/>
      <c r="DZ81" s="300"/>
      <c r="EA81" s="300"/>
      <c r="EB81" s="300"/>
      <c r="EC81" s="300"/>
      <c r="ED81" s="300"/>
      <c r="EE81" s="300"/>
      <c r="EF81" s="300"/>
      <c r="EG81" s="300"/>
      <c r="EH81" s="300"/>
      <c r="EI81" s="300"/>
      <c r="EJ81" s="300"/>
      <c r="EK81" s="300"/>
      <c r="EL81" s="300"/>
      <c r="EM81" s="300"/>
      <c r="EN81" s="300"/>
      <c r="EO81" s="300"/>
      <c r="EP81" s="300"/>
      <c r="EQ81" s="300"/>
    </row>
    <row r="82" spans="2:147" ht="48.75" customHeight="1">
      <c r="CB82" s="345" t="s">
        <v>749</v>
      </c>
      <c r="CC82" s="345" t="s">
        <v>1261</v>
      </c>
      <c r="CD82" s="345" t="s">
        <v>1264</v>
      </c>
      <c r="CE82" s="345" t="s">
        <v>1264</v>
      </c>
      <c r="CF82" s="345" t="s">
        <v>1265</v>
      </c>
      <c r="CG82" s="345" t="s">
        <v>1265</v>
      </c>
      <c r="CH82" s="345" t="s">
        <v>1265</v>
      </c>
      <c r="CI82" s="345" t="s">
        <v>1265</v>
      </c>
      <c r="CJ82" s="345" t="s">
        <v>1265</v>
      </c>
      <c r="CK82" s="345" t="s">
        <v>1262</v>
      </c>
      <c r="CL82" s="1049"/>
      <c r="CM82" s="300"/>
      <c r="CN82" s="367"/>
      <c r="CO82" s="360">
        <v>0.27200000000000002</v>
      </c>
      <c r="CP82" s="359">
        <v>34750</v>
      </c>
      <c r="CQ82" s="359">
        <v>36750</v>
      </c>
      <c r="CR82" s="1049"/>
      <c r="CS82" s="360">
        <v>0.27200000000000002</v>
      </c>
      <c r="CT82" s="359"/>
      <c r="CU82" s="359"/>
      <c r="CV82" s="1049"/>
      <c r="CW82" s="360">
        <v>0.27200000000000002</v>
      </c>
      <c r="CX82" s="359"/>
      <c r="CY82" s="359"/>
      <c r="CZ82" s="1049"/>
      <c r="DA82" s="360">
        <v>0.27200000000000002</v>
      </c>
      <c r="DB82" s="359"/>
      <c r="DC82" s="359"/>
      <c r="DD82" s="1049"/>
      <c r="DE82" s="360">
        <v>0.27200000000000002</v>
      </c>
      <c r="DF82" s="359"/>
      <c r="DG82" s="359"/>
      <c r="DH82" s="1049"/>
      <c r="DI82" s="360">
        <v>0.27200000000000002</v>
      </c>
      <c r="DJ82" s="359"/>
      <c r="DK82" s="359"/>
      <c r="DL82" s="300"/>
      <c r="DM82" s="300"/>
      <c r="DN82" s="300"/>
      <c r="DO82" s="300"/>
      <c r="DP82" s="300"/>
      <c r="DQ82" s="300"/>
      <c r="DR82" s="300"/>
      <c r="DS82" s="300"/>
      <c r="DT82" s="300"/>
      <c r="DU82" s="300"/>
      <c r="DV82" s="300"/>
      <c r="DW82" s="300"/>
      <c r="DX82" s="300"/>
      <c r="DY82" s="300"/>
      <c r="DZ82" s="300"/>
      <c r="EA82" s="300"/>
      <c r="EB82" s="300"/>
      <c r="EC82" s="300"/>
      <c r="ED82" s="300"/>
      <c r="EE82" s="300"/>
      <c r="EF82" s="300"/>
      <c r="EG82" s="300"/>
      <c r="EH82" s="300"/>
      <c r="EI82" s="300"/>
      <c r="EJ82" s="300"/>
      <c r="EK82" s="300"/>
      <c r="EL82" s="300"/>
      <c r="EM82" s="300"/>
      <c r="EN82" s="300"/>
      <c r="EO82" s="300"/>
      <c r="EP82" s="300"/>
      <c r="EQ82" s="300"/>
    </row>
    <row r="83" spans="2:147" ht="48.75" customHeight="1">
      <c r="CB83" s="347">
        <v>0.66</v>
      </c>
      <c r="CC83" s="345">
        <v>50000</v>
      </c>
      <c r="CD83" s="345">
        <v>50250</v>
      </c>
      <c r="CE83" s="345">
        <v>50500</v>
      </c>
      <c r="CF83" s="345">
        <v>50750</v>
      </c>
      <c r="CG83" s="345">
        <v>51000</v>
      </c>
      <c r="CH83" s="345">
        <v>51250</v>
      </c>
      <c r="CI83" s="345">
        <v>51500</v>
      </c>
      <c r="CJ83" s="345">
        <v>51750</v>
      </c>
      <c r="CK83" s="141"/>
      <c r="CL83" s="1049"/>
      <c r="CM83" s="300"/>
      <c r="CN83" s="367"/>
      <c r="CO83" s="360">
        <v>0.313</v>
      </c>
      <c r="CP83" s="359">
        <v>36250</v>
      </c>
      <c r="CQ83" s="359">
        <v>38250</v>
      </c>
      <c r="CR83" s="1049"/>
      <c r="CS83" s="360">
        <v>0.313</v>
      </c>
      <c r="CT83" s="359"/>
      <c r="CU83" s="359"/>
      <c r="CV83" s="1049"/>
      <c r="CW83" s="360">
        <v>0.313</v>
      </c>
      <c r="CX83" s="359"/>
      <c r="CY83" s="359"/>
      <c r="CZ83" s="1049"/>
      <c r="DA83" s="360">
        <v>0.313</v>
      </c>
      <c r="DB83" s="359"/>
      <c r="DC83" s="359"/>
      <c r="DD83" s="1049"/>
      <c r="DE83" s="360">
        <v>0.313</v>
      </c>
      <c r="DF83" s="359"/>
      <c r="DG83" s="359"/>
      <c r="DH83" s="1049"/>
      <c r="DI83" s="360">
        <v>0.313</v>
      </c>
      <c r="DJ83" s="359"/>
      <c r="DK83" s="359"/>
      <c r="DL83" s="300"/>
      <c r="DM83" s="300"/>
      <c r="DN83" s="300"/>
      <c r="DO83" s="300"/>
      <c r="DP83" s="300"/>
      <c r="DQ83" s="300"/>
      <c r="DR83" s="300"/>
      <c r="DS83" s="300"/>
      <c r="DT83" s="300"/>
      <c r="DU83" s="300"/>
      <c r="DV83" s="300"/>
      <c r="DW83" s="300"/>
      <c r="DX83" s="300"/>
      <c r="DY83" s="300"/>
      <c r="DZ83" s="300"/>
      <c r="EA83" s="300"/>
      <c r="EB83" s="300"/>
      <c r="EC83" s="300"/>
      <c r="ED83" s="300"/>
      <c r="EE83" s="300"/>
      <c r="EF83" s="300"/>
      <c r="EG83" s="300"/>
      <c r="EH83" s="300"/>
      <c r="EI83" s="300"/>
      <c r="EJ83" s="300"/>
      <c r="EK83" s="300"/>
      <c r="EL83" s="300"/>
      <c r="EM83" s="300"/>
      <c r="EN83" s="300"/>
      <c r="EO83" s="300"/>
      <c r="EP83" s="300"/>
      <c r="EQ83" s="300"/>
    </row>
    <row r="84" spans="2:147" ht="48.75" customHeight="1">
      <c r="AI84" s="12"/>
      <c r="BF84" s="300"/>
      <c r="BG84" s="300"/>
      <c r="BH84" s="300"/>
      <c r="BI84" s="300"/>
      <c r="CE84" s="342"/>
      <c r="CK84" s="300"/>
      <c r="CL84" s="300"/>
      <c r="CM84" s="300"/>
      <c r="CN84" s="367"/>
      <c r="CO84" s="360">
        <v>0.34899999999999998</v>
      </c>
      <c r="CP84" s="359">
        <v>38250</v>
      </c>
      <c r="CQ84" s="359">
        <v>40000</v>
      </c>
      <c r="CR84" s="1049"/>
      <c r="CS84" s="360">
        <v>0.34899999999999998</v>
      </c>
      <c r="CT84" s="359"/>
      <c r="CU84" s="359"/>
      <c r="CV84" s="1049"/>
      <c r="CW84" s="360">
        <v>0.34899999999999998</v>
      </c>
      <c r="CX84" s="359"/>
      <c r="CY84" s="359"/>
      <c r="CZ84" s="1049"/>
      <c r="DA84" s="360">
        <v>0.34899999999999998</v>
      </c>
      <c r="DB84" s="359"/>
      <c r="DC84" s="359"/>
      <c r="DD84" s="1049"/>
      <c r="DE84" s="360">
        <v>0.34899999999999998</v>
      </c>
      <c r="DF84" s="359"/>
      <c r="DG84" s="359"/>
      <c r="DH84" s="1049"/>
      <c r="DI84" s="360">
        <v>0.34899999999999998</v>
      </c>
      <c r="DJ84" s="359"/>
      <c r="DK84" s="359"/>
      <c r="DL84" s="300"/>
      <c r="DM84" s="300"/>
      <c r="DN84" s="300"/>
      <c r="DO84" s="300"/>
      <c r="DP84" s="300"/>
      <c r="DQ84" s="300"/>
      <c r="DR84" s="300"/>
      <c r="DS84" s="300"/>
      <c r="DT84" s="300"/>
      <c r="DU84" s="300"/>
      <c r="DV84" s="300"/>
      <c r="DW84" s="300"/>
      <c r="DX84" s="300"/>
      <c r="DY84" s="300"/>
      <c r="DZ84" s="300"/>
      <c r="EA84" s="300"/>
      <c r="EB84" s="300"/>
      <c r="EC84" s="300"/>
      <c r="ED84" s="300"/>
      <c r="EE84" s="300"/>
      <c r="EF84" s="300"/>
      <c r="EG84" s="300"/>
      <c r="EH84" s="300"/>
      <c r="EI84" s="300"/>
      <c r="EJ84" s="300"/>
      <c r="EK84" s="300"/>
      <c r="EL84" s="300"/>
      <c r="EM84" s="300"/>
      <c r="EN84" s="300"/>
      <c r="EO84" s="300"/>
      <c r="EP84" s="300"/>
      <c r="EQ84" s="300"/>
    </row>
    <row r="85" spans="2:147" ht="48.75" customHeight="1">
      <c r="C85" s="1385" t="s">
        <v>537</v>
      </c>
      <c r="D85" s="1385"/>
      <c r="E85" s="1385"/>
      <c r="F85" s="1385"/>
      <c r="G85" s="1385"/>
      <c r="H85" s="1385"/>
      <c r="I85" s="1385"/>
      <c r="J85" s="1385"/>
      <c r="K85" s="1385"/>
      <c r="L85" s="1385"/>
      <c r="M85" s="1385"/>
      <c r="N85" s="1385"/>
      <c r="O85" s="1385"/>
      <c r="P85" s="1385"/>
      <c r="Q85" s="281"/>
      <c r="S85" s="91"/>
      <c r="T85" s="93"/>
      <c r="U85" s="1405" t="s">
        <v>537</v>
      </c>
      <c r="V85" s="1406"/>
      <c r="W85" s="1406"/>
      <c r="X85" s="1406"/>
      <c r="Y85" s="1406"/>
      <c r="Z85" s="1406"/>
      <c r="AA85" s="1406"/>
      <c r="AB85" s="1406"/>
      <c r="AC85" s="1406"/>
      <c r="AD85" s="1406"/>
      <c r="AE85" s="1406"/>
      <c r="AF85" s="1406"/>
      <c r="AG85" s="1406"/>
      <c r="AH85" s="1406"/>
      <c r="AI85" s="1406"/>
      <c r="AJ85" s="1406"/>
      <c r="AK85" s="1406"/>
      <c r="AL85" s="1406"/>
      <c r="AM85" s="1406"/>
      <c r="AN85" s="1406"/>
      <c r="AO85" s="1406"/>
      <c r="AP85" s="1406"/>
      <c r="AQ85" s="1406"/>
      <c r="AR85" s="1406"/>
      <c r="AS85" s="1406"/>
      <c r="AT85" s="1406"/>
      <c r="AU85" s="1406"/>
      <c r="AV85" s="1406"/>
      <c r="AW85" s="1406"/>
      <c r="AX85" s="1407"/>
      <c r="AY85" s="281"/>
      <c r="BF85" s="300"/>
      <c r="BG85" s="300"/>
      <c r="BH85" s="300"/>
      <c r="BI85" s="300"/>
      <c r="CA85" s="300"/>
      <c r="CB85" s="300"/>
      <c r="CC85" s="300"/>
      <c r="CD85" s="300"/>
      <c r="CE85" s="300"/>
      <c r="CF85" s="300"/>
      <c r="CG85" s="300"/>
      <c r="CH85" s="300"/>
      <c r="CI85" s="300"/>
      <c r="CJ85" s="300"/>
      <c r="CK85" s="300"/>
      <c r="CL85" s="300"/>
      <c r="CM85" s="300"/>
      <c r="CN85" s="367"/>
      <c r="CO85" s="360">
        <v>0.39200000000000002</v>
      </c>
      <c r="CP85" s="359">
        <v>39500</v>
      </c>
      <c r="CQ85" s="359">
        <v>41500</v>
      </c>
      <c r="CR85" s="1049"/>
      <c r="CS85" s="360">
        <v>0.39200000000000002</v>
      </c>
      <c r="CT85" s="359"/>
      <c r="CU85" s="359"/>
      <c r="CV85" s="1049"/>
      <c r="CW85" s="360">
        <v>0.39200000000000002</v>
      </c>
      <c r="CX85" s="359"/>
      <c r="CY85" s="359"/>
      <c r="CZ85" s="1049"/>
      <c r="DA85" s="360">
        <v>0.39200000000000002</v>
      </c>
      <c r="DB85" s="359"/>
      <c r="DC85" s="359"/>
      <c r="DD85" s="1049"/>
      <c r="DE85" s="360">
        <v>0.39200000000000002</v>
      </c>
      <c r="DF85" s="359"/>
      <c r="DG85" s="359"/>
      <c r="DH85" s="1049"/>
      <c r="DI85" s="360">
        <v>0.39200000000000002</v>
      </c>
      <c r="DJ85" s="359"/>
      <c r="DK85" s="359"/>
      <c r="DL85" s="300"/>
      <c r="DM85" s="300"/>
      <c r="DN85" s="300"/>
      <c r="DO85" s="300"/>
      <c r="DP85" s="300"/>
      <c r="DQ85" s="300"/>
      <c r="DR85" s="300"/>
      <c r="DS85" s="300"/>
      <c r="DT85" s="300"/>
      <c r="DU85" s="300"/>
      <c r="DV85" s="300"/>
      <c r="DW85" s="300"/>
      <c r="DX85" s="300"/>
      <c r="DY85" s="300"/>
      <c r="DZ85" s="300"/>
      <c r="EA85" s="300"/>
      <c r="EB85" s="300"/>
      <c r="EC85" s="300"/>
      <c r="ED85" s="300"/>
      <c r="EE85" s="300"/>
      <c r="EF85" s="300"/>
      <c r="EG85" s="300"/>
      <c r="EH85" s="300"/>
      <c r="EI85" s="300"/>
      <c r="EJ85" s="300"/>
      <c r="EK85" s="300"/>
      <c r="EL85" s="300"/>
      <c r="EM85" s="300"/>
      <c r="EN85" s="300"/>
      <c r="EO85" s="300"/>
      <c r="EP85" s="300"/>
      <c r="EQ85" s="300"/>
    </row>
    <row r="86" spans="2:147" ht="48.75" customHeight="1">
      <c r="C86" s="1385" t="s">
        <v>480</v>
      </c>
      <c r="D86" s="1385"/>
      <c r="E86" s="1385"/>
      <c r="F86" s="279" t="s">
        <v>481</v>
      </c>
      <c r="G86" s="1800" t="s">
        <v>482</v>
      </c>
      <c r="H86" s="1800"/>
      <c r="I86" s="1800"/>
      <c r="J86" s="1800"/>
      <c r="K86" s="1800"/>
      <c r="L86" s="1800" t="s">
        <v>483</v>
      </c>
      <c r="M86" s="1800"/>
      <c r="N86" s="1800"/>
      <c r="O86" s="1800"/>
      <c r="P86" s="1800"/>
      <c r="Q86" s="1800"/>
      <c r="S86" s="193"/>
      <c r="T86" s="195"/>
      <c r="U86" s="302"/>
      <c r="V86" s="1730" t="s">
        <v>482</v>
      </c>
      <c r="W86" s="1730"/>
      <c r="X86" s="1730"/>
      <c r="Y86" s="1730"/>
      <c r="Z86" s="1730"/>
      <c r="AA86" s="1730"/>
      <c r="AB86" s="303"/>
      <c r="AC86" s="1730" t="s">
        <v>483</v>
      </c>
      <c r="AD86" s="1730"/>
      <c r="AE86" s="1730"/>
      <c r="AF86" s="1730"/>
      <c r="AG86" s="1730"/>
      <c r="AH86" s="1730"/>
      <c r="AI86" s="1813"/>
      <c r="AJ86" s="193"/>
      <c r="AK86" s="194"/>
      <c r="AL86" s="304"/>
      <c r="AM86" s="1730" t="s">
        <v>482</v>
      </c>
      <c r="AN86" s="1730"/>
      <c r="AO86" s="1730"/>
      <c r="AP86" s="1730"/>
      <c r="AQ86" s="1730"/>
      <c r="AR86" s="1730"/>
      <c r="AS86" s="1731"/>
      <c r="AT86" s="1730" t="s">
        <v>483</v>
      </c>
      <c r="AU86" s="1730"/>
      <c r="AV86" s="1730"/>
      <c r="AW86" s="1730"/>
      <c r="AX86" s="1730"/>
      <c r="AY86" s="1730"/>
      <c r="BF86" s="300"/>
      <c r="BG86" s="300"/>
      <c r="BH86" s="300"/>
      <c r="BI86" s="300"/>
      <c r="CA86" s="300"/>
      <c r="CB86" s="300"/>
      <c r="CC86" s="300"/>
      <c r="CD86" s="300"/>
      <c r="CE86" s="300"/>
      <c r="CF86" s="300"/>
      <c r="CG86" s="300"/>
      <c r="CH86" s="300"/>
      <c r="CI86" s="300"/>
      <c r="CJ86" s="300"/>
      <c r="CK86" s="300"/>
      <c r="CL86" s="300"/>
      <c r="CM86" s="300"/>
      <c r="CN86" s="367"/>
      <c r="CO86" s="360">
        <v>0.437</v>
      </c>
      <c r="CP86" s="359">
        <v>40750</v>
      </c>
      <c r="CQ86" s="359">
        <v>42750</v>
      </c>
      <c r="CR86" s="1049"/>
      <c r="CS86" s="360">
        <v>0.437</v>
      </c>
      <c r="CT86" s="359"/>
      <c r="CU86" s="359"/>
      <c r="CV86" s="1049"/>
      <c r="CW86" s="360">
        <v>0.437</v>
      </c>
      <c r="CX86" s="359"/>
      <c r="CY86" s="359"/>
      <c r="CZ86" s="1049"/>
      <c r="DA86" s="360">
        <v>0.437</v>
      </c>
      <c r="DB86" s="359"/>
      <c r="DC86" s="359"/>
      <c r="DD86" s="1049"/>
      <c r="DE86" s="360">
        <v>0.437</v>
      </c>
      <c r="DF86" s="359"/>
      <c r="DG86" s="359"/>
      <c r="DH86" s="1049"/>
      <c r="DI86" s="360">
        <v>0.437</v>
      </c>
      <c r="DJ86" s="359"/>
      <c r="DK86" s="359"/>
      <c r="DL86" s="300"/>
      <c r="DM86" s="300"/>
      <c r="DN86" s="300"/>
      <c r="DO86" s="300"/>
      <c r="DP86" s="300"/>
      <c r="DQ86" s="300"/>
      <c r="DR86" s="300"/>
      <c r="DS86" s="300"/>
      <c r="DT86" s="300"/>
      <c r="DU86" s="300"/>
      <c r="DV86" s="300"/>
      <c r="DW86" s="300"/>
      <c r="DX86" s="300"/>
      <c r="DY86" s="300"/>
      <c r="DZ86" s="300"/>
      <c r="EA86" s="300"/>
      <c r="EB86" s="300"/>
      <c r="EC86" s="300"/>
      <c r="ED86" s="300"/>
      <c r="EE86" s="300"/>
      <c r="EF86" s="300"/>
      <c r="EG86" s="300"/>
      <c r="EH86" s="300"/>
      <c r="EI86" s="300"/>
      <c r="EJ86" s="300"/>
      <c r="EK86" s="300"/>
      <c r="EL86" s="300"/>
      <c r="EM86" s="300"/>
      <c r="EN86" s="300"/>
      <c r="EO86" s="300"/>
      <c r="EP86" s="300"/>
      <c r="EQ86" s="300"/>
    </row>
    <row r="87" spans="2:147" ht="48.75" customHeight="1">
      <c r="C87" s="1385"/>
      <c r="D87" s="1385"/>
      <c r="E87" s="1385"/>
      <c r="F87" s="279" t="s">
        <v>428</v>
      </c>
      <c r="G87" s="279" t="s">
        <v>400</v>
      </c>
      <c r="H87" s="279">
        <v>4</v>
      </c>
      <c r="I87" s="279">
        <v>6</v>
      </c>
      <c r="J87" s="279">
        <v>8</v>
      </c>
      <c r="K87" s="279" t="s">
        <v>484</v>
      </c>
      <c r="L87" s="279">
        <v>2</v>
      </c>
      <c r="M87" s="279">
        <v>4</v>
      </c>
      <c r="N87" s="279">
        <v>6</v>
      </c>
      <c r="O87" s="279">
        <v>8</v>
      </c>
      <c r="P87" s="279">
        <v>10</v>
      </c>
      <c r="Q87" s="279">
        <v>12</v>
      </c>
      <c r="S87" s="193"/>
      <c r="T87" s="1739" t="s">
        <v>716</v>
      </c>
      <c r="U87" s="820"/>
      <c r="V87" s="305" t="s">
        <v>442</v>
      </c>
      <c r="W87" s="710" t="s">
        <v>485</v>
      </c>
      <c r="X87" s="1714"/>
      <c r="Y87" s="1714"/>
      <c r="Z87" s="711"/>
      <c r="AA87" s="305" t="s">
        <v>442</v>
      </c>
      <c r="AB87" s="303"/>
      <c r="AC87" s="305" t="s">
        <v>442</v>
      </c>
      <c r="AD87" s="710" t="s">
        <v>485</v>
      </c>
      <c r="AE87" s="1714"/>
      <c r="AF87" s="1714"/>
      <c r="AG87" s="711"/>
      <c r="AH87" s="305" t="s">
        <v>442</v>
      </c>
      <c r="AI87" s="1813"/>
      <c r="AJ87" s="193"/>
      <c r="AK87" s="1236" t="s">
        <v>716</v>
      </c>
      <c r="AL87" s="1236"/>
      <c r="AM87" s="305" t="s">
        <v>442</v>
      </c>
      <c r="AN87" s="710" t="s">
        <v>500</v>
      </c>
      <c r="AO87" s="1714"/>
      <c r="AP87" s="1714"/>
      <c r="AQ87" s="711"/>
      <c r="AR87" s="305" t="s">
        <v>442</v>
      </c>
      <c r="AS87" s="1236"/>
      <c r="AT87" s="305" t="s">
        <v>442</v>
      </c>
      <c r="AU87" s="710" t="s">
        <v>500</v>
      </c>
      <c r="AV87" s="1714"/>
      <c r="AW87" s="1714"/>
      <c r="AX87" s="711"/>
      <c r="AY87" s="305" t="s">
        <v>442</v>
      </c>
      <c r="BF87" s="300"/>
      <c r="BG87" s="300"/>
      <c r="BH87" s="300"/>
      <c r="BI87" s="300"/>
      <c r="CA87" s="300"/>
      <c r="CB87" s="300"/>
      <c r="CC87" s="300"/>
      <c r="CD87" s="300"/>
      <c r="CE87" s="300"/>
      <c r="CF87" s="300"/>
      <c r="CG87" s="300"/>
      <c r="CH87" s="300"/>
      <c r="CI87" s="300"/>
      <c r="CJ87" s="300"/>
      <c r="CK87" s="300"/>
      <c r="CL87" s="300"/>
      <c r="CM87" s="300"/>
      <c r="CN87" s="367"/>
      <c r="CO87" s="360">
        <v>0.53</v>
      </c>
      <c r="CP87" s="359">
        <v>48000</v>
      </c>
      <c r="CQ87" s="359">
        <v>49750</v>
      </c>
      <c r="CR87" s="1049"/>
      <c r="CS87" s="360">
        <v>0.53</v>
      </c>
      <c r="CT87" s="359"/>
      <c r="CU87" s="359"/>
      <c r="CV87" s="1049"/>
      <c r="CW87" s="360">
        <v>0.53</v>
      </c>
      <c r="CX87" s="359"/>
      <c r="CY87" s="359"/>
      <c r="CZ87" s="1049"/>
      <c r="DA87" s="360">
        <v>0.53</v>
      </c>
      <c r="DB87" s="359"/>
      <c r="DC87" s="359"/>
      <c r="DD87" s="1049"/>
      <c r="DE87" s="360">
        <v>0.53</v>
      </c>
      <c r="DF87" s="359"/>
      <c r="DG87" s="359"/>
      <c r="DH87" s="1049"/>
      <c r="DI87" s="360">
        <v>0.53</v>
      </c>
      <c r="DJ87" s="359"/>
      <c r="DK87" s="359"/>
      <c r="DL87" s="300"/>
      <c r="DM87" s="300"/>
      <c r="DN87" s="300"/>
      <c r="DO87" s="300"/>
      <c r="DP87" s="300"/>
      <c r="DQ87" s="300"/>
      <c r="DR87" s="300"/>
      <c r="DS87" s="300"/>
      <c r="DT87" s="300"/>
      <c r="DU87" s="300"/>
      <c r="DV87" s="300"/>
      <c r="DW87" s="300"/>
      <c r="DX87" s="300"/>
      <c r="DY87" s="300"/>
      <c r="DZ87" s="300"/>
      <c r="EA87" s="300"/>
      <c r="EB87" s="300"/>
      <c r="EC87" s="300"/>
      <c r="ED87" s="300"/>
      <c r="EE87" s="300"/>
      <c r="EF87" s="300"/>
      <c r="EG87" s="300"/>
      <c r="EH87" s="300"/>
      <c r="EI87" s="300"/>
      <c r="EJ87" s="300"/>
      <c r="EK87" s="300"/>
      <c r="EL87" s="300"/>
      <c r="EM87" s="300"/>
      <c r="EN87" s="300"/>
      <c r="EO87" s="300"/>
      <c r="EP87" s="300"/>
      <c r="EQ87" s="300"/>
    </row>
    <row r="88" spans="2:147" ht="48.75" customHeight="1">
      <c r="B88" s="275">
        <v>1</v>
      </c>
      <c r="C88" s="1385" t="s">
        <v>485</v>
      </c>
      <c r="D88" s="1385"/>
      <c r="E88" s="1385"/>
      <c r="F88" s="279" t="s">
        <v>712</v>
      </c>
      <c r="G88" s="1385" t="s">
        <v>486</v>
      </c>
      <c r="H88" s="1385"/>
      <c r="I88" s="1385"/>
      <c r="J88" s="279" t="s">
        <v>487</v>
      </c>
      <c r="K88" s="279" t="s">
        <v>488</v>
      </c>
      <c r="L88" s="1385" t="s">
        <v>489</v>
      </c>
      <c r="M88" s="1385"/>
      <c r="N88" s="1385"/>
      <c r="O88" s="1385" t="s">
        <v>490</v>
      </c>
      <c r="P88" s="1385"/>
      <c r="Q88" s="279" t="s">
        <v>491</v>
      </c>
      <c r="S88" s="193"/>
      <c r="T88" s="1739" t="s">
        <v>428</v>
      </c>
      <c r="U88" s="820"/>
      <c r="V88" s="279">
        <v>2</v>
      </c>
      <c r="W88" s="279">
        <v>4</v>
      </c>
      <c r="X88" s="279">
        <v>6</v>
      </c>
      <c r="Y88" s="279">
        <v>8</v>
      </c>
      <c r="Z88" s="279">
        <v>10</v>
      </c>
      <c r="AA88" s="279">
        <v>12</v>
      </c>
      <c r="AB88" s="303"/>
      <c r="AC88" s="279">
        <v>2</v>
      </c>
      <c r="AD88" s="279">
        <v>4</v>
      </c>
      <c r="AE88" s="279">
        <v>6</v>
      </c>
      <c r="AF88" s="279">
        <v>8</v>
      </c>
      <c r="AG88" s="279">
        <v>10</v>
      </c>
      <c r="AH88" s="279">
        <v>12</v>
      </c>
      <c r="AI88" s="1813"/>
      <c r="AJ88" s="193"/>
      <c r="AK88" s="1739" t="s">
        <v>717</v>
      </c>
      <c r="AL88" s="820"/>
      <c r="AM88" s="126"/>
      <c r="AN88" s="710" t="s">
        <v>723</v>
      </c>
      <c r="AO88" s="1714"/>
      <c r="AP88" s="1714"/>
      <c r="AQ88" s="711"/>
      <c r="AR88" s="126"/>
      <c r="AS88" s="1236"/>
      <c r="AT88" s="126"/>
      <c r="AU88" s="710" t="s">
        <v>723</v>
      </c>
      <c r="AV88" s="1714"/>
      <c r="AW88" s="1714"/>
      <c r="AX88" s="711"/>
      <c r="AY88" s="126"/>
      <c r="BF88" s="300"/>
      <c r="BG88" s="300"/>
      <c r="BH88" s="300"/>
      <c r="BI88" s="300"/>
      <c r="BU88" s="300"/>
      <c r="BV88" s="300"/>
      <c r="BW88" s="300"/>
      <c r="BX88" s="300"/>
      <c r="BY88" s="300"/>
      <c r="CA88" s="300"/>
      <c r="CB88" s="300"/>
      <c r="CC88" s="300"/>
      <c r="CD88" s="300"/>
      <c r="CE88" s="300"/>
      <c r="CF88" s="300"/>
      <c r="CG88" s="300"/>
      <c r="CH88" s="300"/>
      <c r="CI88" s="300"/>
      <c r="CJ88" s="300"/>
      <c r="CK88" s="300"/>
      <c r="CL88" s="300"/>
      <c r="CM88" s="300"/>
      <c r="CN88" s="367"/>
      <c r="CO88" s="360">
        <v>0.59</v>
      </c>
      <c r="CP88" s="359">
        <v>49000</v>
      </c>
      <c r="CQ88" s="359">
        <v>50750</v>
      </c>
      <c r="CR88" s="1049"/>
      <c r="CS88" s="360">
        <v>0.59</v>
      </c>
      <c r="CT88" s="359"/>
      <c r="CU88" s="359"/>
      <c r="CV88" s="1049"/>
      <c r="CW88" s="360">
        <v>0.59</v>
      </c>
      <c r="CX88" s="359"/>
      <c r="CY88" s="359"/>
      <c r="CZ88" s="1049"/>
      <c r="DA88" s="360">
        <v>0.59</v>
      </c>
      <c r="DB88" s="359"/>
      <c r="DC88" s="359"/>
      <c r="DD88" s="1049"/>
      <c r="DE88" s="360">
        <v>0.59</v>
      </c>
      <c r="DF88" s="359"/>
      <c r="DG88" s="359"/>
      <c r="DH88" s="1049"/>
      <c r="DI88" s="360">
        <v>0.59</v>
      </c>
      <c r="DJ88" s="359"/>
      <c r="DK88" s="359"/>
      <c r="DL88" s="300"/>
      <c r="DM88" s="300"/>
      <c r="DN88" s="300"/>
      <c r="DO88" s="300"/>
      <c r="DP88" s="300"/>
      <c r="DQ88" s="300"/>
      <c r="DR88" s="300"/>
      <c r="DS88" s="300"/>
      <c r="DT88" s="300"/>
      <c r="DU88" s="300"/>
      <c r="DV88" s="300"/>
      <c r="DW88" s="300"/>
      <c r="DX88" s="300"/>
      <c r="DY88" s="300"/>
      <c r="DZ88" s="300"/>
      <c r="EA88" s="300"/>
      <c r="EB88" s="300"/>
      <c r="EC88" s="300"/>
      <c r="ED88" s="300"/>
      <c r="EE88" s="300"/>
      <c r="EF88" s="300"/>
      <c r="EG88" s="300"/>
      <c r="EH88" s="300"/>
      <c r="EI88" s="300"/>
      <c r="EJ88" s="300"/>
      <c r="EK88" s="300"/>
      <c r="EL88" s="300"/>
      <c r="EM88" s="300"/>
      <c r="EN88" s="300"/>
      <c r="EO88" s="300"/>
      <c r="EP88" s="300"/>
      <c r="EQ88" s="300"/>
    </row>
    <row r="89" spans="2:147" ht="48.75" customHeight="1">
      <c r="B89" s="275">
        <v>2</v>
      </c>
      <c r="C89" s="1728" t="s">
        <v>719</v>
      </c>
      <c r="D89" s="1724"/>
      <c r="E89" s="1725"/>
      <c r="F89" s="1715" t="s">
        <v>67</v>
      </c>
      <c r="G89" s="1728" t="s">
        <v>492</v>
      </c>
      <c r="H89" s="1724"/>
      <c r="I89" s="1724"/>
      <c r="J89" s="1725"/>
      <c r="K89" s="1715" t="s">
        <v>493</v>
      </c>
      <c r="L89" s="1715" t="s">
        <v>494</v>
      </c>
      <c r="M89" s="1728" t="s">
        <v>495</v>
      </c>
      <c r="N89" s="1724"/>
      <c r="O89" s="1725"/>
      <c r="P89" s="1728" t="s">
        <v>492</v>
      </c>
      <c r="Q89" s="1725"/>
      <c r="S89" s="193"/>
      <c r="T89" s="1739" t="s">
        <v>1315</v>
      </c>
      <c r="U89" s="820"/>
      <c r="V89" s="710" t="s">
        <v>712</v>
      </c>
      <c r="W89" s="1714"/>
      <c r="X89" s="1714"/>
      <c r="Y89" s="1714"/>
      <c r="Z89" s="1714"/>
      <c r="AA89" s="711"/>
      <c r="AB89" s="306"/>
      <c r="AC89" s="710" t="s">
        <v>712</v>
      </c>
      <c r="AD89" s="1714"/>
      <c r="AE89" s="1714"/>
      <c r="AF89" s="1714"/>
      <c r="AG89" s="1714"/>
      <c r="AH89" s="711"/>
      <c r="AI89" s="1731"/>
      <c r="AJ89" s="193"/>
      <c r="AK89" s="1739" t="s">
        <v>428</v>
      </c>
      <c r="AL89" s="820"/>
      <c r="AM89" s="279">
        <v>2</v>
      </c>
      <c r="AN89" s="279">
        <v>4</v>
      </c>
      <c r="AO89" s="279">
        <v>6</v>
      </c>
      <c r="AP89" s="279">
        <v>8</v>
      </c>
      <c r="AQ89" s="279">
        <v>10</v>
      </c>
      <c r="AR89" s="279">
        <v>12</v>
      </c>
      <c r="AS89" s="1236"/>
      <c r="AT89" s="279">
        <v>2</v>
      </c>
      <c r="AU89" s="279">
        <v>4</v>
      </c>
      <c r="AV89" s="279">
        <v>6</v>
      </c>
      <c r="AW89" s="279">
        <v>8</v>
      </c>
      <c r="AX89" s="279">
        <v>10</v>
      </c>
      <c r="AY89" s="279">
        <v>12</v>
      </c>
      <c r="BF89" s="300"/>
      <c r="BG89" s="300"/>
      <c r="BH89" s="300"/>
      <c r="BI89" s="300"/>
      <c r="BU89" s="300"/>
      <c r="BV89" s="300"/>
      <c r="BW89" s="300"/>
      <c r="BX89" s="300"/>
      <c r="BY89" s="300"/>
      <c r="CA89" s="300"/>
      <c r="CB89" s="300"/>
      <c r="CC89" s="300"/>
      <c r="CD89" s="300"/>
      <c r="CE89" s="300"/>
      <c r="CF89" s="300"/>
      <c r="CG89" s="300"/>
      <c r="CH89" s="300"/>
      <c r="CI89" s="300"/>
      <c r="CJ89" s="300"/>
      <c r="CK89" s="300"/>
      <c r="CL89" s="300"/>
      <c r="CM89" s="300"/>
      <c r="CN89" s="368"/>
      <c r="CO89" s="360">
        <v>0.66</v>
      </c>
      <c r="CP89" s="359">
        <v>50000</v>
      </c>
      <c r="CQ89" s="359">
        <v>51750</v>
      </c>
      <c r="CR89" s="1049"/>
      <c r="CS89" s="360">
        <v>0.66</v>
      </c>
      <c r="CT89" s="359"/>
      <c r="CU89" s="359"/>
      <c r="CV89" s="1049"/>
      <c r="CW89" s="360">
        <v>0.66</v>
      </c>
      <c r="CX89" s="359"/>
      <c r="CY89" s="359"/>
      <c r="CZ89" s="1049"/>
      <c r="DA89" s="360">
        <v>0.66</v>
      </c>
      <c r="DB89" s="359"/>
      <c r="DC89" s="359"/>
      <c r="DD89" s="1049"/>
      <c r="DE89" s="360">
        <v>0.66</v>
      </c>
      <c r="DF89" s="359"/>
      <c r="DG89" s="359"/>
      <c r="DH89" s="1049"/>
      <c r="DI89" s="360">
        <v>0.66</v>
      </c>
      <c r="DJ89" s="359"/>
      <c r="DK89" s="359"/>
      <c r="DL89" s="300"/>
      <c r="DM89" s="300"/>
      <c r="DN89" s="300"/>
      <c r="DO89" s="300"/>
      <c r="DP89" s="300"/>
      <c r="DQ89" s="300"/>
      <c r="DR89" s="300"/>
      <c r="DS89" s="300"/>
      <c r="DT89" s="300"/>
      <c r="DU89" s="300"/>
      <c r="DV89" s="300"/>
      <c r="DW89" s="300"/>
      <c r="DX89" s="300"/>
      <c r="DY89" s="300"/>
      <c r="DZ89" s="300"/>
      <c r="EA89" s="300"/>
      <c r="EB89" s="300"/>
      <c r="EC89" s="300"/>
      <c r="ED89" s="300"/>
      <c r="EE89" s="300"/>
      <c r="EF89" s="300"/>
      <c r="EG89" s="300"/>
      <c r="EH89" s="300"/>
      <c r="EI89" s="300"/>
      <c r="EJ89" s="300"/>
      <c r="EK89" s="300"/>
      <c r="EL89" s="300"/>
      <c r="EM89" s="300"/>
      <c r="EN89" s="300"/>
      <c r="EO89" s="300"/>
      <c r="EP89" s="300"/>
      <c r="EQ89" s="300"/>
    </row>
    <row r="90" spans="2:147" ht="48.75" customHeight="1">
      <c r="B90" s="275">
        <v>3</v>
      </c>
      <c r="C90" s="1729"/>
      <c r="D90" s="1726"/>
      <c r="E90" s="1727"/>
      <c r="F90" s="1789"/>
      <c r="G90" s="1729"/>
      <c r="H90" s="1726"/>
      <c r="I90" s="1726"/>
      <c r="J90" s="1727"/>
      <c r="K90" s="1789"/>
      <c r="L90" s="1789"/>
      <c r="M90" s="1729"/>
      <c r="N90" s="1726"/>
      <c r="O90" s="1727"/>
      <c r="P90" s="1729"/>
      <c r="Q90" s="1727"/>
      <c r="S90" s="193"/>
      <c r="T90" s="1739" t="s">
        <v>126</v>
      </c>
      <c r="U90" s="820"/>
      <c r="V90" s="1033" t="s">
        <v>486</v>
      </c>
      <c r="W90" s="1033"/>
      <c r="X90" s="1033"/>
      <c r="Y90" s="279" t="s">
        <v>487</v>
      </c>
      <c r="Z90" s="1405" t="s">
        <v>715</v>
      </c>
      <c r="AA90" s="1407"/>
      <c r="AB90" s="114"/>
      <c r="AC90" s="710" t="s">
        <v>489</v>
      </c>
      <c r="AD90" s="1714"/>
      <c r="AE90" s="711"/>
      <c r="AF90" s="710" t="s">
        <v>490</v>
      </c>
      <c r="AG90" s="711"/>
      <c r="AH90" s="102" t="s">
        <v>491</v>
      </c>
      <c r="AI90" s="111"/>
      <c r="AJ90" s="193"/>
      <c r="AK90" s="1739" t="s">
        <v>1315</v>
      </c>
      <c r="AL90" s="820"/>
      <c r="AM90" s="363" t="s">
        <v>713</v>
      </c>
      <c r="AN90" s="10"/>
      <c r="AO90" s="10"/>
      <c r="AP90" s="10"/>
      <c r="AQ90" s="10"/>
      <c r="AR90" s="10"/>
      <c r="AS90" s="111"/>
      <c r="AT90" s="10"/>
      <c r="AU90" s="10"/>
      <c r="AV90" s="10"/>
      <c r="AW90" s="10"/>
      <c r="AX90" s="10"/>
      <c r="AY90" s="10"/>
      <c r="BF90" s="300"/>
      <c r="BG90" s="300"/>
      <c r="BH90" s="300"/>
      <c r="BI90" s="300"/>
      <c r="BU90" s="300"/>
      <c r="BV90" s="300"/>
      <c r="BW90" s="300"/>
      <c r="BX90" s="300"/>
      <c r="BY90" s="300"/>
      <c r="CA90" s="300"/>
      <c r="CB90" s="300"/>
      <c r="CC90" s="300"/>
      <c r="CD90" s="300"/>
      <c r="CE90" s="300"/>
      <c r="CF90" s="300"/>
      <c r="CG90" s="300"/>
      <c r="CH90" s="300"/>
      <c r="CI90" s="300"/>
      <c r="CJ90" s="300"/>
      <c r="CK90" s="300"/>
      <c r="CL90" s="300"/>
      <c r="CM90" s="300"/>
      <c r="CN90" s="300"/>
      <c r="CO90" s="300"/>
      <c r="CP90" s="300"/>
      <c r="CQ90" s="300"/>
      <c r="CR90" s="300"/>
      <c r="CS90" s="300"/>
      <c r="CT90" s="300"/>
      <c r="CU90" s="300"/>
      <c r="CV90" s="300"/>
      <c r="CW90" s="300"/>
      <c r="CX90" s="300"/>
      <c r="CY90" s="300"/>
      <c r="CZ90" s="300"/>
      <c r="DA90" s="300"/>
      <c r="DB90" s="300"/>
      <c r="DC90" s="300"/>
      <c r="DD90" s="300"/>
      <c r="DE90" s="300"/>
      <c r="DF90" s="300"/>
      <c r="DG90" s="300"/>
      <c r="DH90" s="300"/>
      <c r="DI90" s="300"/>
      <c r="DJ90" s="300"/>
      <c r="DK90" s="300"/>
      <c r="DL90" s="300"/>
      <c r="DM90" s="300"/>
      <c r="DN90" s="300"/>
      <c r="DO90" s="300"/>
      <c r="DP90" s="300"/>
      <c r="DQ90" s="300"/>
      <c r="DR90" s="300"/>
      <c r="DS90" s="300"/>
      <c r="DT90" s="300"/>
      <c r="DU90" s="300"/>
      <c r="DV90" s="300"/>
      <c r="DW90" s="300"/>
      <c r="DX90" s="300"/>
      <c r="DY90" s="300"/>
      <c r="DZ90" s="300"/>
      <c r="EA90" s="300"/>
      <c r="EB90" s="300"/>
      <c r="EC90" s="300"/>
      <c r="ED90" s="300"/>
      <c r="EE90" s="300"/>
      <c r="EF90" s="300"/>
      <c r="EG90" s="300"/>
      <c r="EH90" s="300"/>
      <c r="EI90" s="300"/>
      <c r="EJ90" s="300"/>
      <c r="EK90" s="300"/>
      <c r="EL90" s="300"/>
      <c r="EM90" s="300"/>
      <c r="EN90" s="300"/>
      <c r="EO90" s="300"/>
      <c r="EP90" s="300"/>
      <c r="EQ90" s="300"/>
    </row>
    <row r="91" spans="2:147" ht="48.75" customHeight="1">
      <c r="B91" s="1033">
        <v>4</v>
      </c>
      <c r="C91" s="1795" t="s">
        <v>496</v>
      </c>
      <c r="D91" s="1385" t="s">
        <v>497</v>
      </c>
      <c r="E91" s="1385"/>
      <c r="F91" s="1385" t="s">
        <v>530</v>
      </c>
      <c r="G91" s="1385" t="s">
        <v>498</v>
      </c>
      <c r="H91" s="1385"/>
      <c r="I91" s="1385"/>
      <c r="J91" s="1385"/>
      <c r="K91" s="1385"/>
      <c r="L91" s="1715" t="s">
        <v>494</v>
      </c>
      <c r="M91" s="1728" t="s">
        <v>495</v>
      </c>
      <c r="N91" s="1724"/>
      <c r="O91" s="1724"/>
      <c r="P91" s="1724"/>
      <c r="Q91" s="1725"/>
      <c r="S91" s="193"/>
      <c r="T91" s="1739" t="s">
        <v>1314</v>
      </c>
      <c r="U91" s="820" t="s">
        <v>1312</v>
      </c>
      <c r="V91" s="1405">
        <v>1.4</v>
      </c>
      <c r="W91" s="1406"/>
      <c r="X91" s="1407"/>
      <c r="Y91" s="275">
        <v>1.1499999999999999</v>
      </c>
      <c r="Z91" s="1405">
        <v>1.1000000000000001</v>
      </c>
      <c r="AA91" s="1407"/>
      <c r="AB91" s="111"/>
      <c r="AC91" s="275"/>
      <c r="AD91" s="275"/>
      <c r="AE91" s="275"/>
      <c r="AF91" s="275"/>
      <c r="AG91" s="275"/>
      <c r="AH91" s="275"/>
      <c r="AI91" s="111"/>
      <c r="AJ91" s="193"/>
      <c r="AK91" s="1236" t="s">
        <v>126</v>
      </c>
      <c r="AL91" s="1236"/>
      <c r="AM91" s="10"/>
      <c r="AN91" s="10"/>
      <c r="AO91" s="10"/>
      <c r="AP91" s="10"/>
      <c r="AQ91" s="10"/>
      <c r="AR91" s="10"/>
      <c r="AS91" s="111"/>
      <c r="AT91" s="10"/>
      <c r="AU91" s="10"/>
      <c r="AV91" s="10"/>
      <c r="AW91" s="10"/>
      <c r="AX91" s="10"/>
      <c r="AY91" s="10"/>
      <c r="BF91" s="300"/>
      <c r="BG91" s="300"/>
      <c r="BH91" s="300"/>
      <c r="BI91" s="300"/>
      <c r="BU91" s="300"/>
      <c r="BV91" s="300"/>
      <c r="BW91" s="300"/>
      <c r="BX91" s="300"/>
      <c r="BY91" s="300"/>
      <c r="CA91" s="300"/>
      <c r="CB91" s="300"/>
      <c r="CC91" s="300"/>
      <c r="CD91" s="300"/>
      <c r="CE91" s="300"/>
      <c r="CF91" s="300"/>
      <c r="CG91" s="300"/>
      <c r="CH91" s="300"/>
      <c r="CI91" s="300"/>
      <c r="CJ91" s="300"/>
      <c r="CK91" s="300"/>
      <c r="CL91" s="300"/>
      <c r="CM91" s="300"/>
      <c r="CN91" s="300"/>
      <c r="CO91" s="300"/>
      <c r="CP91" s="300"/>
      <c r="CQ91" s="300"/>
      <c r="CR91" s="300"/>
      <c r="CS91" s="300"/>
      <c r="CT91" s="300"/>
      <c r="CU91" s="300"/>
      <c r="CV91" s="300"/>
      <c r="CW91" s="300"/>
      <c r="CX91" s="300"/>
      <c r="CY91" s="300"/>
      <c r="CZ91" s="300"/>
      <c r="DA91" s="300"/>
      <c r="DB91" s="300"/>
      <c r="DC91" s="300"/>
      <c r="DD91" s="300"/>
      <c r="DE91" s="300"/>
      <c r="DF91" s="300"/>
      <c r="DG91" s="300"/>
      <c r="DH91" s="300"/>
      <c r="DI91" s="300"/>
      <c r="DJ91" s="300"/>
      <c r="DK91" s="300"/>
      <c r="DL91" s="300"/>
      <c r="DM91" s="300"/>
      <c r="DN91" s="300"/>
      <c r="DO91" s="300"/>
      <c r="DP91" s="300"/>
      <c r="DQ91" s="300"/>
      <c r="DR91" s="300"/>
      <c r="DS91" s="300"/>
      <c r="DT91" s="300"/>
      <c r="DU91" s="300"/>
      <c r="DV91" s="300"/>
      <c r="DW91" s="300"/>
      <c r="DX91" s="300"/>
      <c r="DY91" s="300"/>
      <c r="DZ91" s="300"/>
      <c r="EA91" s="300"/>
      <c r="EB91" s="300"/>
      <c r="EC91" s="300"/>
      <c r="ED91" s="300"/>
      <c r="EE91" s="300"/>
      <c r="EF91" s="300"/>
      <c r="EG91" s="300"/>
      <c r="EH91" s="300"/>
      <c r="EI91" s="300"/>
      <c r="EJ91" s="300"/>
      <c r="EK91" s="300"/>
      <c r="EL91" s="300"/>
      <c r="EM91" s="300"/>
      <c r="EN91" s="300"/>
      <c r="EO91" s="300"/>
      <c r="EP91" s="300"/>
      <c r="EQ91" s="300"/>
    </row>
    <row r="92" spans="2:147" ht="48.75" customHeight="1">
      <c r="B92" s="1033"/>
      <c r="C92" s="1795"/>
      <c r="D92" s="1385"/>
      <c r="E92" s="1385"/>
      <c r="F92" s="1385"/>
      <c r="G92" s="1385"/>
      <c r="H92" s="1385"/>
      <c r="I92" s="1385"/>
      <c r="J92" s="1385"/>
      <c r="K92" s="1385"/>
      <c r="L92" s="1789"/>
      <c r="M92" s="1729"/>
      <c r="N92" s="1726"/>
      <c r="O92" s="1726"/>
      <c r="P92" s="1726"/>
      <c r="Q92" s="1727"/>
      <c r="S92" s="193"/>
      <c r="T92" s="1740" t="s">
        <v>1313</v>
      </c>
      <c r="U92" s="1131"/>
      <c r="V92" s="1405">
        <v>1.6</v>
      </c>
      <c r="W92" s="1406"/>
      <c r="X92" s="1407"/>
      <c r="Y92" s="275">
        <v>1.35</v>
      </c>
      <c r="Z92" s="1405">
        <v>1.2</v>
      </c>
      <c r="AA92" s="1407"/>
      <c r="AB92" s="111"/>
      <c r="AC92" s="275"/>
      <c r="AD92" s="275"/>
      <c r="AE92" s="275"/>
      <c r="AF92" s="275"/>
      <c r="AG92" s="275"/>
      <c r="AH92" s="275"/>
      <c r="AI92" s="111"/>
      <c r="AJ92" s="193"/>
      <c r="AK92" s="1739" t="s">
        <v>1314</v>
      </c>
      <c r="AL92" s="820" t="s">
        <v>1312</v>
      </c>
      <c r="AM92" s="10"/>
      <c r="AN92" s="10"/>
      <c r="AO92" s="10"/>
      <c r="AP92" s="10"/>
      <c r="AQ92" s="10"/>
      <c r="AR92" s="10"/>
      <c r="AS92" s="111"/>
      <c r="AT92" s="10"/>
      <c r="AU92" s="10"/>
      <c r="AV92" s="10"/>
      <c r="AW92" s="10"/>
      <c r="AX92" s="10"/>
      <c r="AY92" s="10"/>
      <c r="BF92" s="300"/>
      <c r="BG92" s="300"/>
      <c r="BH92" s="300"/>
      <c r="BI92" s="300"/>
      <c r="BU92" s="300"/>
      <c r="BV92" s="300"/>
      <c r="BW92" s="300"/>
      <c r="BX92" s="300"/>
      <c r="BY92" s="300"/>
      <c r="CA92" s="300"/>
      <c r="CB92" s="300"/>
      <c r="CC92" s="300"/>
      <c r="CD92" s="300"/>
      <c r="CE92" s="300"/>
      <c r="CF92" s="300"/>
      <c r="CG92" s="300"/>
      <c r="CH92" s="300"/>
      <c r="CI92" s="300"/>
      <c r="CJ92" s="300"/>
      <c r="CK92" s="300"/>
      <c r="CL92" s="300"/>
      <c r="CM92" s="300"/>
      <c r="CN92" s="300"/>
      <c r="CO92" s="300"/>
      <c r="CP92" s="300"/>
      <c r="CQ92" s="300"/>
      <c r="CR92" s="300"/>
      <c r="CS92" s="300"/>
      <c r="CT92" s="300"/>
      <c r="CU92" s="300"/>
      <c r="CV92" s="300"/>
      <c r="CW92" s="300"/>
      <c r="CX92" s="300"/>
      <c r="CY92" s="300"/>
      <c r="CZ92" s="300"/>
      <c r="DA92" s="300"/>
      <c r="DB92" s="300"/>
      <c r="DC92" s="300"/>
      <c r="DD92" s="300"/>
      <c r="DE92" s="300"/>
      <c r="DF92" s="300"/>
      <c r="DG92" s="300"/>
      <c r="DH92" s="300"/>
      <c r="DI92" s="300"/>
      <c r="DJ92" s="300"/>
      <c r="DK92" s="300"/>
      <c r="DL92" s="300"/>
      <c r="DM92" s="300"/>
      <c r="DN92" s="300"/>
      <c r="DO92" s="300"/>
      <c r="DP92" s="300"/>
      <c r="DQ92" s="300"/>
      <c r="DR92" s="300"/>
      <c r="DS92" s="300"/>
      <c r="DT92" s="300"/>
      <c r="DU92" s="300"/>
      <c r="DV92" s="300"/>
      <c r="DW92" s="300"/>
      <c r="DX92" s="300"/>
      <c r="DY92" s="300"/>
      <c r="DZ92" s="300"/>
      <c r="EA92" s="300"/>
      <c r="EB92" s="300"/>
      <c r="EC92" s="300"/>
      <c r="ED92" s="300"/>
      <c r="EE92" s="300"/>
      <c r="EF92" s="300"/>
      <c r="EG92" s="300"/>
      <c r="EH92" s="300"/>
      <c r="EI92" s="300"/>
      <c r="EJ92" s="300"/>
      <c r="EK92" s="300"/>
      <c r="EL92" s="300"/>
      <c r="EM92" s="300"/>
      <c r="EN92" s="300"/>
      <c r="EO92" s="300"/>
      <c r="EP92" s="300"/>
      <c r="EQ92" s="300"/>
    </row>
    <row r="93" spans="2:147" ht="48.75" customHeight="1">
      <c r="B93" s="1033">
        <v>5</v>
      </c>
      <c r="C93" s="1795"/>
      <c r="D93" s="1385" t="s">
        <v>499</v>
      </c>
      <c r="E93" s="1385"/>
      <c r="F93" s="1385" t="s">
        <v>530</v>
      </c>
      <c r="G93" s="1385" t="s">
        <v>493</v>
      </c>
      <c r="H93" s="1385"/>
      <c r="I93" s="1385"/>
      <c r="J93" s="1385"/>
      <c r="K93" s="1385"/>
      <c r="L93" s="1728" t="s">
        <v>492</v>
      </c>
      <c r="M93" s="1724"/>
      <c r="N93" s="1724"/>
      <c r="O93" s="1724"/>
      <c r="P93" s="1724"/>
      <c r="Q93" s="1725"/>
      <c r="S93" s="313"/>
      <c r="T93" s="313"/>
      <c r="U93" s="313"/>
      <c r="V93" s="313"/>
      <c r="W93" s="313"/>
      <c r="X93" s="313"/>
      <c r="Y93" s="313"/>
      <c r="Z93" s="313"/>
      <c r="AA93" s="313"/>
      <c r="AB93" s="313"/>
      <c r="AC93" s="313"/>
      <c r="AD93" s="313"/>
      <c r="AE93" s="313"/>
      <c r="AF93" s="313"/>
      <c r="AG93" s="313"/>
      <c r="AH93" s="313"/>
      <c r="AI93" s="111"/>
      <c r="AJ93" s="193"/>
      <c r="AK93" s="1740" t="s">
        <v>1313</v>
      </c>
      <c r="AL93" s="1131"/>
      <c r="AM93" s="10"/>
      <c r="AN93" s="10"/>
      <c r="AO93" s="10"/>
      <c r="AP93" s="10"/>
      <c r="AQ93" s="10"/>
      <c r="AR93" s="10"/>
      <c r="AS93" s="111"/>
      <c r="AT93" s="10"/>
      <c r="AU93" s="10"/>
      <c r="AV93" s="10"/>
      <c r="AW93" s="10"/>
      <c r="AX93" s="10"/>
      <c r="AY93" s="10"/>
      <c r="BF93" s="300"/>
      <c r="BG93" s="300"/>
      <c r="BH93" s="300"/>
      <c r="BI93" s="300"/>
      <c r="BU93" s="300"/>
      <c r="BV93" s="300"/>
      <c r="BW93" s="300"/>
      <c r="BX93" s="300"/>
      <c r="BY93" s="300"/>
      <c r="CA93" s="300"/>
      <c r="CB93" s="300"/>
      <c r="CC93" s="300"/>
      <c r="CD93" s="300"/>
      <c r="CE93" s="300"/>
      <c r="CF93" s="300"/>
      <c r="CG93" s="300"/>
      <c r="CH93" s="300"/>
      <c r="CI93" s="300"/>
      <c r="CJ93" s="300"/>
      <c r="CK93" s="300"/>
      <c r="CL93" s="300"/>
      <c r="CM93" s="300"/>
      <c r="CN93" s="300"/>
      <c r="CO93" s="300"/>
      <c r="CP93" s="300"/>
      <c r="CQ93" s="300"/>
      <c r="CR93" s="300"/>
      <c r="CS93" s="300"/>
      <c r="CT93" s="300"/>
      <c r="CU93" s="300"/>
      <c r="CV93" s="300"/>
      <c r="CW93" s="300"/>
      <c r="CX93" s="300"/>
      <c r="CY93" s="300"/>
      <c r="CZ93" s="300"/>
      <c r="DA93" s="300"/>
      <c r="DB93" s="300"/>
      <c r="DC93" s="300"/>
      <c r="DD93" s="300"/>
      <c r="DE93" s="300"/>
      <c r="DF93" s="300"/>
      <c r="DG93" s="300"/>
      <c r="DH93" s="300"/>
      <c r="DI93" s="300"/>
      <c r="DJ93" s="300"/>
      <c r="DK93" s="300"/>
      <c r="DL93" s="300"/>
      <c r="DM93" s="300"/>
      <c r="DN93" s="300"/>
      <c r="DO93" s="300"/>
      <c r="DP93" s="300"/>
      <c r="DQ93" s="300"/>
      <c r="DR93" s="300"/>
      <c r="DS93" s="300"/>
      <c r="DT93" s="300"/>
      <c r="DU93" s="300"/>
      <c r="DV93" s="300"/>
      <c r="DW93" s="300"/>
      <c r="DX93" s="300"/>
      <c r="DY93" s="300"/>
      <c r="DZ93" s="300"/>
      <c r="EA93" s="300"/>
      <c r="EB93" s="300"/>
      <c r="EC93" s="300"/>
      <c r="ED93" s="300"/>
      <c r="EE93" s="300"/>
      <c r="EF93" s="300"/>
      <c r="EG93" s="300"/>
      <c r="EH93" s="300"/>
      <c r="EI93" s="300"/>
      <c r="EJ93" s="300"/>
      <c r="EK93" s="300"/>
      <c r="EL93" s="300"/>
      <c r="EM93" s="300"/>
      <c r="EN93" s="300"/>
      <c r="EO93" s="300"/>
      <c r="EP93" s="300"/>
      <c r="EQ93" s="300"/>
    </row>
    <row r="94" spans="2:147" ht="48.75" customHeight="1">
      <c r="B94" s="1033"/>
      <c r="C94" s="1795"/>
      <c r="D94" s="1385"/>
      <c r="E94" s="1385"/>
      <c r="F94" s="1385"/>
      <c r="G94" s="1385"/>
      <c r="H94" s="1385"/>
      <c r="I94" s="1385"/>
      <c r="J94" s="1385"/>
      <c r="K94" s="1385"/>
      <c r="L94" s="1729"/>
      <c r="M94" s="1726"/>
      <c r="N94" s="1726"/>
      <c r="O94" s="1726"/>
      <c r="P94" s="1726"/>
      <c r="Q94" s="1727"/>
      <c r="S94" s="193"/>
      <c r="T94" s="1236" t="s">
        <v>716</v>
      </c>
      <c r="U94" s="1236"/>
      <c r="V94" s="305" t="s">
        <v>442</v>
      </c>
      <c r="W94" s="710" t="s">
        <v>718</v>
      </c>
      <c r="X94" s="1714"/>
      <c r="Y94" s="1714"/>
      <c r="Z94" s="711"/>
      <c r="AA94" s="305" t="s">
        <v>442</v>
      </c>
      <c r="AB94" s="365"/>
      <c r="AC94" s="305" t="s">
        <v>442</v>
      </c>
      <c r="AD94" s="710" t="s">
        <v>718</v>
      </c>
      <c r="AE94" s="1714"/>
      <c r="AF94" s="1714"/>
      <c r="AG94" s="711"/>
      <c r="AH94" s="305" t="s">
        <v>442</v>
      </c>
      <c r="AI94" s="111"/>
      <c r="AJ94" s="193"/>
      <c r="AK94" s="111"/>
      <c r="AL94" s="361"/>
      <c r="AM94" s="10"/>
      <c r="AN94" s="10"/>
      <c r="AO94" s="10"/>
      <c r="AP94" s="10"/>
      <c r="AQ94" s="10"/>
      <c r="AR94" s="10"/>
      <c r="AS94" s="111"/>
      <c r="AT94" s="10"/>
      <c r="AU94" s="10"/>
      <c r="AV94" s="10"/>
      <c r="AW94" s="10"/>
      <c r="AX94" s="10"/>
      <c r="AY94" s="10"/>
      <c r="BF94" s="300"/>
      <c r="BG94" s="300"/>
      <c r="BH94" s="300"/>
      <c r="BI94" s="300"/>
      <c r="BU94" s="300"/>
      <c r="BV94" s="300"/>
      <c r="BW94" s="300"/>
      <c r="BX94" s="300"/>
      <c r="BY94" s="300"/>
      <c r="CA94" s="300"/>
      <c r="CB94" s="300"/>
      <c r="CC94" s="300"/>
      <c r="CD94" s="300"/>
      <c r="CE94" s="300"/>
      <c r="CF94" s="300"/>
      <c r="CG94" s="300"/>
      <c r="CH94" s="300"/>
      <c r="CI94" s="300"/>
      <c r="CJ94" s="300"/>
      <c r="CK94" s="300"/>
      <c r="CL94" s="300"/>
      <c r="CM94" s="300"/>
      <c r="CN94" s="300"/>
      <c r="CO94" s="300"/>
      <c r="CP94" s="300"/>
      <c r="CQ94" s="300"/>
      <c r="CR94" s="300"/>
      <c r="CS94" s="300"/>
      <c r="CT94" s="300"/>
      <c r="CU94" s="300"/>
      <c r="CV94" s="300"/>
      <c r="CW94" s="300"/>
      <c r="CX94" s="300"/>
      <c r="CY94" s="300"/>
      <c r="CZ94" s="300"/>
      <c r="DA94" s="300"/>
      <c r="DB94" s="300"/>
      <c r="DC94" s="300"/>
      <c r="DD94" s="300"/>
      <c r="DE94" s="300"/>
      <c r="DF94" s="300"/>
      <c r="DG94" s="300"/>
      <c r="DH94" s="300"/>
      <c r="DI94" s="300"/>
      <c r="DJ94" s="300"/>
      <c r="DK94" s="300"/>
      <c r="DL94" s="300"/>
      <c r="DM94" s="300"/>
      <c r="DN94" s="300"/>
      <c r="DO94" s="300"/>
      <c r="DP94" s="300"/>
      <c r="DQ94" s="300"/>
      <c r="DR94" s="300"/>
      <c r="DS94" s="300"/>
      <c r="DT94" s="300"/>
      <c r="DU94" s="300"/>
      <c r="DV94" s="300"/>
      <c r="DW94" s="300"/>
      <c r="DX94" s="300"/>
      <c r="DY94" s="300"/>
      <c r="DZ94" s="300"/>
      <c r="EA94" s="300"/>
      <c r="EB94" s="300"/>
      <c r="EC94" s="300"/>
      <c r="ED94" s="300"/>
      <c r="EE94" s="300"/>
      <c r="EF94" s="300"/>
      <c r="EG94" s="300"/>
      <c r="EH94" s="300"/>
      <c r="EI94" s="300"/>
      <c r="EJ94" s="300"/>
      <c r="EK94" s="300"/>
      <c r="EL94" s="300"/>
      <c r="EM94" s="300"/>
      <c r="EN94" s="300"/>
      <c r="EO94" s="300"/>
      <c r="EP94" s="300"/>
      <c r="EQ94" s="300"/>
    </row>
    <row r="95" spans="2:147" ht="48.75" customHeight="1">
      <c r="B95" s="275">
        <v>6</v>
      </c>
      <c r="C95" s="1715" t="s">
        <v>500</v>
      </c>
      <c r="D95" s="1385" t="s">
        <v>501</v>
      </c>
      <c r="E95" s="1385"/>
      <c r="F95" s="279" t="s">
        <v>713</v>
      </c>
      <c r="G95" s="279" t="s">
        <v>502</v>
      </c>
      <c r="H95" s="279" t="s">
        <v>503</v>
      </c>
      <c r="I95" s="279" t="s">
        <v>504</v>
      </c>
      <c r="J95" s="1385" t="s">
        <v>505</v>
      </c>
      <c r="K95" s="1385"/>
      <c r="L95" s="279" t="s">
        <v>506</v>
      </c>
      <c r="M95" s="279" t="s">
        <v>507</v>
      </c>
      <c r="N95" s="279" t="s">
        <v>503</v>
      </c>
      <c r="O95" s="1385" t="s">
        <v>508</v>
      </c>
      <c r="P95" s="1385"/>
      <c r="Q95" s="1385"/>
      <c r="S95" s="193"/>
      <c r="T95" s="1739" t="s">
        <v>428</v>
      </c>
      <c r="U95" s="820"/>
      <c r="V95" s="279">
        <v>2</v>
      </c>
      <c r="W95" s="279">
        <v>4</v>
      </c>
      <c r="X95" s="279">
        <v>6</v>
      </c>
      <c r="Y95" s="279">
        <v>8</v>
      </c>
      <c r="Z95" s="279">
        <v>10</v>
      </c>
      <c r="AA95" s="279">
        <v>12</v>
      </c>
      <c r="AB95" s="303"/>
      <c r="AC95" s="279">
        <v>2</v>
      </c>
      <c r="AD95" s="279">
        <v>4</v>
      </c>
      <c r="AE95" s="279">
        <v>6</v>
      </c>
      <c r="AF95" s="279">
        <v>8</v>
      </c>
      <c r="AG95" s="279">
        <v>10</v>
      </c>
      <c r="AH95" s="279">
        <v>12</v>
      </c>
      <c r="AI95" s="111"/>
      <c r="AJ95" s="193"/>
      <c r="AK95" s="111"/>
      <c r="AL95" s="361"/>
      <c r="AM95" s="10"/>
      <c r="AN95" s="10"/>
      <c r="AO95" s="10"/>
      <c r="AP95" s="10"/>
      <c r="AQ95" s="10"/>
      <c r="AR95" s="10"/>
      <c r="AS95" s="111"/>
      <c r="AT95" s="10"/>
      <c r="AU95" s="10"/>
      <c r="AV95" s="10"/>
      <c r="AW95" s="10"/>
      <c r="AX95" s="10"/>
      <c r="AY95" s="10"/>
      <c r="BF95" s="300"/>
      <c r="BG95" s="300"/>
      <c r="BH95" s="300"/>
      <c r="BI95" s="300"/>
      <c r="BU95" s="300"/>
      <c r="BV95" s="300"/>
      <c r="BW95" s="300"/>
      <c r="BX95" s="300"/>
      <c r="BY95" s="300"/>
      <c r="CA95" s="300"/>
      <c r="CB95" s="300"/>
      <c r="CC95" s="300"/>
      <c r="CD95" s="300"/>
      <c r="CE95" s="300"/>
      <c r="CF95" s="300"/>
      <c r="CG95" s="300"/>
      <c r="CH95" s="300"/>
      <c r="CI95" s="300"/>
      <c r="CJ95" s="300"/>
      <c r="CK95" s="300"/>
      <c r="CL95" s="300"/>
      <c r="CM95" s="300"/>
      <c r="CN95" s="300"/>
      <c r="CO95" s="300"/>
      <c r="CP95" s="300"/>
      <c r="CQ95" s="300"/>
      <c r="CR95" s="300"/>
      <c r="CS95" s="300"/>
      <c r="CT95" s="300"/>
      <c r="CU95" s="300"/>
      <c r="CV95" s="300"/>
      <c r="CW95" s="300"/>
      <c r="CX95" s="300"/>
      <c r="CY95" s="300"/>
      <c r="CZ95" s="300"/>
      <c r="DA95" s="300"/>
      <c r="DB95" s="300"/>
      <c r="DC95" s="300"/>
      <c r="DD95" s="300"/>
      <c r="DE95" s="300"/>
      <c r="DF95" s="300"/>
      <c r="DG95" s="300"/>
      <c r="DH95" s="300"/>
      <c r="DI95" s="300"/>
      <c r="DJ95" s="300"/>
      <c r="DK95" s="300"/>
      <c r="DL95" s="300"/>
      <c r="DM95" s="300"/>
      <c r="DN95" s="300"/>
      <c r="DO95" s="300"/>
      <c r="DP95" s="300"/>
      <c r="DQ95" s="300"/>
      <c r="DR95" s="300"/>
      <c r="DS95" s="300"/>
      <c r="DT95" s="300"/>
      <c r="DU95" s="300"/>
      <c r="DV95" s="300"/>
      <c r="DW95" s="300"/>
      <c r="DX95" s="300"/>
      <c r="DY95" s="300"/>
      <c r="DZ95" s="300"/>
      <c r="EA95" s="300"/>
      <c r="EB95" s="300"/>
      <c r="EC95" s="300"/>
      <c r="ED95" s="300"/>
      <c r="EE95" s="300"/>
      <c r="EF95" s="300"/>
      <c r="EG95" s="300"/>
      <c r="EH95" s="300"/>
      <c r="EI95" s="300"/>
      <c r="EJ95" s="300"/>
      <c r="EK95" s="300"/>
      <c r="EL95" s="300"/>
      <c r="EM95" s="300"/>
      <c r="EN95" s="300"/>
      <c r="EO95" s="300"/>
      <c r="EP95" s="300"/>
      <c r="EQ95" s="300"/>
    </row>
    <row r="96" spans="2:147" ht="48.75" customHeight="1">
      <c r="B96" s="275">
        <v>7</v>
      </c>
      <c r="C96" s="1404"/>
      <c r="D96" s="1385" t="s">
        <v>509</v>
      </c>
      <c r="E96" s="1385"/>
      <c r="F96" s="279" t="s">
        <v>713</v>
      </c>
      <c r="G96" s="279" t="s">
        <v>194</v>
      </c>
      <c r="H96" s="279" t="s">
        <v>503</v>
      </c>
      <c r="I96" s="279" t="s">
        <v>510</v>
      </c>
      <c r="J96" s="1385" t="s">
        <v>511</v>
      </c>
      <c r="K96" s="1385"/>
      <c r="L96" s="279" t="s">
        <v>194</v>
      </c>
      <c r="M96" s="279" t="s">
        <v>507</v>
      </c>
      <c r="N96" s="279" t="s">
        <v>504</v>
      </c>
      <c r="O96" s="1385" t="s">
        <v>505</v>
      </c>
      <c r="P96" s="1385"/>
      <c r="Q96" s="1385"/>
      <c r="S96" s="193"/>
      <c r="T96" s="1739" t="s">
        <v>1315</v>
      </c>
      <c r="U96" s="820"/>
      <c r="V96" s="1405" t="s">
        <v>1233</v>
      </c>
      <c r="W96" s="1406"/>
      <c r="X96" s="1406"/>
      <c r="Y96" s="1406"/>
      <c r="Z96" s="1406"/>
      <c r="AA96" s="1407"/>
      <c r="AB96" s="306"/>
      <c r="AC96" s="275"/>
      <c r="AD96" s="275"/>
      <c r="AE96" s="275"/>
      <c r="AF96" s="275"/>
      <c r="AG96" s="275"/>
      <c r="AH96" s="275"/>
      <c r="AI96" s="111"/>
      <c r="AJ96" s="193"/>
      <c r="AK96" s="111"/>
      <c r="AL96" s="361"/>
      <c r="AM96" s="10"/>
      <c r="AN96" s="10"/>
      <c r="AO96" s="10"/>
      <c r="AP96" s="10"/>
      <c r="AQ96" s="10"/>
      <c r="AR96" s="10"/>
      <c r="AS96" s="111"/>
      <c r="AT96" s="10"/>
      <c r="AU96" s="10"/>
      <c r="AV96" s="10"/>
      <c r="AW96" s="10"/>
      <c r="AX96" s="10"/>
      <c r="AY96" s="10"/>
      <c r="BF96" s="300"/>
      <c r="BG96" s="300"/>
      <c r="BH96" s="300"/>
      <c r="BI96" s="300"/>
      <c r="CA96" s="300"/>
      <c r="CB96" s="300"/>
      <c r="CC96" s="300"/>
      <c r="CD96" s="300"/>
      <c r="CE96" s="300"/>
      <c r="CF96" s="300"/>
      <c r="CG96" s="300"/>
      <c r="CH96" s="300"/>
      <c r="CI96" s="300"/>
      <c r="CJ96" s="300"/>
      <c r="CK96" s="300"/>
      <c r="CL96" s="300"/>
      <c r="CM96" s="300"/>
      <c r="CN96" s="300"/>
      <c r="CO96" s="300"/>
      <c r="CP96" s="300"/>
      <c r="CQ96" s="300"/>
      <c r="CR96" s="300"/>
      <c r="CS96" s="300"/>
      <c r="CT96" s="300"/>
      <c r="CU96" s="300"/>
      <c r="CV96" s="300"/>
      <c r="CW96" s="300"/>
      <c r="CX96" s="300"/>
      <c r="CY96" s="300"/>
      <c r="CZ96" s="300"/>
      <c r="DA96" s="300"/>
      <c r="DB96" s="300"/>
      <c r="DC96" s="300"/>
      <c r="DD96" s="300"/>
      <c r="DE96" s="300"/>
      <c r="DF96" s="300"/>
      <c r="DG96" s="300"/>
      <c r="DH96" s="300"/>
      <c r="DI96" s="300"/>
      <c r="DJ96" s="300"/>
      <c r="DK96" s="300"/>
      <c r="DL96" s="300"/>
      <c r="DM96" s="300"/>
      <c r="DN96" s="300"/>
      <c r="DO96" s="300"/>
      <c r="DP96" s="300"/>
      <c r="DQ96" s="300"/>
      <c r="DR96" s="300"/>
      <c r="DS96" s="300"/>
      <c r="DT96" s="300"/>
      <c r="DU96" s="300"/>
      <c r="DV96" s="300"/>
      <c r="DW96" s="300"/>
      <c r="DX96" s="300"/>
      <c r="DY96" s="300"/>
      <c r="DZ96" s="300"/>
      <c r="EA96" s="300"/>
      <c r="EB96" s="300"/>
      <c r="EC96" s="300"/>
      <c r="ED96" s="300"/>
      <c r="EE96" s="300"/>
      <c r="EF96" s="300"/>
      <c r="EG96" s="300"/>
      <c r="EH96" s="300"/>
      <c r="EI96" s="300"/>
      <c r="EJ96" s="300"/>
      <c r="EK96" s="300"/>
      <c r="EL96" s="300"/>
      <c r="EM96" s="300"/>
      <c r="EN96" s="300"/>
      <c r="EO96" s="300"/>
      <c r="EP96" s="300"/>
      <c r="EQ96" s="300"/>
    </row>
    <row r="97" spans="2:147" ht="48.75" customHeight="1">
      <c r="B97" s="275">
        <v>8</v>
      </c>
      <c r="C97" s="1404"/>
      <c r="D97" s="1385" t="s">
        <v>512</v>
      </c>
      <c r="E97" s="1385"/>
      <c r="F97" s="279" t="s">
        <v>713</v>
      </c>
      <c r="G97" s="279" t="s">
        <v>194</v>
      </c>
      <c r="H97" s="279" t="s">
        <v>506</v>
      </c>
      <c r="I97" s="279" t="s">
        <v>513</v>
      </c>
      <c r="J97" s="1385" t="s">
        <v>514</v>
      </c>
      <c r="K97" s="1385"/>
      <c r="L97" s="279" t="s">
        <v>194</v>
      </c>
      <c r="M97" s="279" t="s">
        <v>502</v>
      </c>
      <c r="N97" s="279" t="s">
        <v>515</v>
      </c>
      <c r="O97" s="1385" t="s">
        <v>516</v>
      </c>
      <c r="P97" s="1385"/>
      <c r="Q97" s="1385"/>
      <c r="S97" s="193"/>
      <c r="T97" s="1740" t="s">
        <v>126</v>
      </c>
      <c r="U97" s="1131"/>
      <c r="V97" s="1405" t="s">
        <v>1316</v>
      </c>
      <c r="W97" s="1406"/>
      <c r="X97" s="1406"/>
      <c r="Y97" s="1407"/>
      <c r="Z97" s="1033" t="s">
        <v>493</v>
      </c>
      <c r="AA97" s="1033"/>
      <c r="AB97" s="111"/>
      <c r="AC97" s="275"/>
      <c r="AD97" s="275"/>
      <c r="AE97" s="275"/>
      <c r="AF97" s="275"/>
      <c r="AG97" s="275"/>
      <c r="AH97" s="275"/>
      <c r="AI97" s="111"/>
      <c r="AJ97" s="193"/>
      <c r="AM97" s="10"/>
      <c r="AN97" s="10"/>
      <c r="AO97" s="10"/>
      <c r="AP97" s="10"/>
      <c r="AQ97" s="10"/>
      <c r="AR97" s="10"/>
      <c r="AS97" s="111"/>
      <c r="AT97" s="10"/>
      <c r="AU97" s="10"/>
      <c r="AV97" s="10"/>
      <c r="AW97" s="10"/>
      <c r="AX97" s="10"/>
      <c r="AY97" s="10"/>
      <c r="BF97" s="300"/>
      <c r="BG97" s="300"/>
      <c r="BH97" s="300"/>
      <c r="BI97" s="300"/>
      <c r="CA97" s="300"/>
      <c r="CB97" s="300"/>
      <c r="CC97" s="300"/>
      <c r="CD97" s="300"/>
      <c r="CE97" s="300"/>
      <c r="CF97" s="300"/>
      <c r="CG97" s="300"/>
      <c r="CH97" s="300"/>
      <c r="CI97" s="300"/>
      <c r="CJ97" s="300"/>
      <c r="CK97" s="300"/>
      <c r="CL97" s="300"/>
      <c r="CM97" s="300"/>
      <c r="CN97" s="300"/>
      <c r="CO97" s="300"/>
      <c r="CP97" s="300"/>
      <c r="CQ97" s="300"/>
      <c r="CR97" s="300"/>
      <c r="CS97" s="300"/>
      <c r="CT97" s="300"/>
      <c r="CU97" s="300"/>
      <c r="CV97" s="300"/>
      <c r="CW97" s="300"/>
      <c r="CX97" s="300"/>
      <c r="CY97" s="300"/>
      <c r="CZ97" s="300"/>
      <c r="DA97" s="300"/>
      <c r="DB97" s="300"/>
      <c r="DC97" s="300"/>
      <c r="DD97" s="300"/>
      <c r="DE97" s="300"/>
      <c r="DF97" s="300"/>
      <c r="DG97" s="300"/>
      <c r="DH97" s="300"/>
      <c r="DI97" s="300"/>
      <c r="DJ97" s="300"/>
      <c r="DK97" s="300"/>
      <c r="DL97" s="300"/>
      <c r="DM97" s="300"/>
      <c r="DN97" s="300"/>
      <c r="DO97" s="300"/>
      <c r="DP97" s="300"/>
      <c r="DQ97" s="300"/>
      <c r="DR97" s="300"/>
      <c r="DS97" s="300"/>
      <c r="DT97" s="300"/>
      <c r="DU97" s="300"/>
      <c r="DV97" s="300"/>
      <c r="DW97" s="300"/>
      <c r="DX97" s="300"/>
      <c r="DY97" s="300"/>
      <c r="DZ97" s="300"/>
      <c r="EA97" s="300"/>
      <c r="EB97" s="300"/>
      <c r="EC97" s="300"/>
      <c r="ED97" s="300"/>
      <c r="EE97" s="300"/>
      <c r="EF97" s="300"/>
      <c r="EG97" s="300"/>
      <c r="EH97" s="300"/>
      <c r="EI97" s="300"/>
      <c r="EJ97" s="300"/>
      <c r="EK97" s="300"/>
      <c r="EL97" s="300"/>
      <c r="EM97" s="300"/>
      <c r="EN97" s="300"/>
      <c r="EO97" s="300"/>
      <c r="EP97" s="300"/>
      <c r="EQ97" s="300"/>
    </row>
    <row r="98" spans="2:147" ht="48.75" customHeight="1">
      <c r="B98" s="1033">
        <v>9</v>
      </c>
      <c r="C98" s="1728" t="s">
        <v>720</v>
      </c>
      <c r="D98" s="1724"/>
      <c r="E98" s="1725"/>
      <c r="F98" s="1715" t="s">
        <v>68</v>
      </c>
      <c r="G98" s="1728" t="s">
        <v>517</v>
      </c>
      <c r="H98" s="1724"/>
      <c r="I98" s="1724"/>
      <c r="J98" s="1724"/>
      <c r="K98" s="1725"/>
      <c r="L98" s="1728" t="s">
        <v>518</v>
      </c>
      <c r="M98" s="1724"/>
      <c r="N98" s="1724"/>
      <c r="O98" s="1724"/>
      <c r="P98" s="1724"/>
      <c r="Q98" s="1725"/>
      <c r="S98" s="193"/>
      <c r="T98" s="1739" t="s">
        <v>1314</v>
      </c>
      <c r="U98" s="820" t="s">
        <v>1312</v>
      </c>
      <c r="V98" s="1405">
        <v>1.7</v>
      </c>
      <c r="W98" s="1406">
        <v>1.48</v>
      </c>
      <c r="X98" s="1406">
        <v>1.48</v>
      </c>
      <c r="Y98" s="1407">
        <v>1.23</v>
      </c>
      <c r="Z98" s="1033">
        <v>1.6</v>
      </c>
      <c r="AA98" s="1033">
        <v>1.18</v>
      </c>
      <c r="AB98" s="111"/>
      <c r="AC98" s="275"/>
      <c r="AD98" s="275"/>
      <c r="AE98" s="275"/>
      <c r="AF98" s="275"/>
      <c r="AG98" s="275"/>
      <c r="AH98" s="275"/>
      <c r="AI98" s="111"/>
      <c r="AJ98" s="193"/>
      <c r="AM98" s="10"/>
      <c r="AN98" s="10"/>
      <c r="AO98" s="10"/>
      <c r="AP98" s="10"/>
      <c r="AQ98" s="10"/>
      <c r="AR98" s="10"/>
      <c r="AS98" s="111"/>
      <c r="AT98" s="10"/>
      <c r="AU98" s="10"/>
      <c r="AV98" s="10"/>
      <c r="AW98" s="10"/>
      <c r="AX98" s="10"/>
      <c r="AY98" s="10"/>
      <c r="BF98" s="300"/>
      <c r="BG98" s="300"/>
      <c r="BH98" s="300"/>
      <c r="BI98" s="300"/>
      <c r="CA98" s="300"/>
      <c r="CB98" s="300"/>
      <c r="CC98" s="300"/>
      <c r="CD98" s="300"/>
      <c r="CE98" s="300"/>
      <c r="CF98" s="300"/>
      <c r="CG98" s="300"/>
      <c r="CH98" s="300"/>
      <c r="CI98" s="300"/>
      <c r="CJ98" s="300"/>
      <c r="CK98" s="300"/>
      <c r="CL98" s="300"/>
      <c r="CM98" s="300"/>
      <c r="CN98" s="300"/>
      <c r="CO98" s="300"/>
      <c r="CP98" s="300"/>
      <c r="CQ98" s="300"/>
      <c r="CR98" s="300"/>
      <c r="CS98" s="300"/>
      <c r="CT98" s="300"/>
      <c r="CU98" s="300"/>
      <c r="CV98" s="300"/>
      <c r="CW98" s="300"/>
      <c r="CX98" s="300"/>
      <c r="CY98" s="300"/>
      <c r="CZ98" s="300"/>
      <c r="DA98" s="300"/>
      <c r="DB98" s="300"/>
      <c r="DC98" s="300"/>
      <c r="DD98" s="300"/>
      <c r="DE98" s="300"/>
      <c r="DF98" s="300"/>
      <c r="DG98" s="300"/>
      <c r="DH98" s="300"/>
      <c r="DI98" s="300"/>
      <c r="DJ98" s="300"/>
      <c r="DK98" s="300"/>
      <c r="DL98" s="300"/>
      <c r="DM98" s="300"/>
      <c r="DN98" s="300"/>
      <c r="DO98" s="300"/>
      <c r="DP98" s="300"/>
      <c r="DQ98" s="300"/>
      <c r="DR98" s="300"/>
      <c r="DS98" s="300"/>
      <c r="DT98" s="300"/>
      <c r="DU98" s="300"/>
      <c r="DV98" s="300"/>
      <c r="DW98" s="300"/>
      <c r="DX98" s="300"/>
      <c r="DY98" s="300"/>
      <c r="DZ98" s="300"/>
      <c r="EA98" s="300"/>
      <c r="EB98" s="300"/>
      <c r="EC98" s="300"/>
      <c r="ED98" s="300"/>
      <c r="EE98" s="300"/>
      <c r="EF98" s="300"/>
      <c r="EG98" s="300"/>
      <c r="EH98" s="300"/>
      <c r="EI98" s="300"/>
      <c r="EJ98" s="300"/>
      <c r="EK98" s="300"/>
      <c r="EL98" s="300"/>
      <c r="EM98" s="300"/>
      <c r="EN98" s="300"/>
      <c r="EO98" s="300"/>
      <c r="EP98" s="300"/>
      <c r="EQ98" s="300"/>
    </row>
    <row r="99" spans="2:147" ht="48.75" customHeight="1">
      <c r="B99" s="1033"/>
      <c r="C99" s="1729"/>
      <c r="D99" s="1726"/>
      <c r="E99" s="1727"/>
      <c r="F99" s="1789"/>
      <c r="G99" s="1729"/>
      <c r="H99" s="1726"/>
      <c r="I99" s="1726"/>
      <c r="J99" s="1726"/>
      <c r="K99" s="1727"/>
      <c r="L99" s="1729"/>
      <c r="M99" s="1726"/>
      <c r="N99" s="1726"/>
      <c r="O99" s="1726"/>
      <c r="P99" s="1726"/>
      <c r="Q99" s="1727"/>
      <c r="S99" s="193"/>
      <c r="T99" s="1740" t="s">
        <v>1313</v>
      </c>
      <c r="U99" s="1131"/>
      <c r="V99" s="1405">
        <v>1.9</v>
      </c>
      <c r="W99" s="1406">
        <v>1.49</v>
      </c>
      <c r="X99" s="1406">
        <v>1.49</v>
      </c>
      <c r="Y99" s="1407">
        <v>1.24</v>
      </c>
      <c r="Z99" s="1033">
        <v>1.8</v>
      </c>
      <c r="AA99" s="1033">
        <v>1.19</v>
      </c>
      <c r="AB99" s="111"/>
      <c r="AC99" s="275"/>
      <c r="AD99" s="275"/>
      <c r="AE99" s="275"/>
      <c r="AF99" s="275"/>
      <c r="AG99" s="275"/>
      <c r="AH99" s="275"/>
      <c r="AI99" s="111"/>
      <c r="AJ99" s="193"/>
      <c r="AM99" s="10"/>
      <c r="AN99" s="10"/>
      <c r="AO99" s="10"/>
      <c r="AP99" s="10"/>
      <c r="AQ99" s="10"/>
      <c r="AR99" s="10"/>
      <c r="AS99" s="111"/>
      <c r="AT99" s="10"/>
      <c r="AU99" s="10"/>
      <c r="AV99" s="10"/>
      <c r="AW99" s="10"/>
      <c r="AX99" s="10"/>
      <c r="AY99" s="10"/>
      <c r="BF99" s="300"/>
      <c r="BG99" s="300"/>
      <c r="BH99" s="300"/>
      <c r="BI99" s="300"/>
      <c r="CA99" s="300"/>
      <c r="CB99" s="300"/>
      <c r="CC99" s="300"/>
      <c r="CD99" s="300"/>
      <c r="CE99" s="300"/>
      <c r="CF99" s="300"/>
      <c r="CG99" s="300"/>
      <c r="CH99" s="300"/>
      <c r="CI99" s="300"/>
      <c r="CJ99" s="300"/>
      <c r="CK99" s="300"/>
      <c r="CL99" s="300"/>
      <c r="CM99" s="300"/>
      <c r="CN99" s="300"/>
      <c r="CO99" s="300"/>
      <c r="CP99" s="300"/>
      <c r="CQ99" s="300"/>
      <c r="CR99" s="300"/>
      <c r="CS99" s="300"/>
      <c r="CT99" s="300"/>
      <c r="CU99" s="300"/>
      <c r="CV99" s="300"/>
      <c r="CW99" s="300"/>
      <c r="CX99" s="300"/>
      <c r="CY99" s="300"/>
      <c r="CZ99" s="300"/>
      <c r="DA99" s="300"/>
      <c r="DB99" s="300"/>
      <c r="DC99" s="300"/>
      <c r="DD99" s="300"/>
      <c r="DE99" s="300"/>
      <c r="DF99" s="300"/>
      <c r="DG99" s="300"/>
      <c r="DH99" s="300"/>
      <c r="DI99" s="300"/>
      <c r="DJ99" s="300"/>
      <c r="DK99" s="300"/>
      <c r="DL99" s="300"/>
      <c r="DM99" s="300"/>
      <c r="DN99" s="300"/>
      <c r="DO99" s="300"/>
      <c r="DP99" s="300"/>
      <c r="DQ99" s="300"/>
      <c r="DR99" s="300"/>
      <c r="DS99" s="300"/>
      <c r="DT99" s="300"/>
      <c r="DU99" s="300"/>
      <c r="DV99" s="300"/>
      <c r="DW99" s="300"/>
      <c r="DX99" s="300"/>
      <c r="DY99" s="300"/>
      <c r="DZ99" s="300"/>
      <c r="EA99" s="300"/>
      <c r="EB99" s="300"/>
      <c r="EC99" s="300"/>
      <c r="ED99" s="300"/>
      <c r="EE99" s="300"/>
      <c r="EF99" s="300"/>
      <c r="EG99" s="300"/>
      <c r="EH99" s="300"/>
      <c r="EI99" s="300"/>
      <c r="EJ99" s="300"/>
      <c r="EK99" s="300"/>
      <c r="EL99" s="300"/>
      <c r="EM99" s="300"/>
      <c r="EN99" s="300"/>
      <c r="EO99" s="300"/>
      <c r="EP99" s="300"/>
      <c r="EQ99" s="300"/>
    </row>
    <row r="100" spans="2:147" ht="48.75" customHeight="1">
      <c r="B100" s="1033">
        <v>10</v>
      </c>
      <c r="C100" s="1795" t="s">
        <v>519</v>
      </c>
      <c r="D100" s="1795"/>
      <c r="E100" s="1385" t="s">
        <v>520</v>
      </c>
      <c r="F100" s="1715" t="s">
        <v>531</v>
      </c>
      <c r="G100" s="1715" t="s">
        <v>194</v>
      </c>
      <c r="H100" s="1715" t="s">
        <v>521</v>
      </c>
      <c r="I100" s="1728" t="s">
        <v>522</v>
      </c>
      <c r="J100" s="1724"/>
      <c r="K100" s="1725"/>
      <c r="L100" s="1715" t="s">
        <v>194</v>
      </c>
      <c r="M100" s="1715" t="s">
        <v>493</v>
      </c>
      <c r="N100" s="1728" t="s">
        <v>523</v>
      </c>
      <c r="O100" s="1724"/>
      <c r="P100" s="1724"/>
      <c r="Q100" s="1725"/>
      <c r="S100" s="312"/>
      <c r="T100" s="313"/>
      <c r="U100" s="313"/>
      <c r="V100" s="313"/>
      <c r="W100" s="313"/>
      <c r="X100" s="313"/>
      <c r="Y100" s="313"/>
      <c r="Z100" s="313"/>
      <c r="AA100" s="313"/>
      <c r="AB100" s="313"/>
      <c r="AC100" s="313"/>
      <c r="AD100" s="313"/>
      <c r="AE100" s="313"/>
      <c r="AF100" s="313"/>
      <c r="AG100" s="313"/>
      <c r="AH100" s="313"/>
      <c r="AI100" s="111"/>
      <c r="AJ100" s="193"/>
      <c r="AK100" s="111"/>
      <c r="AL100" s="362"/>
      <c r="AM100" s="10"/>
      <c r="AN100" s="10"/>
      <c r="AO100" s="10"/>
      <c r="AP100" s="10"/>
      <c r="AQ100" s="10"/>
      <c r="AR100" s="10"/>
      <c r="AS100" s="111"/>
      <c r="AT100" s="10"/>
      <c r="AU100" s="10"/>
      <c r="AV100" s="10"/>
      <c r="AW100" s="10"/>
      <c r="AX100" s="10"/>
      <c r="AY100" s="10"/>
      <c r="BF100" s="300"/>
      <c r="BG100" s="300"/>
      <c r="BH100" s="300"/>
      <c r="BI100" s="300"/>
      <c r="CA100" s="300"/>
      <c r="CB100" s="300"/>
      <c r="CC100" s="300"/>
      <c r="CD100" s="300"/>
      <c r="CE100" s="300"/>
      <c r="CF100" s="300"/>
      <c r="CG100" s="300"/>
      <c r="CH100" s="300"/>
      <c r="CI100" s="300"/>
      <c r="CJ100" s="300"/>
      <c r="CK100" s="300"/>
      <c r="CL100" s="300"/>
      <c r="CM100" s="300"/>
      <c r="CN100" s="300"/>
      <c r="CO100" s="300"/>
      <c r="CP100" s="300"/>
      <c r="CQ100" s="300"/>
      <c r="CR100" s="300"/>
      <c r="CS100" s="300"/>
      <c r="CT100" s="300"/>
      <c r="CU100" s="300"/>
      <c r="CV100" s="300"/>
      <c r="CW100" s="300"/>
      <c r="CX100" s="300"/>
      <c r="CY100" s="300"/>
      <c r="CZ100" s="300"/>
      <c r="DA100" s="300"/>
      <c r="DB100" s="300"/>
      <c r="DC100" s="300"/>
      <c r="DD100" s="300"/>
      <c r="DE100" s="300"/>
      <c r="DF100" s="300"/>
      <c r="DG100" s="300"/>
      <c r="DH100" s="300"/>
      <c r="DI100" s="300"/>
      <c r="DJ100" s="300"/>
      <c r="DK100" s="300"/>
      <c r="DL100" s="300"/>
      <c r="DM100" s="300"/>
      <c r="DN100" s="300"/>
      <c r="DO100" s="300"/>
      <c r="DP100" s="300"/>
      <c r="DQ100" s="300"/>
      <c r="DR100" s="300"/>
      <c r="DS100" s="300"/>
      <c r="DT100" s="300"/>
      <c r="DU100" s="300"/>
      <c r="DV100" s="300"/>
      <c r="DW100" s="300"/>
      <c r="DX100" s="300"/>
      <c r="DY100" s="300"/>
      <c r="DZ100" s="300"/>
      <c r="EA100" s="300"/>
      <c r="EB100" s="300"/>
      <c r="EC100" s="300"/>
      <c r="ED100" s="300"/>
      <c r="EE100" s="300"/>
      <c r="EF100" s="300"/>
      <c r="EG100" s="300"/>
      <c r="EH100" s="300"/>
      <c r="EI100" s="300"/>
      <c r="EJ100" s="300"/>
      <c r="EK100" s="300"/>
      <c r="EL100" s="300"/>
      <c r="EM100" s="300"/>
      <c r="EN100" s="300"/>
      <c r="EO100" s="300"/>
      <c r="EP100" s="300"/>
      <c r="EQ100" s="300"/>
    </row>
    <row r="101" spans="2:147" ht="48.75" customHeight="1">
      <c r="B101" s="1033"/>
      <c r="C101" s="1795"/>
      <c r="D101" s="1795"/>
      <c r="E101" s="1385"/>
      <c r="F101" s="1789"/>
      <c r="G101" s="1789"/>
      <c r="H101" s="1789"/>
      <c r="I101" s="1729"/>
      <c r="J101" s="1726"/>
      <c r="K101" s="1727"/>
      <c r="L101" s="1789"/>
      <c r="M101" s="1789"/>
      <c r="N101" s="1729"/>
      <c r="O101" s="1726"/>
      <c r="P101" s="1726"/>
      <c r="Q101" s="1727"/>
      <c r="S101" s="123"/>
      <c r="T101" s="1236" t="s">
        <v>716</v>
      </c>
      <c r="U101" s="1236"/>
      <c r="V101" s="305" t="s">
        <v>442</v>
      </c>
      <c r="W101" s="1405" t="s">
        <v>496</v>
      </c>
      <c r="X101" s="1406"/>
      <c r="Y101" s="1406"/>
      <c r="Z101" s="1407"/>
      <c r="AA101" s="305" t="s">
        <v>442</v>
      </c>
      <c r="AB101" s="365"/>
      <c r="AC101" s="305" t="s">
        <v>442</v>
      </c>
      <c r="AD101" s="1405" t="s">
        <v>496</v>
      </c>
      <c r="AE101" s="1406"/>
      <c r="AF101" s="1406"/>
      <c r="AG101" s="1407"/>
      <c r="AH101" s="305" t="s">
        <v>442</v>
      </c>
      <c r="AI101" s="111"/>
      <c r="AJ101" s="193"/>
      <c r="AK101" s="111"/>
      <c r="AL101" s="310"/>
      <c r="AM101" s="310"/>
      <c r="AN101" s="310"/>
      <c r="AO101" s="310"/>
      <c r="AP101" s="310"/>
      <c r="AQ101" s="310"/>
      <c r="AR101" s="310"/>
      <c r="AS101" s="111"/>
      <c r="AT101" s="310"/>
      <c r="AU101" s="310"/>
      <c r="AV101" s="310"/>
      <c r="AW101" s="310"/>
      <c r="AX101" s="310"/>
      <c r="AY101" s="310"/>
      <c r="BF101" s="300"/>
      <c r="BG101" s="300"/>
      <c r="BH101" s="300"/>
      <c r="BI101" s="300"/>
      <c r="CA101" s="300"/>
      <c r="CB101" s="300"/>
      <c r="CC101" s="300"/>
      <c r="CD101" s="300"/>
      <c r="CE101" s="300"/>
      <c r="CF101" s="300"/>
      <c r="CG101" s="300"/>
      <c r="CH101" s="300"/>
      <c r="CI101" s="300"/>
      <c r="CJ101" s="300"/>
      <c r="CK101" s="300"/>
      <c r="CL101" s="300"/>
      <c r="CM101" s="300"/>
      <c r="CN101" s="300"/>
      <c r="CO101" s="300"/>
      <c r="CP101" s="300"/>
      <c r="CQ101" s="300"/>
      <c r="CR101" s="300"/>
      <c r="CS101" s="300"/>
      <c r="CT101" s="300"/>
      <c r="CU101" s="300"/>
      <c r="CV101" s="300"/>
      <c r="CW101" s="300"/>
      <c r="CX101" s="300"/>
      <c r="CY101" s="300"/>
      <c r="CZ101" s="300"/>
      <c r="DA101" s="300"/>
      <c r="DB101" s="300"/>
      <c r="DC101" s="300"/>
      <c r="DD101" s="300"/>
      <c r="DE101" s="300"/>
      <c r="DF101" s="300"/>
      <c r="DG101" s="300"/>
      <c r="DH101" s="300"/>
      <c r="DI101" s="300"/>
      <c r="DJ101" s="300"/>
      <c r="DK101" s="300"/>
      <c r="DL101" s="300"/>
      <c r="DM101" s="300"/>
      <c r="DN101" s="300"/>
      <c r="DO101" s="300"/>
      <c r="DP101" s="300"/>
      <c r="DQ101" s="300"/>
      <c r="DR101" s="300"/>
      <c r="DS101" s="300"/>
      <c r="DT101" s="300"/>
      <c r="DU101" s="300"/>
      <c r="DV101" s="300"/>
      <c r="DW101" s="300"/>
      <c r="DX101" s="300"/>
      <c r="DY101" s="300"/>
      <c r="DZ101" s="300"/>
      <c r="EA101" s="300"/>
      <c r="EB101" s="300"/>
      <c r="EC101" s="300"/>
      <c r="ED101" s="300"/>
      <c r="EE101" s="300"/>
      <c r="EF101" s="300"/>
      <c r="EG101" s="300"/>
      <c r="EH101" s="300"/>
      <c r="EI101" s="300"/>
      <c r="EJ101" s="300"/>
      <c r="EK101" s="300"/>
      <c r="EL101" s="300"/>
      <c r="EM101" s="300"/>
      <c r="EN101" s="300"/>
      <c r="EO101" s="300"/>
      <c r="EP101" s="300"/>
      <c r="EQ101" s="300"/>
    </row>
    <row r="102" spans="2:147" ht="48.75" customHeight="1">
      <c r="B102" s="1033">
        <v>11</v>
      </c>
      <c r="C102" s="1795"/>
      <c r="D102" s="1795"/>
      <c r="E102" s="1385" t="s">
        <v>509</v>
      </c>
      <c r="F102" s="1385" t="s">
        <v>531</v>
      </c>
      <c r="G102" s="1385" t="s">
        <v>194</v>
      </c>
      <c r="H102" s="1715" t="s">
        <v>722</v>
      </c>
      <c r="I102" s="1385" t="s">
        <v>524</v>
      </c>
      <c r="J102" s="1385"/>
      <c r="K102" s="1385"/>
      <c r="L102" s="1385" t="s">
        <v>194</v>
      </c>
      <c r="M102" s="1385" t="s">
        <v>525</v>
      </c>
      <c r="N102" s="1385" t="s">
        <v>526</v>
      </c>
      <c r="O102" s="1385"/>
      <c r="P102" s="1385"/>
      <c r="Q102" s="1385"/>
      <c r="S102" s="123"/>
      <c r="T102" s="1739" t="s">
        <v>717</v>
      </c>
      <c r="U102" s="820"/>
      <c r="V102" s="127"/>
      <c r="W102" s="1405" t="s">
        <v>721</v>
      </c>
      <c r="X102" s="1406"/>
      <c r="Y102" s="1406"/>
      <c r="Z102" s="1407"/>
      <c r="AA102" s="127"/>
      <c r="AB102" s="303"/>
      <c r="AC102" s="124"/>
      <c r="AD102" s="1405" t="s">
        <v>499</v>
      </c>
      <c r="AE102" s="1406"/>
      <c r="AF102" s="1406"/>
      <c r="AG102" s="1407"/>
      <c r="AH102" s="125"/>
      <c r="AI102" s="111"/>
      <c r="AJ102" s="193"/>
      <c r="AK102" s="1236" t="s">
        <v>717</v>
      </c>
      <c r="AL102" s="1236"/>
      <c r="AM102" s="126"/>
      <c r="AN102" s="710" t="s">
        <v>509</v>
      </c>
      <c r="AO102" s="1714"/>
      <c r="AP102" s="1714"/>
      <c r="AQ102" s="711"/>
      <c r="AR102" s="126"/>
      <c r="AS102" s="111"/>
      <c r="AT102" s="126"/>
      <c r="AU102" s="710" t="s">
        <v>509</v>
      </c>
      <c r="AV102" s="1714"/>
      <c r="AW102" s="1714"/>
      <c r="AX102" s="711"/>
      <c r="AY102" s="126"/>
      <c r="BF102" s="300"/>
      <c r="BG102" s="300"/>
      <c r="BH102" s="300"/>
      <c r="BI102" s="300"/>
      <c r="CA102" s="300"/>
      <c r="CB102" s="300"/>
      <c r="CC102" s="300"/>
      <c r="CD102" s="300"/>
      <c r="CE102" s="300"/>
      <c r="CF102" s="300"/>
      <c r="CG102" s="300"/>
      <c r="CH102" s="300"/>
      <c r="CI102" s="300"/>
      <c r="CJ102" s="300"/>
      <c r="CK102" s="300"/>
      <c r="CL102" s="300"/>
      <c r="CM102" s="300"/>
      <c r="CN102" s="300"/>
      <c r="CO102" s="300"/>
      <c r="CP102" s="300"/>
      <c r="CQ102" s="300"/>
      <c r="CR102" s="300"/>
      <c r="CS102" s="300"/>
      <c r="CT102" s="300"/>
      <c r="CU102" s="300"/>
      <c r="CV102" s="300"/>
      <c r="CW102" s="300"/>
      <c r="CX102" s="300"/>
      <c r="CY102" s="300"/>
      <c r="CZ102" s="300"/>
      <c r="DA102" s="300"/>
      <c r="DB102" s="300"/>
      <c r="DC102" s="300"/>
      <c r="DD102" s="300"/>
      <c r="DE102" s="300"/>
      <c r="DF102" s="300"/>
      <c r="DG102" s="300"/>
      <c r="DH102" s="300"/>
      <c r="DI102" s="300"/>
      <c r="DJ102" s="300"/>
      <c r="DK102" s="300"/>
      <c r="DL102" s="300"/>
      <c r="DM102" s="300"/>
      <c r="DN102" s="300"/>
      <c r="DO102" s="300"/>
      <c r="DP102" s="300"/>
      <c r="DQ102" s="300"/>
      <c r="DR102" s="300"/>
      <c r="DS102" s="300"/>
      <c r="DT102" s="300"/>
      <c r="DU102" s="300"/>
      <c r="DV102" s="300"/>
      <c r="DW102" s="300"/>
      <c r="DX102" s="300"/>
      <c r="DY102" s="300"/>
      <c r="DZ102" s="300"/>
      <c r="EA102" s="300"/>
      <c r="EB102" s="300"/>
      <c r="EC102" s="300"/>
      <c r="ED102" s="300"/>
      <c r="EE102" s="300"/>
      <c r="EF102" s="300"/>
      <c r="EG102" s="300"/>
      <c r="EH102" s="300"/>
      <c r="EI102" s="300"/>
      <c r="EJ102" s="300"/>
      <c r="EK102" s="300"/>
      <c r="EL102" s="300"/>
      <c r="EM102" s="300"/>
      <c r="EN102" s="300"/>
      <c r="EO102" s="300"/>
      <c r="EP102" s="300"/>
      <c r="EQ102" s="300"/>
    </row>
    <row r="103" spans="2:147" ht="48.75" customHeight="1">
      <c r="B103" s="1033"/>
      <c r="C103" s="1795"/>
      <c r="D103" s="1795"/>
      <c r="E103" s="1385"/>
      <c r="F103" s="1385"/>
      <c r="G103" s="1385"/>
      <c r="H103" s="1789"/>
      <c r="I103" s="1385"/>
      <c r="J103" s="1385"/>
      <c r="K103" s="1385"/>
      <c r="L103" s="1385"/>
      <c r="M103" s="1385"/>
      <c r="N103" s="1385"/>
      <c r="O103" s="1385"/>
      <c r="P103" s="1385"/>
      <c r="Q103" s="1385"/>
      <c r="S103" s="123"/>
      <c r="T103" s="1739" t="s">
        <v>428</v>
      </c>
      <c r="U103" s="820"/>
      <c r="V103" s="279">
        <v>2</v>
      </c>
      <c r="W103" s="279">
        <v>4</v>
      </c>
      <c r="X103" s="279">
        <v>6</v>
      </c>
      <c r="Y103" s="279">
        <v>8</v>
      </c>
      <c r="Z103" s="279">
        <v>10</v>
      </c>
      <c r="AA103" s="279">
        <v>12</v>
      </c>
      <c r="AB103" s="303"/>
      <c r="AC103" s="279">
        <v>2</v>
      </c>
      <c r="AD103" s="279">
        <v>4</v>
      </c>
      <c r="AE103" s="279">
        <v>6</v>
      </c>
      <c r="AF103" s="279">
        <v>8</v>
      </c>
      <c r="AG103" s="279">
        <v>10</v>
      </c>
      <c r="AH103" s="279">
        <v>12</v>
      </c>
      <c r="AI103" s="111"/>
      <c r="AJ103" s="193"/>
      <c r="AK103" s="1739" t="s">
        <v>428</v>
      </c>
      <c r="AL103" s="820"/>
      <c r="AM103" s="279">
        <v>2</v>
      </c>
      <c r="AN103" s="279">
        <v>4</v>
      </c>
      <c r="AO103" s="279">
        <v>6</v>
      </c>
      <c r="AP103" s="279">
        <v>8</v>
      </c>
      <c r="AQ103" s="279">
        <v>10</v>
      </c>
      <c r="AR103" s="279">
        <v>12</v>
      </c>
      <c r="AS103" s="111"/>
      <c r="AT103" s="279">
        <v>2</v>
      </c>
      <c r="AU103" s="279">
        <v>4</v>
      </c>
      <c r="AV103" s="279">
        <v>6</v>
      </c>
      <c r="AW103" s="279">
        <v>8</v>
      </c>
      <c r="AX103" s="279">
        <v>10</v>
      </c>
      <c r="AY103" s="279">
        <v>12</v>
      </c>
      <c r="BF103" s="300"/>
      <c r="BG103" s="300"/>
      <c r="BH103" s="300"/>
      <c r="BI103" s="300"/>
      <c r="CA103" s="300"/>
      <c r="CB103" s="300"/>
      <c r="CC103" s="300"/>
      <c r="CD103" s="300"/>
      <c r="CE103" s="300"/>
      <c r="CF103" s="300"/>
      <c r="CG103" s="300"/>
      <c r="CH103" s="300"/>
      <c r="CI103" s="300"/>
      <c r="CJ103" s="300"/>
      <c r="CK103" s="300"/>
      <c r="CL103" s="300"/>
      <c r="CM103" s="300"/>
      <c r="CN103" s="300"/>
      <c r="CO103" s="300"/>
      <c r="CP103" s="300"/>
      <c r="CQ103" s="300"/>
      <c r="CR103" s="300"/>
      <c r="CS103" s="300"/>
      <c r="CT103" s="300"/>
      <c r="CU103" s="300"/>
      <c r="CV103" s="300"/>
      <c r="CW103" s="300"/>
      <c r="CX103" s="300"/>
      <c r="CY103" s="300"/>
      <c r="CZ103" s="300"/>
      <c r="DA103" s="300"/>
      <c r="DB103" s="300"/>
      <c r="DC103" s="300"/>
      <c r="DD103" s="300"/>
      <c r="DE103" s="300"/>
      <c r="DF103" s="300"/>
      <c r="DG103" s="300"/>
      <c r="DH103" s="300"/>
      <c r="DI103" s="300"/>
      <c r="DJ103" s="300"/>
      <c r="DK103" s="300"/>
      <c r="DL103" s="300"/>
      <c r="DM103" s="300"/>
      <c r="DN103" s="300"/>
      <c r="DO103" s="300"/>
      <c r="DP103" s="300"/>
      <c r="DQ103" s="300"/>
      <c r="DR103" s="300"/>
      <c r="DS103" s="300"/>
      <c r="DT103" s="300"/>
      <c r="DU103" s="300"/>
      <c r="DV103" s="300"/>
      <c r="DW103" s="300"/>
      <c r="DX103" s="300"/>
      <c r="DY103" s="300"/>
      <c r="DZ103" s="300"/>
      <c r="EA103" s="300"/>
      <c r="EB103" s="300"/>
      <c r="EC103" s="300"/>
      <c r="ED103" s="300"/>
      <c r="EE103" s="300"/>
      <c r="EF103" s="300"/>
      <c r="EG103" s="300"/>
      <c r="EH103" s="300"/>
      <c r="EI103" s="300"/>
      <c r="EJ103" s="300"/>
      <c r="EK103" s="300"/>
      <c r="EL103" s="300"/>
      <c r="EM103" s="300"/>
      <c r="EN103" s="300"/>
      <c r="EO103" s="300"/>
      <c r="EP103" s="300"/>
      <c r="EQ103" s="300"/>
    </row>
    <row r="104" spans="2:147" ht="48.75" customHeight="1">
      <c r="S104" s="123"/>
      <c r="T104" s="1739" t="s">
        <v>1315</v>
      </c>
      <c r="U104" s="820"/>
      <c r="V104" s="1405" t="s">
        <v>1235</v>
      </c>
      <c r="W104" s="1406"/>
      <c r="X104" s="1406"/>
      <c r="Y104" s="1406"/>
      <c r="Z104" s="1406"/>
      <c r="AA104" s="1407"/>
      <c r="AB104" s="306"/>
      <c r="AC104" s="275"/>
      <c r="AD104" s="275"/>
      <c r="AE104" s="275"/>
      <c r="AF104" s="275"/>
      <c r="AG104" s="275"/>
      <c r="AH104" s="275"/>
      <c r="AI104" s="111"/>
      <c r="AJ104" s="193"/>
      <c r="AK104" s="1739" t="s">
        <v>1315</v>
      </c>
      <c r="AL104" s="820"/>
      <c r="AM104" s="1405" t="s">
        <v>713</v>
      </c>
      <c r="AN104" s="1406"/>
      <c r="AO104" s="1406"/>
      <c r="AP104" s="1406"/>
      <c r="AQ104" s="1406"/>
      <c r="AR104" s="1407"/>
      <c r="AS104" s="111"/>
      <c r="AT104" s="10"/>
      <c r="AU104" s="10"/>
      <c r="AV104" s="10"/>
      <c r="AW104" s="10"/>
      <c r="AX104" s="10"/>
      <c r="AY104" s="10"/>
      <c r="BA104" s="307"/>
      <c r="BB104" s="307"/>
      <c r="BC104" s="307"/>
      <c r="BD104" s="308"/>
      <c r="BE104" s="308"/>
      <c r="BF104" s="309"/>
      <c r="BG104" s="309"/>
      <c r="BH104" s="308"/>
      <c r="BI104" s="308"/>
      <c r="BJ104" s="309"/>
      <c r="BK104" s="309"/>
      <c r="BL104" s="308"/>
      <c r="BM104" s="308"/>
      <c r="BN104" s="309"/>
      <c r="BO104" s="309"/>
      <c r="BP104" s="308"/>
      <c r="BQ104" s="308"/>
      <c r="CA104" s="300"/>
      <c r="CB104" s="300"/>
      <c r="CC104" s="300"/>
      <c r="CD104" s="300"/>
      <c r="CE104" s="300"/>
      <c r="CF104" s="300"/>
      <c r="CG104" s="300"/>
      <c r="CH104" s="300"/>
      <c r="CI104" s="300"/>
      <c r="CJ104" s="300"/>
      <c r="CK104" s="300"/>
      <c r="CL104" s="300"/>
      <c r="CM104" s="300"/>
      <c r="CN104" s="300"/>
      <c r="CO104" s="300"/>
      <c r="CP104" s="300"/>
      <c r="CQ104" s="300"/>
      <c r="CR104" s="300"/>
      <c r="CS104" s="300"/>
      <c r="CT104" s="300"/>
      <c r="CU104" s="300"/>
      <c r="CV104" s="300"/>
      <c r="CW104" s="300"/>
      <c r="CX104" s="300"/>
      <c r="CY104" s="300"/>
      <c r="CZ104" s="300"/>
      <c r="DA104" s="300"/>
      <c r="DB104" s="300"/>
      <c r="DC104" s="300"/>
      <c r="DD104" s="300"/>
      <c r="DE104" s="300"/>
      <c r="DF104" s="300"/>
      <c r="DG104" s="300"/>
      <c r="DH104" s="300"/>
      <c r="DI104" s="300"/>
      <c r="DJ104" s="300"/>
      <c r="DK104" s="300"/>
      <c r="DL104" s="300"/>
      <c r="DM104" s="300"/>
      <c r="DN104" s="300"/>
      <c r="DO104" s="300"/>
      <c r="DP104" s="300"/>
      <c r="DQ104" s="300"/>
      <c r="DR104" s="300"/>
      <c r="DS104" s="300"/>
      <c r="DT104" s="300"/>
      <c r="DU104" s="300"/>
      <c r="DV104" s="300"/>
      <c r="DW104" s="300"/>
      <c r="DX104" s="300"/>
      <c r="DY104" s="300"/>
      <c r="DZ104" s="300"/>
      <c r="EA104" s="300"/>
      <c r="EB104" s="300"/>
      <c r="EC104" s="300"/>
      <c r="ED104" s="300"/>
      <c r="EE104" s="300"/>
      <c r="EF104" s="300"/>
      <c r="EG104" s="300"/>
      <c r="EH104" s="300"/>
      <c r="EI104" s="300"/>
      <c r="EJ104" s="300"/>
      <c r="EK104" s="300"/>
      <c r="EL104" s="300"/>
      <c r="EM104" s="300"/>
      <c r="EN104" s="300"/>
      <c r="EO104" s="300"/>
      <c r="EP104" s="300"/>
      <c r="EQ104" s="300"/>
    </row>
    <row r="105" spans="2:147" ht="48.75" customHeight="1">
      <c r="S105" s="193"/>
      <c r="T105" s="1236" t="s">
        <v>126</v>
      </c>
      <c r="U105" s="1236"/>
      <c r="V105" s="288"/>
      <c r="W105" s="288"/>
      <c r="X105" s="288"/>
      <c r="Y105" s="275"/>
      <c r="Z105" s="275"/>
      <c r="AA105" s="275"/>
      <c r="AB105" s="111"/>
      <c r="AC105" s="275"/>
      <c r="AD105" s="275"/>
      <c r="AE105" s="275"/>
      <c r="AF105" s="275"/>
      <c r="AG105" s="275"/>
      <c r="AH105" s="275"/>
      <c r="AI105" s="111"/>
      <c r="AJ105" s="193"/>
      <c r="AK105" s="1236" t="s">
        <v>126</v>
      </c>
      <c r="AL105" s="1236"/>
      <c r="AM105" s="10"/>
      <c r="AN105" s="10"/>
      <c r="AO105" s="10"/>
      <c r="AP105" s="10"/>
      <c r="AQ105" s="10"/>
      <c r="AR105" s="10"/>
      <c r="AS105" s="111"/>
      <c r="AT105" s="10"/>
      <c r="AU105" s="10"/>
      <c r="AV105" s="10"/>
      <c r="AW105" s="10"/>
      <c r="AX105" s="10"/>
      <c r="AY105" s="10"/>
      <c r="BA105" s="307"/>
      <c r="BB105" s="307"/>
      <c r="BC105" s="308"/>
      <c r="BD105" s="308"/>
      <c r="BE105" s="309"/>
      <c r="BF105" s="309"/>
      <c r="BG105" s="308"/>
      <c r="BH105" s="308"/>
      <c r="BI105" s="309"/>
      <c r="BJ105" s="309"/>
      <c r="BK105" s="308"/>
      <c r="BL105" s="308"/>
      <c r="BM105" s="309"/>
      <c r="BN105" s="309"/>
      <c r="BO105" s="308"/>
      <c r="BP105" s="308"/>
      <c r="BQ105" s="12"/>
      <c r="CA105" s="300"/>
      <c r="CB105" s="300"/>
      <c r="CC105" s="300"/>
      <c r="CD105" s="300"/>
      <c r="CE105" s="300"/>
      <c r="CF105" s="300"/>
      <c r="CG105" s="300"/>
      <c r="CH105" s="300"/>
      <c r="CI105" s="300"/>
      <c r="CJ105" s="300"/>
      <c r="CK105" s="300"/>
      <c r="CL105" s="300"/>
      <c r="CM105" s="300"/>
      <c r="CN105" s="300"/>
      <c r="CO105" s="300"/>
      <c r="CP105" s="300"/>
      <c r="CQ105" s="300"/>
      <c r="CR105" s="300"/>
      <c r="CS105" s="300"/>
      <c r="CT105" s="300"/>
      <c r="CU105" s="300"/>
      <c r="CV105" s="300"/>
      <c r="CW105" s="300"/>
      <c r="CX105" s="300"/>
      <c r="CY105" s="300"/>
      <c r="CZ105" s="300"/>
      <c r="DA105" s="300"/>
      <c r="DB105" s="300"/>
      <c r="DC105" s="300"/>
      <c r="DD105" s="300"/>
      <c r="DE105" s="300"/>
      <c r="DF105" s="300"/>
      <c r="DG105" s="300"/>
      <c r="DH105" s="300"/>
      <c r="DI105" s="300"/>
      <c r="DJ105" s="300"/>
      <c r="DK105" s="300"/>
      <c r="DL105" s="300"/>
      <c r="DM105" s="300"/>
      <c r="DN105" s="300"/>
      <c r="DO105" s="300"/>
      <c r="DP105" s="300"/>
      <c r="DQ105" s="300"/>
      <c r="DR105" s="300"/>
      <c r="DS105" s="300"/>
      <c r="DT105" s="300"/>
      <c r="DU105" s="300"/>
      <c r="DV105" s="300"/>
      <c r="DW105" s="300"/>
      <c r="DX105" s="300"/>
      <c r="DY105" s="300"/>
      <c r="DZ105" s="300"/>
      <c r="EA105" s="300"/>
      <c r="EB105" s="300"/>
      <c r="EC105" s="300"/>
      <c r="ED105" s="300"/>
      <c r="EE105" s="300"/>
      <c r="EF105" s="300"/>
      <c r="EG105" s="300"/>
      <c r="EH105" s="300"/>
      <c r="EI105" s="300"/>
      <c r="EJ105" s="300"/>
      <c r="EK105" s="300"/>
      <c r="EL105" s="300"/>
      <c r="EM105" s="300"/>
      <c r="EN105" s="300"/>
      <c r="EO105" s="300"/>
      <c r="EP105" s="300"/>
      <c r="EQ105" s="300"/>
    </row>
    <row r="106" spans="2:147" ht="48.75" customHeight="1">
      <c r="S106" s="193"/>
      <c r="T106" s="1739" t="s">
        <v>1314</v>
      </c>
      <c r="U106" s="820" t="s">
        <v>1312</v>
      </c>
      <c r="V106" s="10"/>
      <c r="W106" s="10"/>
      <c r="X106" s="10"/>
      <c r="Y106" s="10"/>
      <c r="Z106" s="10"/>
      <c r="AA106" s="10"/>
      <c r="AB106" s="111"/>
      <c r="AC106" s="275"/>
      <c r="AD106" s="275"/>
      <c r="AE106" s="275"/>
      <c r="AF106" s="275"/>
      <c r="AG106" s="275"/>
      <c r="AH106" s="275"/>
      <c r="AI106" s="111"/>
      <c r="AJ106" s="193"/>
      <c r="AK106" s="1739" t="s">
        <v>1314</v>
      </c>
      <c r="AL106" s="820" t="s">
        <v>1312</v>
      </c>
      <c r="AM106" s="10"/>
      <c r="AN106" s="10"/>
      <c r="AO106" s="10"/>
      <c r="AP106" s="10"/>
      <c r="AQ106" s="10"/>
      <c r="AR106" s="10"/>
      <c r="AS106" s="111"/>
      <c r="AT106" s="10"/>
      <c r="AU106" s="10"/>
      <c r="AV106" s="10"/>
      <c r="AW106" s="10"/>
      <c r="AX106" s="10"/>
      <c r="AY106" s="10"/>
      <c r="BA106" s="307"/>
      <c r="BB106" s="308"/>
      <c r="BC106" s="308"/>
      <c r="BD106" s="309"/>
      <c r="BE106" s="309"/>
      <c r="BF106" s="308"/>
      <c r="BG106" s="308"/>
      <c r="BH106" s="309"/>
      <c r="BI106" s="309"/>
      <c r="BJ106" s="308"/>
      <c r="BK106" s="308"/>
      <c r="BL106" s="309"/>
      <c r="BM106" s="309"/>
      <c r="BN106" s="308"/>
      <c r="BO106" s="308"/>
      <c r="BP106" s="12"/>
      <c r="BQ106" s="12"/>
      <c r="CA106" s="300"/>
      <c r="CB106" s="300"/>
      <c r="CC106" s="300"/>
      <c r="CD106" s="300"/>
      <c r="CE106" s="300"/>
      <c r="CF106" s="300"/>
      <c r="CG106" s="300"/>
      <c r="CH106" s="300"/>
      <c r="CI106" s="300"/>
      <c r="CJ106" s="300"/>
      <c r="CK106" s="300"/>
      <c r="CL106" s="300"/>
      <c r="CM106" s="300"/>
      <c r="CN106" s="300"/>
      <c r="CO106" s="300"/>
      <c r="CP106" s="300"/>
      <c r="CQ106" s="300"/>
      <c r="CR106" s="300"/>
      <c r="CS106" s="300"/>
      <c r="CT106" s="300"/>
      <c r="CU106" s="300"/>
      <c r="CV106" s="300"/>
      <c r="CW106" s="300"/>
      <c r="CX106" s="300"/>
      <c r="CY106" s="300"/>
      <c r="CZ106" s="300"/>
      <c r="DA106" s="300"/>
      <c r="DB106" s="300"/>
      <c r="DC106" s="300"/>
      <c r="DD106" s="300"/>
      <c r="DE106" s="300"/>
      <c r="DF106" s="300"/>
      <c r="DG106" s="300"/>
      <c r="DH106" s="300"/>
      <c r="DI106" s="300"/>
      <c r="DJ106" s="300"/>
      <c r="DK106" s="300"/>
      <c r="DL106" s="300"/>
      <c r="DM106" s="300"/>
      <c r="DN106" s="300"/>
      <c r="DO106" s="300"/>
      <c r="DP106" s="300"/>
      <c r="DQ106" s="300"/>
      <c r="DR106" s="300"/>
      <c r="DS106" s="300"/>
      <c r="DT106" s="300"/>
      <c r="DU106" s="300"/>
      <c r="DV106" s="300"/>
      <c r="DW106" s="300"/>
      <c r="DX106" s="300"/>
      <c r="DY106" s="300"/>
      <c r="DZ106" s="300"/>
      <c r="EA106" s="300"/>
      <c r="EB106" s="300"/>
      <c r="EC106" s="300"/>
      <c r="ED106" s="300"/>
      <c r="EE106" s="300"/>
      <c r="EF106" s="300"/>
      <c r="EG106" s="300"/>
      <c r="EH106" s="300"/>
      <c r="EI106" s="300"/>
      <c r="EJ106" s="300"/>
      <c r="EK106" s="300"/>
      <c r="EL106" s="300"/>
      <c r="EM106" s="300"/>
      <c r="EN106" s="300"/>
      <c r="EO106" s="300"/>
      <c r="EP106" s="300"/>
      <c r="EQ106" s="300"/>
    </row>
    <row r="107" spans="2:147" ht="48.75" customHeight="1">
      <c r="S107" s="193"/>
      <c r="T107" s="1740" t="s">
        <v>1313</v>
      </c>
      <c r="U107" s="1131"/>
      <c r="V107" s="10"/>
      <c r="W107" s="10"/>
      <c r="X107" s="10"/>
      <c r="Y107" s="10"/>
      <c r="Z107" s="10"/>
      <c r="AA107" s="10"/>
      <c r="AB107" s="111"/>
      <c r="AC107" s="275"/>
      <c r="AD107" s="275"/>
      <c r="AE107" s="275"/>
      <c r="AF107" s="275"/>
      <c r="AG107" s="275"/>
      <c r="AH107" s="275"/>
      <c r="AI107" s="111"/>
      <c r="AJ107" s="193"/>
      <c r="AK107" s="1740" t="s">
        <v>1313</v>
      </c>
      <c r="AL107" s="1131"/>
      <c r="AM107" s="10"/>
      <c r="AN107" s="10"/>
      <c r="AO107" s="10"/>
      <c r="AP107" s="10"/>
      <c r="AQ107" s="10"/>
      <c r="AR107" s="10"/>
      <c r="AS107" s="111"/>
      <c r="AT107" s="10"/>
      <c r="AU107" s="10"/>
      <c r="AV107" s="10"/>
      <c r="AW107" s="10"/>
      <c r="AX107" s="311"/>
      <c r="AY107" s="10"/>
      <c r="BA107" s="308"/>
      <c r="BB107" s="308"/>
      <c r="BC107" s="309"/>
      <c r="BD107" s="309"/>
      <c r="BE107" s="308"/>
      <c r="BF107" s="308"/>
      <c r="BG107" s="309"/>
      <c r="BH107" s="309"/>
      <c r="BI107" s="308"/>
      <c r="BJ107" s="308"/>
      <c r="BK107" s="309"/>
      <c r="BL107" s="309"/>
      <c r="BM107" s="308"/>
      <c r="BN107" s="308"/>
      <c r="BO107" s="12"/>
      <c r="BP107" s="12"/>
      <c r="BQ107" s="12"/>
      <c r="CA107" s="300"/>
      <c r="CB107" s="300"/>
      <c r="CC107" s="300"/>
      <c r="CD107" s="300"/>
      <c r="CE107" s="300"/>
      <c r="CF107" s="300"/>
      <c r="CG107" s="300"/>
      <c r="CH107" s="300"/>
      <c r="CI107" s="300"/>
      <c r="CJ107" s="300"/>
      <c r="CK107" s="300"/>
      <c r="CL107" s="300"/>
      <c r="CM107" s="300"/>
      <c r="CN107" s="300"/>
      <c r="CO107" s="300"/>
      <c r="CP107" s="300"/>
      <c r="CQ107" s="300"/>
      <c r="CR107" s="300"/>
      <c r="CS107" s="300"/>
      <c r="CT107" s="300"/>
      <c r="CU107" s="300"/>
      <c r="CV107" s="300"/>
      <c r="CW107" s="300"/>
      <c r="CX107" s="300"/>
      <c r="CY107" s="300"/>
      <c r="CZ107" s="300"/>
      <c r="DA107" s="300"/>
      <c r="DB107" s="300"/>
      <c r="DC107" s="300"/>
      <c r="DD107" s="300"/>
      <c r="DE107" s="300"/>
      <c r="DF107" s="300"/>
      <c r="DG107" s="300"/>
      <c r="DH107" s="300"/>
      <c r="DI107" s="300"/>
      <c r="DJ107" s="300"/>
      <c r="DK107" s="300"/>
      <c r="DL107" s="300"/>
      <c r="DM107" s="300"/>
      <c r="DN107" s="300"/>
      <c r="DO107" s="300"/>
      <c r="DP107" s="300"/>
      <c r="DQ107" s="300"/>
      <c r="DR107" s="300"/>
      <c r="DS107" s="300"/>
      <c r="DT107" s="300"/>
      <c r="DU107" s="300"/>
      <c r="DV107" s="300"/>
      <c r="DW107" s="300"/>
      <c r="DX107" s="300"/>
      <c r="DY107" s="300"/>
      <c r="DZ107" s="300"/>
      <c r="EA107" s="300"/>
      <c r="EB107" s="300"/>
      <c r="EC107" s="300"/>
      <c r="ED107" s="300"/>
      <c r="EE107" s="300"/>
      <c r="EF107" s="300"/>
      <c r="EG107" s="300"/>
      <c r="EH107" s="300"/>
      <c r="EI107" s="300"/>
      <c r="EJ107" s="300"/>
      <c r="EK107" s="300"/>
      <c r="EL107" s="300"/>
      <c r="EM107" s="300"/>
      <c r="EN107" s="300"/>
      <c r="EO107" s="300"/>
      <c r="EP107" s="300"/>
      <c r="EQ107" s="300"/>
    </row>
    <row r="108" spans="2:147" ht="48.75" customHeight="1">
      <c r="S108" s="193"/>
      <c r="T108" s="364"/>
      <c r="U108" s="310"/>
      <c r="V108" s="310"/>
      <c r="W108" s="310"/>
      <c r="X108" s="310"/>
      <c r="Y108" s="310"/>
      <c r="Z108" s="310"/>
      <c r="AA108" s="310"/>
      <c r="AB108" s="111"/>
      <c r="AC108" s="310"/>
      <c r="AD108" s="310"/>
      <c r="AE108" s="310"/>
      <c r="AF108" s="310"/>
      <c r="AG108" s="310"/>
      <c r="AH108" s="310"/>
      <c r="AI108" s="111"/>
      <c r="AJ108" s="193"/>
      <c r="AK108" s="111"/>
      <c r="AL108" s="361"/>
      <c r="AM108" s="10"/>
      <c r="AN108" s="10"/>
      <c r="AO108" s="10"/>
      <c r="AP108" s="10"/>
      <c r="AQ108" s="10"/>
      <c r="AR108" s="10"/>
      <c r="AS108" s="111"/>
      <c r="AT108" s="10"/>
      <c r="AU108" s="10"/>
      <c r="AV108" s="10"/>
      <c r="AW108" s="10"/>
      <c r="AX108" s="311"/>
      <c r="AY108" s="10"/>
      <c r="BI108" s="11"/>
      <c r="CA108" s="300"/>
      <c r="CB108" s="300"/>
      <c r="CC108" s="300"/>
      <c r="CD108" s="300"/>
      <c r="CE108" s="300"/>
      <c r="CF108" s="300"/>
      <c r="CG108" s="300"/>
      <c r="CH108" s="300"/>
      <c r="CI108" s="300"/>
      <c r="CJ108" s="300"/>
      <c r="CK108" s="300"/>
      <c r="CL108" s="300"/>
      <c r="CM108" s="300"/>
      <c r="CN108" s="300"/>
      <c r="CO108" s="300"/>
      <c r="CP108" s="300"/>
      <c r="CQ108" s="300"/>
      <c r="CR108" s="300"/>
      <c r="CS108" s="300"/>
      <c r="CT108" s="300"/>
      <c r="CU108" s="300"/>
      <c r="CV108" s="300"/>
      <c r="CW108" s="300"/>
      <c r="CX108" s="300"/>
      <c r="CY108" s="300"/>
      <c r="CZ108" s="300"/>
      <c r="DA108" s="300"/>
      <c r="DB108" s="300"/>
      <c r="DC108" s="300"/>
      <c r="DD108" s="300"/>
      <c r="DE108" s="300"/>
      <c r="DF108" s="300"/>
      <c r="DG108" s="300"/>
      <c r="DH108" s="300"/>
      <c r="DI108" s="300"/>
      <c r="DJ108" s="300"/>
      <c r="DK108" s="300"/>
      <c r="DL108" s="300"/>
      <c r="DM108" s="300"/>
      <c r="DN108" s="300"/>
      <c r="DO108" s="300"/>
      <c r="DP108" s="300"/>
      <c r="DQ108" s="300"/>
      <c r="DR108" s="300"/>
      <c r="DS108" s="300"/>
      <c r="DT108" s="300"/>
      <c r="DU108" s="300"/>
      <c r="DV108" s="300"/>
      <c r="DW108" s="300"/>
      <c r="DX108" s="300"/>
      <c r="DY108" s="300"/>
      <c r="DZ108" s="300"/>
      <c r="EA108" s="300"/>
      <c r="EB108" s="300"/>
      <c r="EC108" s="300"/>
      <c r="ED108" s="300"/>
      <c r="EE108" s="300"/>
      <c r="EF108" s="300"/>
      <c r="EG108" s="300"/>
      <c r="EH108" s="300"/>
      <c r="EI108" s="300"/>
      <c r="EJ108" s="300"/>
      <c r="EK108" s="300"/>
      <c r="EL108" s="300"/>
      <c r="EM108" s="300"/>
      <c r="EN108" s="300"/>
      <c r="EO108" s="300"/>
      <c r="EP108" s="300"/>
      <c r="EQ108" s="300"/>
    </row>
    <row r="109" spans="2:147" ht="48.75" customHeight="1">
      <c r="S109" s="193"/>
      <c r="T109" s="1236" t="s">
        <v>717</v>
      </c>
      <c r="U109" s="1236"/>
      <c r="V109" s="126"/>
      <c r="W109" s="1405" t="s">
        <v>499</v>
      </c>
      <c r="X109" s="1406"/>
      <c r="Y109" s="1406"/>
      <c r="Z109" s="1407"/>
      <c r="AA109" s="126"/>
      <c r="AB109" s="111"/>
      <c r="AC109" s="126"/>
      <c r="AD109" s="1405" t="s">
        <v>499</v>
      </c>
      <c r="AE109" s="1406"/>
      <c r="AF109" s="1406"/>
      <c r="AG109" s="1407"/>
      <c r="AH109" s="126"/>
      <c r="AI109" s="111"/>
      <c r="AJ109" s="193"/>
      <c r="AK109" s="111"/>
      <c r="AL109" s="361"/>
      <c r="AM109" s="10"/>
      <c r="AN109" s="10"/>
      <c r="AO109" s="10"/>
      <c r="AP109" s="10"/>
      <c r="AQ109" s="10"/>
      <c r="AR109" s="10"/>
      <c r="AS109" s="111"/>
      <c r="AT109" s="10"/>
      <c r="AU109" s="10"/>
      <c r="AV109" s="10"/>
      <c r="AW109" s="10"/>
      <c r="AX109" s="311"/>
      <c r="AY109" s="10"/>
      <c r="BI109" s="11"/>
      <c r="CA109" s="300"/>
      <c r="CB109" s="300"/>
      <c r="CC109" s="300"/>
      <c r="CD109" s="300"/>
      <c r="CE109" s="300"/>
      <c r="CF109" s="300"/>
      <c r="CG109" s="300"/>
      <c r="CH109" s="300"/>
      <c r="CI109" s="300"/>
      <c r="CJ109" s="300"/>
      <c r="CK109" s="300"/>
      <c r="CL109" s="300"/>
      <c r="CM109" s="300"/>
      <c r="CN109" s="300"/>
      <c r="CO109" s="300"/>
      <c r="CP109" s="300"/>
      <c r="CQ109" s="300"/>
      <c r="CR109" s="300"/>
      <c r="CS109" s="300"/>
      <c r="CT109" s="300"/>
      <c r="CU109" s="300"/>
      <c r="CV109" s="300"/>
      <c r="CW109" s="300"/>
      <c r="CX109" s="300"/>
      <c r="CY109" s="300"/>
      <c r="CZ109" s="300"/>
      <c r="DA109" s="300"/>
      <c r="DB109" s="300"/>
      <c r="DC109" s="300"/>
      <c r="DD109" s="300"/>
      <c r="DE109" s="300"/>
      <c r="DF109" s="300"/>
      <c r="DG109" s="300"/>
      <c r="DH109" s="300"/>
      <c r="DI109" s="300"/>
      <c r="DJ109" s="300"/>
      <c r="DK109" s="300"/>
      <c r="DL109" s="300"/>
      <c r="DM109" s="300"/>
      <c r="DN109" s="300"/>
      <c r="DO109" s="300"/>
      <c r="DP109" s="300"/>
      <c r="DQ109" s="300"/>
      <c r="DR109" s="300"/>
      <c r="DS109" s="300"/>
      <c r="DT109" s="300"/>
      <c r="DU109" s="300"/>
      <c r="DV109" s="300"/>
      <c r="DW109" s="300"/>
      <c r="DX109" s="300"/>
      <c r="DY109" s="300"/>
      <c r="DZ109" s="300"/>
      <c r="EA109" s="300"/>
      <c r="EB109" s="300"/>
      <c r="EC109" s="300"/>
      <c r="ED109" s="300"/>
      <c r="EE109" s="300"/>
      <c r="EF109" s="300"/>
      <c r="EG109" s="300"/>
      <c r="EH109" s="300"/>
      <c r="EI109" s="300"/>
      <c r="EJ109" s="300"/>
      <c r="EK109" s="300"/>
      <c r="EL109" s="300"/>
      <c r="EM109" s="300"/>
      <c r="EN109" s="300"/>
      <c r="EO109" s="300"/>
      <c r="EP109" s="300"/>
      <c r="EQ109" s="300"/>
    </row>
    <row r="110" spans="2:147" ht="48.75" customHeight="1">
      <c r="Q110" s="285"/>
      <c r="R110" s="285"/>
      <c r="S110" s="193"/>
      <c r="T110" s="1236" t="s">
        <v>428</v>
      </c>
      <c r="U110" s="1236"/>
      <c r="V110" s="279">
        <v>2</v>
      </c>
      <c r="W110" s="279">
        <v>4</v>
      </c>
      <c r="X110" s="279">
        <v>6</v>
      </c>
      <c r="Y110" s="279">
        <v>8</v>
      </c>
      <c r="Z110" s="279">
        <v>10</v>
      </c>
      <c r="AA110" s="279">
        <v>12</v>
      </c>
      <c r="AB110" s="111"/>
      <c r="AC110" s="279">
        <v>2</v>
      </c>
      <c r="AD110" s="279">
        <v>4</v>
      </c>
      <c r="AE110" s="279">
        <v>6</v>
      </c>
      <c r="AF110" s="279">
        <v>8</v>
      </c>
      <c r="AG110" s="279">
        <v>10</v>
      </c>
      <c r="AH110" s="279">
        <v>12</v>
      </c>
      <c r="AI110" s="111"/>
      <c r="AJ110" s="193"/>
      <c r="AK110" s="111"/>
      <c r="AL110" s="362"/>
      <c r="AM110" s="10"/>
      <c r="AN110" s="10"/>
      <c r="AO110" s="10"/>
      <c r="AP110" s="10"/>
      <c r="AQ110" s="10"/>
      <c r="AR110" s="10"/>
      <c r="AS110" s="111"/>
      <c r="AT110" s="10"/>
      <c r="AU110" s="10"/>
      <c r="AV110" s="10"/>
      <c r="AW110" s="10"/>
      <c r="AX110" s="311"/>
      <c r="AY110" s="10"/>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300"/>
      <c r="CB110" s="300"/>
      <c r="CC110" s="300"/>
      <c r="CD110" s="300"/>
      <c r="CE110" s="300"/>
      <c r="CF110" s="300"/>
      <c r="CG110" s="300"/>
      <c r="CH110" s="300"/>
      <c r="CI110" s="300"/>
      <c r="CJ110" s="300"/>
      <c r="CK110" s="300"/>
      <c r="CL110" s="300"/>
      <c r="CM110" s="300"/>
      <c r="CN110" s="300"/>
      <c r="CO110" s="300"/>
      <c r="CP110" s="300"/>
      <c r="CQ110" s="300"/>
      <c r="CR110" s="300"/>
      <c r="CS110" s="300"/>
      <c r="CT110" s="300"/>
      <c r="CU110" s="300"/>
      <c r="CV110" s="300"/>
      <c r="CW110" s="300"/>
      <c r="CX110" s="300"/>
      <c r="CY110" s="300"/>
      <c r="CZ110" s="300"/>
      <c r="DA110" s="300"/>
      <c r="DB110" s="300"/>
      <c r="DC110" s="300"/>
      <c r="DD110" s="300"/>
      <c r="DE110" s="300"/>
      <c r="DF110" s="300"/>
      <c r="DG110" s="300"/>
      <c r="DH110" s="300"/>
      <c r="DI110" s="300"/>
      <c r="DJ110" s="300"/>
      <c r="DK110" s="300"/>
      <c r="DL110" s="300"/>
      <c r="DM110" s="300"/>
      <c r="DN110" s="300"/>
      <c r="DO110" s="300"/>
      <c r="DP110" s="300"/>
      <c r="DQ110" s="300"/>
      <c r="DR110" s="300"/>
      <c r="DS110" s="300"/>
      <c r="DT110" s="300"/>
      <c r="DU110" s="300"/>
      <c r="DV110" s="300"/>
      <c r="DW110" s="300"/>
      <c r="DX110" s="300"/>
      <c r="DY110" s="300"/>
      <c r="DZ110" s="300"/>
      <c r="EA110" s="300"/>
      <c r="EB110" s="300"/>
      <c r="EC110" s="300"/>
      <c r="ED110" s="300"/>
      <c r="EE110" s="300"/>
      <c r="EF110" s="300"/>
      <c r="EG110" s="300"/>
      <c r="EH110" s="300"/>
      <c r="EI110" s="300"/>
      <c r="EJ110" s="300"/>
      <c r="EK110" s="300"/>
      <c r="EL110" s="300"/>
      <c r="EM110" s="300"/>
      <c r="EN110" s="300"/>
      <c r="EO110" s="300"/>
      <c r="EP110" s="300"/>
      <c r="EQ110" s="300"/>
    </row>
    <row r="111" spans="2:147" ht="48.75" customHeight="1">
      <c r="S111" s="193"/>
      <c r="T111" s="1739" t="s">
        <v>1315</v>
      </c>
      <c r="U111" s="820"/>
      <c r="V111" s="1405" t="s">
        <v>1235</v>
      </c>
      <c r="W111" s="1406"/>
      <c r="X111" s="1406"/>
      <c r="Y111" s="1406"/>
      <c r="Z111" s="1406"/>
      <c r="AA111" s="1407"/>
      <c r="AB111" s="111"/>
      <c r="AC111" s="10"/>
      <c r="AD111" s="10"/>
      <c r="AE111" s="10"/>
      <c r="AF111" s="10"/>
      <c r="AG111" s="10"/>
      <c r="AH111" s="10"/>
      <c r="AI111" s="111"/>
      <c r="AJ111" s="193"/>
      <c r="AK111" s="111"/>
      <c r="AL111" s="310"/>
      <c r="AM111" s="310"/>
      <c r="AN111" s="310"/>
      <c r="AO111" s="310"/>
      <c r="AP111" s="310"/>
      <c r="AQ111" s="310"/>
      <c r="AR111" s="310"/>
      <c r="AS111" s="111"/>
      <c r="AT111" s="310"/>
      <c r="AU111" s="310"/>
      <c r="AV111" s="310"/>
      <c r="AW111" s="310"/>
      <c r="AX111" s="310"/>
      <c r="AY111" s="315"/>
      <c r="BB111" s="308"/>
      <c r="BC111" s="308"/>
      <c r="BD111" s="309"/>
      <c r="BE111" s="309"/>
      <c r="BF111" s="308"/>
      <c r="BG111" s="308"/>
      <c r="BH111" s="309"/>
      <c r="BI111" s="309"/>
      <c r="BJ111" s="308"/>
      <c r="BK111" s="308"/>
      <c r="BL111" s="309"/>
      <c r="BM111" s="309"/>
      <c r="BN111" s="308"/>
      <c r="BO111" s="308"/>
      <c r="BP111" s="309"/>
      <c r="BQ111" s="309"/>
      <c r="BR111" s="308"/>
      <c r="BS111" s="308"/>
      <c r="BT111" s="309"/>
      <c r="BU111" s="309"/>
      <c r="BV111" s="308"/>
      <c r="BW111" s="308"/>
      <c r="BX111" s="309"/>
      <c r="BY111" s="309"/>
      <c r="CA111" s="300"/>
      <c r="CB111" s="300"/>
      <c r="CC111" s="300"/>
      <c r="CD111" s="300"/>
      <c r="CE111" s="300"/>
      <c r="CF111" s="300"/>
      <c r="CG111" s="300"/>
      <c r="CH111" s="300"/>
      <c r="CI111" s="300"/>
      <c r="CJ111" s="300"/>
      <c r="CK111" s="300"/>
      <c r="CL111" s="300"/>
      <c r="CM111" s="300"/>
      <c r="CN111" s="300"/>
      <c r="CO111" s="300"/>
      <c r="CP111" s="300"/>
      <c r="CQ111" s="300"/>
      <c r="CR111" s="300"/>
      <c r="CS111" s="300"/>
      <c r="CT111" s="300"/>
      <c r="CU111" s="300"/>
      <c r="CV111" s="300"/>
      <c r="CW111" s="300"/>
      <c r="CX111" s="300"/>
      <c r="CY111" s="300"/>
      <c r="CZ111" s="300"/>
      <c r="DA111" s="300"/>
      <c r="DB111" s="300"/>
      <c r="DC111" s="300"/>
      <c r="DD111" s="300"/>
      <c r="DE111" s="300"/>
      <c r="DF111" s="300"/>
      <c r="DG111" s="300"/>
      <c r="DH111" s="300"/>
      <c r="DI111" s="300"/>
      <c r="DJ111" s="300"/>
      <c r="DK111" s="300"/>
      <c r="DL111" s="300"/>
      <c r="DM111" s="300"/>
      <c r="DN111" s="300"/>
      <c r="DO111" s="300"/>
      <c r="DP111" s="300"/>
      <c r="DQ111" s="300"/>
      <c r="DR111" s="300"/>
      <c r="DS111" s="300"/>
      <c r="DT111" s="300"/>
      <c r="DU111" s="300"/>
      <c r="DV111" s="300"/>
      <c r="DW111" s="300"/>
      <c r="DX111" s="300"/>
      <c r="DY111" s="300"/>
      <c r="DZ111" s="300"/>
      <c r="EA111" s="300"/>
      <c r="EB111" s="300"/>
      <c r="EC111" s="300"/>
      <c r="ED111" s="300"/>
      <c r="EE111" s="300"/>
      <c r="EF111" s="300"/>
      <c r="EG111" s="300"/>
      <c r="EH111" s="300"/>
      <c r="EI111" s="300"/>
      <c r="EJ111" s="300"/>
      <c r="EK111" s="300"/>
      <c r="EL111" s="300"/>
      <c r="EM111" s="300"/>
      <c r="EN111" s="300"/>
      <c r="EO111" s="300"/>
      <c r="EP111" s="300"/>
      <c r="EQ111" s="300"/>
    </row>
    <row r="112" spans="2:147" ht="48.75" customHeight="1">
      <c r="S112" s="193"/>
      <c r="T112" s="1236" t="s">
        <v>126</v>
      </c>
      <c r="U112" s="1236"/>
      <c r="V112" s="10"/>
      <c r="W112" s="10"/>
      <c r="X112" s="10"/>
      <c r="Y112" s="10"/>
      <c r="Z112" s="10"/>
      <c r="AA112" s="10"/>
      <c r="AB112" s="111"/>
      <c r="AC112" s="10"/>
      <c r="AD112" s="10"/>
      <c r="AE112" s="10"/>
      <c r="AF112" s="10"/>
      <c r="AG112" s="10"/>
      <c r="AH112" s="10"/>
      <c r="AI112" s="111"/>
      <c r="AJ112" s="193"/>
      <c r="AK112" s="1236" t="s">
        <v>717</v>
      </c>
      <c r="AL112" s="1236"/>
      <c r="AM112" s="126"/>
      <c r="AN112" s="710" t="s">
        <v>512</v>
      </c>
      <c r="AO112" s="1714"/>
      <c r="AP112" s="1714"/>
      <c r="AQ112" s="711"/>
      <c r="AR112" s="126"/>
      <c r="AS112" s="111"/>
      <c r="AT112" s="126"/>
      <c r="AU112" s="710" t="s">
        <v>512</v>
      </c>
      <c r="AV112" s="1714"/>
      <c r="AW112" s="1714"/>
      <c r="AX112" s="711"/>
      <c r="AY112" s="126"/>
      <c r="BB112" s="308"/>
      <c r="BC112" s="309"/>
      <c r="BD112" s="309"/>
      <c r="BE112" s="308"/>
      <c r="BF112" s="308"/>
      <c r="BG112" s="309"/>
      <c r="BH112" s="309"/>
      <c r="BI112" s="308"/>
      <c r="BJ112" s="308"/>
      <c r="BK112" s="309"/>
      <c r="BL112" s="309"/>
      <c r="BM112" s="308"/>
      <c r="BN112" s="308"/>
      <c r="BO112" s="309"/>
      <c r="BP112" s="309"/>
      <c r="BQ112" s="308"/>
      <c r="BR112" s="308"/>
      <c r="BS112" s="309"/>
      <c r="BT112" s="309"/>
      <c r="BU112" s="308"/>
      <c r="BV112" s="308"/>
      <c r="BW112" s="309"/>
      <c r="BX112" s="309"/>
      <c r="BY112" s="308"/>
      <c r="CA112" s="300"/>
      <c r="CB112" s="300"/>
      <c r="CC112" s="300"/>
      <c r="CD112" s="300"/>
      <c r="CE112" s="300"/>
      <c r="CF112" s="300"/>
      <c r="CG112" s="300"/>
      <c r="CH112" s="300"/>
      <c r="CI112" s="300"/>
      <c r="CJ112" s="300"/>
      <c r="CK112" s="300"/>
      <c r="CL112" s="300"/>
      <c r="CM112" s="300"/>
      <c r="CN112" s="300"/>
      <c r="CO112" s="300"/>
      <c r="CP112" s="300"/>
      <c r="CQ112" s="300"/>
      <c r="CR112" s="300"/>
      <c r="CS112" s="300"/>
      <c r="CT112" s="300"/>
      <c r="CU112" s="300"/>
      <c r="CV112" s="300"/>
      <c r="CW112" s="300"/>
      <c r="CX112" s="300"/>
      <c r="CY112" s="300"/>
      <c r="CZ112" s="300"/>
      <c r="DA112" s="300"/>
      <c r="DB112" s="300"/>
      <c r="DC112" s="300"/>
      <c r="DD112" s="300"/>
      <c r="DE112" s="300"/>
      <c r="DF112" s="300"/>
      <c r="DG112" s="300"/>
      <c r="DH112" s="300"/>
      <c r="DI112" s="300"/>
      <c r="DJ112" s="300"/>
      <c r="DK112" s="300"/>
      <c r="DL112" s="300"/>
      <c r="DM112" s="300"/>
      <c r="DN112" s="300"/>
      <c r="DO112" s="300"/>
      <c r="DP112" s="300"/>
      <c r="DQ112" s="300"/>
      <c r="DR112" s="300"/>
      <c r="DS112" s="300"/>
      <c r="DT112" s="300"/>
      <c r="DU112" s="300"/>
      <c r="DV112" s="300"/>
      <c r="DW112" s="300"/>
      <c r="DX112" s="300"/>
      <c r="DY112" s="300"/>
      <c r="DZ112" s="300"/>
      <c r="EA112" s="300"/>
      <c r="EB112" s="300"/>
      <c r="EC112" s="300"/>
      <c r="ED112" s="300"/>
      <c r="EE112" s="300"/>
      <c r="EF112" s="300"/>
      <c r="EG112" s="300"/>
      <c r="EH112" s="300"/>
      <c r="EI112" s="300"/>
      <c r="EJ112" s="300"/>
      <c r="EK112" s="300"/>
      <c r="EL112" s="300"/>
      <c r="EM112" s="300"/>
      <c r="EN112" s="300"/>
      <c r="EO112" s="300"/>
      <c r="EP112" s="300"/>
      <c r="EQ112" s="300"/>
    </row>
    <row r="113" spans="17:147" ht="48.75" customHeight="1">
      <c r="S113" s="193"/>
      <c r="T113" s="1739" t="s">
        <v>1314</v>
      </c>
      <c r="U113" s="820" t="s">
        <v>1312</v>
      </c>
      <c r="V113" s="10"/>
      <c r="W113" s="10"/>
      <c r="X113" s="10"/>
      <c r="Y113" s="10"/>
      <c r="Z113" s="10"/>
      <c r="AA113" s="10"/>
      <c r="AB113" s="111"/>
      <c r="AC113" s="10"/>
      <c r="AD113" s="10"/>
      <c r="AE113" s="10"/>
      <c r="AF113" s="10"/>
      <c r="AG113" s="10"/>
      <c r="AH113" s="10"/>
      <c r="AI113" s="111"/>
      <c r="AJ113" s="193"/>
      <c r="AK113" s="1739" t="s">
        <v>428</v>
      </c>
      <c r="AL113" s="820"/>
      <c r="AM113" s="279">
        <v>2</v>
      </c>
      <c r="AN113" s="279">
        <v>4</v>
      </c>
      <c r="AO113" s="279">
        <v>6</v>
      </c>
      <c r="AP113" s="279">
        <v>8</v>
      </c>
      <c r="AQ113" s="279">
        <v>10</v>
      </c>
      <c r="AR113" s="279">
        <v>12</v>
      </c>
      <c r="AS113" s="111"/>
      <c r="AT113" s="279">
        <v>2</v>
      </c>
      <c r="AU113" s="279">
        <v>4</v>
      </c>
      <c r="AV113" s="279">
        <v>6</v>
      </c>
      <c r="AW113" s="279">
        <v>8</v>
      </c>
      <c r="AX113" s="279">
        <v>10</v>
      </c>
      <c r="AY113" s="279">
        <v>12</v>
      </c>
      <c r="BB113" s="309"/>
      <c r="BC113" s="309"/>
      <c r="BD113" s="308"/>
      <c r="BE113" s="308"/>
      <c r="BF113" s="309"/>
      <c r="BG113" s="309"/>
      <c r="BH113" s="308"/>
      <c r="BI113" s="308"/>
      <c r="BJ113" s="309"/>
      <c r="BK113" s="309"/>
      <c r="BL113" s="308"/>
      <c r="BM113" s="308"/>
      <c r="BN113" s="309"/>
      <c r="BO113" s="309"/>
      <c r="BP113" s="308"/>
      <c r="BQ113" s="308"/>
      <c r="BR113" s="309"/>
      <c r="BS113" s="309"/>
      <c r="BT113" s="308"/>
      <c r="BU113" s="308"/>
      <c r="BV113" s="309"/>
      <c r="BW113" s="309"/>
      <c r="BX113" s="308"/>
      <c r="BY113" s="308"/>
      <c r="CA113" s="300"/>
      <c r="CB113" s="300"/>
      <c r="CC113" s="300"/>
      <c r="CD113" s="300"/>
      <c r="CE113" s="300"/>
      <c r="CF113" s="300"/>
      <c r="CG113" s="300"/>
      <c r="CH113" s="300"/>
      <c r="CI113" s="300"/>
      <c r="CJ113" s="300"/>
      <c r="CK113" s="300"/>
      <c r="CL113" s="300"/>
      <c r="CM113" s="300"/>
      <c r="CN113" s="300"/>
      <c r="CO113" s="300"/>
      <c r="CP113" s="300"/>
      <c r="CQ113" s="300"/>
      <c r="CR113" s="300"/>
      <c r="CS113" s="300"/>
      <c r="CT113" s="300"/>
      <c r="CU113" s="300"/>
      <c r="CV113" s="300"/>
      <c r="CW113" s="300"/>
      <c r="CX113" s="300"/>
      <c r="CY113" s="300"/>
      <c r="CZ113" s="300"/>
      <c r="DA113" s="300"/>
      <c r="DB113" s="300"/>
      <c r="DC113" s="300"/>
      <c r="DD113" s="300"/>
      <c r="DE113" s="300"/>
      <c r="DF113" s="300"/>
      <c r="DG113" s="300"/>
      <c r="DH113" s="300"/>
      <c r="DI113" s="300"/>
      <c r="DJ113" s="300"/>
      <c r="DK113" s="300"/>
      <c r="DL113" s="300"/>
      <c r="DM113" s="300"/>
      <c r="DN113" s="300"/>
      <c r="DO113" s="300"/>
      <c r="DP113" s="300"/>
      <c r="DQ113" s="300"/>
      <c r="DR113" s="300"/>
      <c r="DS113" s="300"/>
      <c r="DT113" s="300"/>
      <c r="DU113" s="300"/>
      <c r="DV113" s="300"/>
      <c r="DW113" s="300"/>
      <c r="DX113" s="300"/>
      <c r="DY113" s="300"/>
      <c r="DZ113" s="300"/>
      <c r="EA113" s="300"/>
      <c r="EB113" s="300"/>
      <c r="EC113" s="300"/>
      <c r="ED113" s="300"/>
      <c r="EE113" s="300"/>
      <c r="EF113" s="300"/>
      <c r="EG113" s="300"/>
      <c r="EH113" s="300"/>
      <c r="EI113" s="300"/>
      <c r="EJ113" s="300"/>
      <c r="EK113" s="300"/>
      <c r="EL113" s="300"/>
      <c r="EM113" s="300"/>
      <c r="EN113" s="300"/>
      <c r="EO113" s="300"/>
      <c r="EP113" s="300"/>
      <c r="EQ113" s="300"/>
    </row>
    <row r="114" spans="17:147" ht="48.75" customHeight="1">
      <c r="S114" s="193"/>
      <c r="T114" s="1740" t="s">
        <v>1313</v>
      </c>
      <c r="U114" s="1131"/>
      <c r="V114" s="10"/>
      <c r="W114" s="10"/>
      <c r="X114" s="10"/>
      <c r="Y114" s="10"/>
      <c r="Z114" s="10"/>
      <c r="AA114" s="10"/>
      <c r="AB114" s="111"/>
      <c r="AC114" s="10"/>
      <c r="AD114" s="10"/>
      <c r="AE114" s="10"/>
      <c r="AF114" s="10"/>
      <c r="AG114" s="10"/>
      <c r="AH114" s="10"/>
      <c r="AI114" s="111"/>
      <c r="AJ114" s="193"/>
      <c r="AK114" s="1236" t="s">
        <v>126</v>
      </c>
      <c r="AL114" s="1236"/>
      <c r="AM114" s="10"/>
      <c r="AN114" s="10"/>
      <c r="AO114" s="10"/>
      <c r="AP114" s="10"/>
      <c r="AQ114" s="10"/>
      <c r="AR114" s="10"/>
      <c r="AS114" s="111"/>
      <c r="AT114" s="10"/>
      <c r="AU114" s="10"/>
      <c r="AV114" s="10"/>
      <c r="AW114" s="10"/>
      <c r="AX114" s="311"/>
      <c r="AY114" s="10"/>
      <c r="BF114" s="300"/>
      <c r="BG114" s="300"/>
      <c r="BH114" s="300"/>
      <c r="BI114" s="300"/>
      <c r="CA114" s="300"/>
      <c r="CB114" s="300"/>
      <c r="CC114" s="300"/>
      <c r="CD114" s="300"/>
      <c r="CE114" s="300"/>
      <c r="CF114" s="300"/>
      <c r="CG114" s="300"/>
      <c r="CH114" s="300"/>
      <c r="CI114" s="300"/>
      <c r="CJ114" s="300"/>
      <c r="CK114" s="300"/>
      <c r="CL114" s="300"/>
      <c r="CM114" s="300"/>
      <c r="CN114" s="300"/>
      <c r="CO114" s="300"/>
      <c r="CP114" s="300"/>
      <c r="CQ114" s="300"/>
      <c r="CR114" s="300"/>
      <c r="CS114" s="300"/>
      <c r="CT114" s="300"/>
      <c r="CU114" s="300"/>
      <c r="CV114" s="300"/>
      <c r="CW114" s="300"/>
      <c r="CX114" s="300"/>
      <c r="CY114" s="300"/>
      <c r="CZ114" s="300"/>
      <c r="DA114" s="300"/>
      <c r="DB114" s="300"/>
      <c r="DC114" s="300"/>
      <c r="DD114" s="300"/>
      <c r="DE114" s="300"/>
      <c r="DF114" s="300"/>
      <c r="DG114" s="300"/>
      <c r="DH114" s="300"/>
      <c r="DI114" s="300"/>
      <c r="DJ114" s="300"/>
      <c r="DK114" s="300"/>
      <c r="DL114" s="300"/>
      <c r="DM114" s="300"/>
      <c r="DN114" s="300"/>
      <c r="DO114" s="300"/>
      <c r="DP114" s="300"/>
      <c r="DQ114" s="300"/>
      <c r="DR114" s="300"/>
      <c r="DS114" s="300"/>
      <c r="DT114" s="300"/>
      <c r="DU114" s="300"/>
      <c r="DV114" s="300"/>
      <c r="DW114" s="300"/>
      <c r="DX114" s="300"/>
      <c r="DY114" s="300"/>
      <c r="DZ114" s="300"/>
      <c r="EA114" s="300"/>
      <c r="EB114" s="300"/>
      <c r="EC114" s="300"/>
      <c r="ED114" s="300"/>
      <c r="EE114" s="300"/>
      <c r="EF114" s="300"/>
      <c r="EG114" s="300"/>
      <c r="EH114" s="300"/>
      <c r="EI114" s="300"/>
      <c r="EJ114" s="300"/>
      <c r="EK114" s="300"/>
      <c r="EL114" s="300"/>
      <c r="EM114" s="300"/>
      <c r="EN114" s="300"/>
      <c r="EO114" s="300"/>
      <c r="EP114" s="300"/>
      <c r="EQ114" s="300"/>
    </row>
    <row r="115" spans="17:147" ht="48.75" customHeight="1">
      <c r="S115" s="312"/>
      <c r="T115" s="313"/>
      <c r="U115" s="313"/>
      <c r="V115" s="313"/>
      <c r="W115" s="313"/>
      <c r="X115" s="313"/>
      <c r="Y115" s="313"/>
      <c r="Z115" s="313"/>
      <c r="AA115" s="313"/>
      <c r="AB115" s="313"/>
      <c r="AC115" s="313"/>
      <c r="AD115" s="313"/>
      <c r="AE115" s="313"/>
      <c r="AF115" s="313"/>
      <c r="AG115" s="313"/>
      <c r="AH115" s="314"/>
      <c r="AI115" s="188"/>
      <c r="AJ115" s="193"/>
      <c r="AK115" s="111"/>
      <c r="AL115" s="1817" t="s">
        <v>713</v>
      </c>
      <c r="AM115" s="10"/>
      <c r="AN115" s="10"/>
      <c r="AO115" s="10"/>
      <c r="AP115" s="10"/>
      <c r="AQ115" s="10"/>
      <c r="AR115" s="10"/>
      <c r="AS115" s="111"/>
      <c r="AT115" s="10"/>
      <c r="AU115" s="10"/>
      <c r="AV115" s="10"/>
      <c r="AW115" s="10"/>
      <c r="AX115" s="311"/>
      <c r="AY115" s="10"/>
      <c r="BF115" s="300"/>
      <c r="BG115" s="300"/>
      <c r="BH115" s="300"/>
      <c r="BI115" s="300"/>
      <c r="CA115" s="300"/>
      <c r="CB115" s="300"/>
      <c r="CC115" s="300"/>
      <c r="CD115" s="300"/>
      <c r="CE115" s="300"/>
      <c r="CF115" s="300"/>
      <c r="CG115" s="300"/>
      <c r="CH115" s="300"/>
      <c r="CI115" s="300"/>
      <c r="CJ115" s="300"/>
      <c r="CK115" s="300"/>
      <c r="CL115" s="300"/>
      <c r="CM115" s="300"/>
      <c r="CN115" s="300"/>
      <c r="CO115" s="300"/>
      <c r="CP115" s="300"/>
      <c r="CQ115" s="300"/>
      <c r="CR115" s="300"/>
      <c r="CS115" s="300"/>
      <c r="CT115" s="300"/>
      <c r="CU115" s="300"/>
      <c r="CV115" s="300"/>
      <c r="CW115" s="300"/>
      <c r="CX115" s="300"/>
      <c r="CY115" s="300"/>
      <c r="CZ115" s="300"/>
      <c r="DA115" s="300"/>
      <c r="DB115" s="300"/>
      <c r="DC115" s="300"/>
      <c r="DD115" s="300"/>
      <c r="DE115" s="300"/>
      <c r="DF115" s="300"/>
      <c r="DG115" s="300"/>
      <c r="DH115" s="300"/>
      <c r="DI115" s="300"/>
      <c r="DJ115" s="300"/>
      <c r="DK115" s="300"/>
      <c r="DL115" s="300"/>
      <c r="DM115" s="300"/>
      <c r="DN115" s="300"/>
      <c r="DO115" s="300"/>
      <c r="DP115" s="300"/>
      <c r="DQ115" s="300"/>
      <c r="DR115" s="300"/>
      <c r="DS115" s="300"/>
      <c r="DT115" s="300"/>
      <c r="DU115" s="300"/>
      <c r="DV115" s="300"/>
      <c r="DW115" s="300"/>
      <c r="DX115" s="300"/>
      <c r="DY115" s="300"/>
      <c r="DZ115" s="300"/>
      <c r="EA115" s="300"/>
      <c r="EB115" s="300"/>
      <c r="EC115" s="300"/>
      <c r="ED115" s="300"/>
      <c r="EE115" s="300"/>
      <c r="EF115" s="300"/>
      <c r="EG115" s="300"/>
      <c r="EH115" s="300"/>
      <c r="EI115" s="300"/>
      <c r="EJ115" s="300"/>
      <c r="EK115" s="300"/>
      <c r="EL115" s="300"/>
      <c r="EM115" s="300"/>
      <c r="EN115" s="300"/>
      <c r="EO115" s="300"/>
      <c r="EP115" s="300"/>
      <c r="EQ115" s="300"/>
    </row>
    <row r="116" spans="17:147" ht="48.75" customHeight="1">
      <c r="Q116" s="300"/>
      <c r="R116" s="300"/>
      <c r="S116" s="300"/>
      <c r="T116" s="300"/>
      <c r="U116" s="300"/>
      <c r="V116" s="300"/>
      <c r="W116" s="300"/>
      <c r="X116" s="300"/>
      <c r="Y116" s="300"/>
      <c r="Z116" s="300"/>
      <c r="AA116" s="300"/>
      <c r="AB116" s="300"/>
      <c r="AC116" s="300"/>
      <c r="AD116" s="300"/>
      <c r="AE116" s="300"/>
      <c r="AF116" s="300"/>
      <c r="AG116" s="300"/>
      <c r="AH116" s="300"/>
      <c r="AI116" s="455"/>
      <c r="AJ116" s="193"/>
      <c r="AK116" s="111"/>
      <c r="AL116" s="1818"/>
      <c r="AM116" s="10"/>
      <c r="AN116" s="10"/>
      <c r="AO116" s="10"/>
      <c r="AP116" s="10"/>
      <c r="AQ116" s="10"/>
      <c r="AR116" s="10"/>
      <c r="AS116" s="111"/>
      <c r="AT116" s="10"/>
      <c r="AU116" s="10"/>
      <c r="AV116" s="10"/>
      <c r="AW116" s="10"/>
      <c r="AX116" s="311"/>
      <c r="AY116" s="10"/>
      <c r="BF116" s="300"/>
      <c r="BG116" s="300"/>
      <c r="BH116" s="300"/>
      <c r="BI116" s="300"/>
      <c r="CA116" s="300"/>
      <c r="CB116" s="300"/>
      <c r="CC116" s="300"/>
      <c r="CD116" s="300"/>
      <c r="CE116" s="300"/>
      <c r="CF116" s="300"/>
      <c r="CG116" s="300"/>
      <c r="CH116" s="300"/>
      <c r="CI116" s="300"/>
      <c r="CJ116" s="300"/>
      <c r="CK116" s="300"/>
      <c r="CL116" s="300"/>
      <c r="CM116" s="300"/>
      <c r="CN116" s="300"/>
      <c r="CO116" s="300"/>
      <c r="CP116" s="300"/>
      <c r="CQ116" s="300"/>
      <c r="CR116" s="300"/>
      <c r="CS116" s="300"/>
      <c r="CT116" s="300"/>
      <c r="CU116" s="300"/>
      <c r="CV116" s="300"/>
      <c r="CW116" s="300"/>
      <c r="CX116" s="300"/>
      <c r="CY116" s="300"/>
      <c r="CZ116" s="300"/>
      <c r="DA116" s="300"/>
      <c r="DB116" s="300"/>
      <c r="DC116" s="300"/>
      <c r="DD116" s="300"/>
      <c r="DE116" s="300"/>
      <c r="DF116" s="300"/>
      <c r="DG116" s="300"/>
      <c r="DH116" s="300"/>
      <c r="DI116" s="300"/>
      <c r="DJ116" s="300"/>
      <c r="DK116" s="300"/>
      <c r="DL116" s="300"/>
      <c r="DM116" s="300"/>
      <c r="DN116" s="300"/>
      <c r="DO116" s="300"/>
      <c r="DP116" s="300"/>
      <c r="DQ116" s="300"/>
      <c r="DR116" s="300"/>
      <c r="DS116" s="300"/>
      <c r="DT116" s="300"/>
      <c r="DU116" s="300"/>
      <c r="DV116" s="300"/>
      <c r="DW116" s="300"/>
      <c r="DX116" s="300"/>
      <c r="DY116" s="300"/>
      <c r="DZ116" s="300"/>
      <c r="EA116" s="300"/>
      <c r="EB116" s="300"/>
      <c r="EC116" s="300"/>
      <c r="ED116" s="300"/>
      <c r="EE116" s="300"/>
      <c r="EF116" s="300"/>
      <c r="EG116" s="300"/>
      <c r="EH116" s="300"/>
      <c r="EI116" s="300"/>
      <c r="EJ116" s="300"/>
      <c r="EK116" s="300"/>
      <c r="EL116" s="300"/>
      <c r="EM116" s="300"/>
      <c r="EN116" s="300"/>
      <c r="EO116" s="300"/>
      <c r="EP116" s="300"/>
      <c r="EQ116" s="300"/>
    </row>
    <row r="117" spans="17:147" ht="48.75" customHeight="1">
      <c r="Q117" s="300"/>
      <c r="R117" s="300"/>
      <c r="S117" s="300"/>
      <c r="T117" s="300"/>
      <c r="U117" s="300"/>
      <c r="V117" s="300"/>
      <c r="W117" s="300"/>
      <c r="X117" s="300"/>
      <c r="Y117" s="300"/>
      <c r="Z117" s="300"/>
      <c r="AA117" s="300"/>
      <c r="AB117" s="300"/>
      <c r="AC117" s="300"/>
      <c r="AD117" s="300"/>
      <c r="AE117" s="300"/>
      <c r="AF117" s="300"/>
      <c r="AG117" s="300"/>
      <c r="AH117" s="300"/>
      <c r="AI117" s="455"/>
      <c r="AJ117" s="193"/>
      <c r="AK117" s="111"/>
      <c r="AL117" s="1818"/>
      <c r="AM117" s="10"/>
      <c r="AN117" s="10"/>
      <c r="AO117" s="10"/>
      <c r="AP117" s="10"/>
      <c r="AQ117" s="10"/>
      <c r="AR117" s="10"/>
      <c r="AS117" s="111"/>
      <c r="AT117" s="10"/>
      <c r="AU117" s="10"/>
      <c r="AV117" s="10"/>
      <c r="AW117" s="10"/>
      <c r="AX117" s="311"/>
      <c r="AY117" s="10"/>
      <c r="BF117" s="300"/>
      <c r="BG117" s="300"/>
      <c r="BH117" s="300"/>
      <c r="BI117" s="300"/>
      <c r="CA117" s="300"/>
      <c r="CB117" s="300"/>
      <c r="CC117" s="300"/>
      <c r="CD117" s="300"/>
      <c r="CE117" s="300"/>
      <c r="CF117" s="300"/>
      <c r="CG117" s="300"/>
      <c r="CH117" s="300"/>
      <c r="CI117" s="300"/>
      <c r="CJ117" s="300"/>
      <c r="CK117" s="300"/>
      <c r="CL117" s="300"/>
      <c r="CM117" s="300"/>
      <c r="CN117" s="300"/>
      <c r="CO117" s="300"/>
      <c r="CP117" s="300"/>
      <c r="CQ117" s="300"/>
      <c r="CR117" s="300"/>
      <c r="CS117" s="300"/>
      <c r="CT117" s="300"/>
      <c r="CU117" s="300"/>
      <c r="CV117" s="300"/>
      <c r="CW117" s="300"/>
      <c r="CX117" s="300"/>
      <c r="CY117" s="300"/>
      <c r="CZ117" s="300"/>
      <c r="DA117" s="300"/>
      <c r="DB117" s="300"/>
      <c r="DC117" s="300"/>
      <c r="DD117" s="300"/>
      <c r="DE117" s="300"/>
      <c r="DF117" s="300"/>
      <c r="DG117" s="300"/>
      <c r="DH117" s="300"/>
      <c r="DI117" s="300"/>
      <c r="DJ117" s="300"/>
      <c r="DK117" s="300"/>
      <c r="DL117" s="300"/>
      <c r="DM117" s="300"/>
      <c r="DN117" s="300"/>
      <c r="DO117" s="300"/>
      <c r="DP117" s="300"/>
      <c r="DQ117" s="300"/>
      <c r="DR117" s="300"/>
      <c r="DS117" s="300"/>
      <c r="DT117" s="300"/>
      <c r="DU117" s="300"/>
      <c r="DV117" s="300"/>
      <c r="DW117" s="300"/>
      <c r="DX117" s="300"/>
      <c r="DY117" s="300"/>
      <c r="DZ117" s="300"/>
      <c r="EA117" s="300"/>
      <c r="EB117" s="300"/>
      <c r="EC117" s="300"/>
      <c r="ED117" s="300"/>
      <c r="EE117" s="300"/>
      <c r="EF117" s="300"/>
      <c r="EG117" s="300"/>
      <c r="EH117" s="300"/>
      <c r="EI117" s="300"/>
      <c r="EJ117" s="300"/>
      <c r="EK117" s="300"/>
      <c r="EL117" s="300"/>
      <c r="EM117" s="300"/>
      <c r="EN117" s="300"/>
      <c r="EO117" s="300"/>
      <c r="EP117" s="300"/>
      <c r="EQ117" s="300"/>
    </row>
    <row r="118" spans="17:147" ht="48.75" customHeight="1">
      <c r="Q118" s="300"/>
      <c r="R118" s="300"/>
      <c r="S118" s="300"/>
      <c r="T118" s="300"/>
      <c r="U118" s="300"/>
      <c r="V118" s="300"/>
      <c r="W118" s="300"/>
      <c r="X118" s="300"/>
      <c r="Y118" s="300"/>
      <c r="Z118" s="300"/>
      <c r="AA118" s="300"/>
      <c r="AB118" s="300"/>
      <c r="AC118" s="300"/>
      <c r="AD118" s="300"/>
      <c r="AE118" s="300"/>
      <c r="AF118" s="300"/>
      <c r="AG118" s="300"/>
      <c r="AH118" s="300"/>
      <c r="AI118" s="455"/>
      <c r="AJ118" s="193"/>
      <c r="AK118" s="111"/>
      <c r="AL118" s="1818"/>
      <c r="AM118" s="10"/>
      <c r="AN118" s="10"/>
      <c r="AO118" s="10"/>
      <c r="AP118" s="10"/>
      <c r="AQ118" s="10"/>
      <c r="AR118" s="10"/>
      <c r="AS118" s="111"/>
      <c r="AT118" s="10"/>
      <c r="AU118" s="10"/>
      <c r="AV118" s="10"/>
      <c r="AW118" s="10"/>
      <c r="AX118" s="311"/>
      <c r="AY118" s="10"/>
      <c r="BF118" s="300"/>
      <c r="BG118" s="300"/>
      <c r="BH118" s="300"/>
      <c r="BI118" s="300"/>
      <c r="CA118" s="300"/>
      <c r="CB118" s="300"/>
      <c r="CC118" s="300"/>
      <c r="CD118" s="300"/>
      <c r="CE118" s="300"/>
      <c r="CF118" s="300"/>
      <c r="CG118" s="300"/>
      <c r="CH118" s="300"/>
      <c r="CI118" s="300"/>
      <c r="CJ118" s="300"/>
      <c r="CK118" s="300"/>
      <c r="CL118" s="300"/>
      <c r="CM118" s="300"/>
      <c r="CN118" s="300"/>
      <c r="CO118" s="300"/>
      <c r="CP118" s="300"/>
      <c r="CQ118" s="300"/>
      <c r="CR118" s="300"/>
      <c r="CS118" s="300"/>
      <c r="CT118" s="300"/>
      <c r="CU118" s="300"/>
      <c r="CV118" s="300"/>
      <c r="CW118" s="300"/>
      <c r="CX118" s="300"/>
      <c r="CY118" s="300"/>
      <c r="CZ118" s="300"/>
      <c r="DA118" s="300"/>
      <c r="DB118" s="300"/>
      <c r="DC118" s="300"/>
      <c r="DD118" s="300"/>
      <c r="DE118" s="300"/>
      <c r="DF118" s="300"/>
      <c r="DG118" s="300"/>
      <c r="DH118" s="300"/>
      <c r="DI118" s="300"/>
      <c r="DJ118" s="300"/>
      <c r="DK118" s="300"/>
      <c r="DL118" s="300"/>
      <c r="DM118" s="300"/>
      <c r="DN118" s="300"/>
      <c r="DO118" s="300"/>
      <c r="DP118" s="300"/>
      <c r="DQ118" s="300"/>
      <c r="DR118" s="300"/>
      <c r="DS118" s="300"/>
      <c r="DT118" s="300"/>
      <c r="DU118" s="300"/>
      <c r="DV118" s="300"/>
      <c r="DW118" s="300"/>
      <c r="DX118" s="300"/>
      <c r="DY118" s="300"/>
      <c r="DZ118" s="300"/>
      <c r="EA118" s="300"/>
      <c r="EB118" s="300"/>
      <c r="EC118" s="300"/>
      <c r="ED118" s="300"/>
      <c r="EE118" s="300"/>
      <c r="EF118" s="300"/>
      <c r="EG118" s="300"/>
      <c r="EH118" s="300"/>
      <c r="EI118" s="300"/>
      <c r="EJ118" s="300"/>
      <c r="EK118" s="300"/>
      <c r="EL118" s="300"/>
      <c r="EM118" s="300"/>
      <c r="EN118" s="300"/>
      <c r="EO118" s="300"/>
      <c r="EP118" s="300"/>
      <c r="EQ118" s="300"/>
    </row>
    <row r="119" spans="17:147" ht="48.75" customHeight="1">
      <c r="Q119" s="300"/>
      <c r="R119" s="300"/>
      <c r="S119" s="300"/>
      <c r="T119" s="300"/>
      <c r="U119" s="300"/>
      <c r="V119" s="300"/>
      <c r="W119" s="300"/>
      <c r="X119" s="300"/>
      <c r="Y119" s="300"/>
      <c r="Z119" s="300"/>
      <c r="AA119" s="300"/>
      <c r="AB119" s="300"/>
      <c r="AC119" s="300"/>
      <c r="AD119" s="300"/>
      <c r="AE119" s="300"/>
      <c r="AF119" s="300"/>
      <c r="AG119" s="300"/>
      <c r="AH119" s="300"/>
      <c r="AI119" s="455"/>
      <c r="AJ119" s="193"/>
      <c r="AK119" s="111"/>
      <c r="AL119" s="1387"/>
      <c r="AM119" s="10"/>
      <c r="AN119" s="10"/>
      <c r="AO119" s="10"/>
      <c r="AP119" s="10"/>
      <c r="AQ119" s="10"/>
      <c r="AR119" s="10"/>
      <c r="AS119" s="111"/>
      <c r="AT119" s="10"/>
      <c r="AU119" s="10"/>
      <c r="AV119" s="10"/>
      <c r="AW119" s="10"/>
      <c r="AX119" s="311"/>
      <c r="AY119" s="10"/>
      <c r="BF119" s="300"/>
      <c r="BG119" s="300"/>
      <c r="BH119" s="300"/>
      <c r="BI119" s="300"/>
    </row>
    <row r="120" spans="17:147" ht="48.75" customHeight="1">
      <c r="Q120" s="300"/>
      <c r="R120" s="300"/>
      <c r="S120" s="300"/>
      <c r="T120" s="300"/>
      <c r="U120" s="300"/>
      <c r="V120" s="300"/>
      <c r="W120" s="300"/>
      <c r="X120" s="300"/>
      <c r="Y120" s="300"/>
      <c r="Z120" s="300"/>
      <c r="AA120" s="300"/>
      <c r="AB120" s="300"/>
      <c r="AC120" s="300"/>
      <c r="AD120" s="300"/>
      <c r="AE120" s="300"/>
      <c r="AF120" s="300"/>
      <c r="AG120" s="300"/>
      <c r="AH120" s="300"/>
      <c r="AI120" s="455"/>
      <c r="AJ120" s="313"/>
      <c r="AK120" s="313"/>
      <c r="AL120" s="313"/>
      <c r="AM120" s="313"/>
      <c r="AN120" s="313"/>
      <c r="AO120" s="313"/>
      <c r="AP120" s="313"/>
      <c r="AQ120" s="313"/>
      <c r="AR120" s="313"/>
      <c r="AS120" s="313"/>
      <c r="AT120" s="313"/>
      <c r="AU120" s="313"/>
      <c r="AV120" s="313"/>
      <c r="AW120" s="313"/>
      <c r="AX120" s="313"/>
      <c r="AY120" s="316"/>
      <c r="BF120" s="300"/>
      <c r="BG120" s="300"/>
      <c r="BH120" s="300"/>
      <c r="BI120" s="300"/>
    </row>
    <row r="121" spans="17:147" ht="48.75" customHeight="1">
      <c r="Q121" s="300"/>
      <c r="R121" s="300"/>
      <c r="S121" s="300"/>
      <c r="T121" s="300"/>
      <c r="U121" s="300"/>
      <c r="V121" s="300"/>
      <c r="W121" s="300"/>
      <c r="X121" s="300"/>
      <c r="Y121" s="300"/>
      <c r="Z121" s="300"/>
      <c r="AA121" s="300"/>
      <c r="AB121" s="300"/>
      <c r="AC121" s="300"/>
      <c r="AD121" s="300"/>
      <c r="AE121" s="300"/>
      <c r="AF121" s="300"/>
      <c r="AG121" s="300"/>
      <c r="AH121" s="300"/>
      <c r="AI121" s="455"/>
      <c r="AJ121" s="193"/>
      <c r="AK121" s="1236" t="s">
        <v>716</v>
      </c>
      <c r="AL121" s="1236"/>
      <c r="AM121" s="126"/>
      <c r="AN121" s="710" t="s">
        <v>720</v>
      </c>
      <c r="AO121" s="1714"/>
      <c r="AP121" s="1714"/>
      <c r="AQ121" s="711"/>
      <c r="AR121" s="126"/>
      <c r="AS121" s="111"/>
      <c r="AT121" s="126"/>
      <c r="AU121" s="1696"/>
      <c r="AV121" s="1696"/>
      <c r="AW121" s="1696"/>
      <c r="AX121" s="1696"/>
      <c r="AY121" s="126"/>
      <c r="BF121" s="300"/>
      <c r="BG121" s="300"/>
      <c r="BH121" s="300"/>
      <c r="BI121" s="300"/>
    </row>
    <row r="122" spans="17:147" ht="48.75" customHeight="1">
      <c r="Q122" s="300"/>
      <c r="R122" s="300"/>
      <c r="S122" s="300"/>
      <c r="T122" s="300"/>
      <c r="U122" s="300"/>
      <c r="V122" s="300"/>
      <c r="W122" s="300"/>
      <c r="X122" s="300"/>
      <c r="Y122" s="300"/>
      <c r="Z122" s="300"/>
      <c r="AA122" s="300"/>
      <c r="AB122" s="300"/>
      <c r="AC122" s="300"/>
      <c r="AD122" s="300"/>
      <c r="AE122" s="300"/>
      <c r="AF122" s="300"/>
      <c r="AG122" s="300"/>
      <c r="AH122" s="300"/>
      <c r="AI122" s="455"/>
      <c r="AJ122" s="193"/>
      <c r="AK122" s="1739" t="s">
        <v>428</v>
      </c>
      <c r="AL122" s="820"/>
      <c r="AM122" s="279">
        <v>2</v>
      </c>
      <c r="AN122" s="279">
        <v>4</v>
      </c>
      <c r="AO122" s="279">
        <v>6</v>
      </c>
      <c r="AP122" s="279">
        <v>8</v>
      </c>
      <c r="AQ122" s="279">
        <v>10</v>
      </c>
      <c r="AR122" s="279">
        <v>12</v>
      </c>
      <c r="AS122" s="111"/>
      <c r="AT122" s="279">
        <v>2</v>
      </c>
      <c r="AU122" s="279">
        <v>4</v>
      </c>
      <c r="AV122" s="279">
        <v>6</v>
      </c>
      <c r="AW122" s="279">
        <v>8</v>
      </c>
      <c r="AX122" s="279">
        <v>10</v>
      </c>
      <c r="AY122" s="279">
        <v>12</v>
      </c>
      <c r="BF122" s="300"/>
      <c r="BG122" s="300"/>
      <c r="BH122" s="300"/>
      <c r="BI122" s="300"/>
    </row>
    <row r="123" spans="17:147" ht="48.75" customHeight="1">
      <c r="Q123" s="300"/>
      <c r="R123" s="300"/>
      <c r="S123" s="300"/>
      <c r="T123" s="300"/>
      <c r="U123" s="300"/>
      <c r="V123" s="300"/>
      <c r="W123" s="300"/>
      <c r="X123" s="300"/>
      <c r="Y123" s="300"/>
      <c r="Z123" s="300"/>
      <c r="AA123" s="300"/>
      <c r="AB123" s="300"/>
      <c r="AC123" s="300"/>
      <c r="AD123" s="300"/>
      <c r="AE123" s="300"/>
      <c r="AF123" s="300"/>
      <c r="AG123" s="300"/>
      <c r="AH123" s="300"/>
      <c r="AI123" s="455"/>
      <c r="AJ123" s="193"/>
      <c r="AK123" s="1236" t="s">
        <v>126</v>
      </c>
      <c r="AL123" s="1236"/>
      <c r="AM123" s="1728" t="s">
        <v>517</v>
      </c>
      <c r="AN123" s="1724"/>
      <c r="AO123" s="1724"/>
      <c r="AP123" s="1724"/>
      <c r="AQ123" s="1724"/>
      <c r="AR123" s="1725"/>
      <c r="AS123" s="111"/>
      <c r="AT123" s="1728" t="s">
        <v>518</v>
      </c>
      <c r="AU123" s="1724"/>
      <c r="AV123" s="1724"/>
      <c r="AW123" s="1724"/>
      <c r="AX123" s="1724"/>
      <c r="AY123" s="1725"/>
      <c r="BF123" s="300"/>
      <c r="BG123" s="300"/>
      <c r="BH123" s="300"/>
      <c r="BI123" s="300"/>
    </row>
    <row r="124" spans="17:147" ht="48.75" customHeight="1">
      <c r="Q124" s="300"/>
      <c r="R124" s="300"/>
      <c r="S124" s="300"/>
      <c r="T124" s="300"/>
      <c r="U124" s="300"/>
      <c r="V124" s="300"/>
      <c r="W124" s="300"/>
      <c r="X124" s="300"/>
      <c r="Y124" s="300"/>
      <c r="Z124" s="300"/>
      <c r="AA124" s="300"/>
      <c r="AB124" s="300"/>
      <c r="AC124" s="300"/>
      <c r="AD124" s="300"/>
      <c r="AE124" s="300"/>
      <c r="AF124" s="300"/>
      <c r="AG124" s="300"/>
      <c r="AH124" s="300"/>
      <c r="AI124" s="455"/>
      <c r="AJ124" s="193"/>
      <c r="AK124" s="111"/>
      <c r="AL124" s="1385" t="s">
        <v>1234</v>
      </c>
      <c r="AM124" s="279">
        <v>1.75</v>
      </c>
      <c r="AN124" s="279">
        <v>1.75</v>
      </c>
      <c r="AO124" s="279">
        <v>1.75</v>
      </c>
      <c r="AP124" s="279">
        <v>1.75</v>
      </c>
      <c r="AQ124" s="279">
        <v>1.75</v>
      </c>
      <c r="AR124" s="279">
        <v>1.75</v>
      </c>
      <c r="AS124" s="111"/>
      <c r="AT124" s="279">
        <v>1.8</v>
      </c>
      <c r="AU124" s="279">
        <v>1.8</v>
      </c>
      <c r="AV124" s="279">
        <v>1.8</v>
      </c>
      <c r="AW124" s="279">
        <v>1.8</v>
      </c>
      <c r="AX124" s="279">
        <v>1.8</v>
      </c>
      <c r="AY124" s="279">
        <v>1.8</v>
      </c>
      <c r="BF124" s="300"/>
      <c r="BG124" s="300"/>
      <c r="BH124" s="300"/>
      <c r="BI124" s="300"/>
    </row>
    <row r="125" spans="17:147" ht="48.75" customHeight="1">
      <c r="Q125" s="300"/>
      <c r="R125" s="300"/>
      <c r="S125" s="300"/>
      <c r="T125" s="300"/>
      <c r="U125" s="300"/>
      <c r="V125" s="300"/>
      <c r="W125" s="300"/>
      <c r="X125" s="300"/>
      <c r="Y125" s="300"/>
      <c r="Z125" s="300"/>
      <c r="AA125" s="300"/>
      <c r="AB125" s="300"/>
      <c r="AC125" s="300"/>
      <c r="AD125" s="300"/>
      <c r="AE125" s="300"/>
      <c r="AF125" s="300"/>
      <c r="AG125" s="300"/>
      <c r="AH125" s="300"/>
      <c r="AI125" s="455"/>
      <c r="AJ125" s="193"/>
      <c r="AK125" s="111"/>
      <c r="AL125" s="1385"/>
      <c r="AM125" s="279">
        <v>1.76</v>
      </c>
      <c r="AN125" s="279">
        <v>1.76</v>
      </c>
      <c r="AO125" s="279">
        <v>1.76</v>
      </c>
      <c r="AP125" s="279">
        <v>1.76</v>
      </c>
      <c r="AQ125" s="279">
        <v>1.76</v>
      </c>
      <c r="AR125" s="279">
        <v>1.76</v>
      </c>
      <c r="AS125" s="111"/>
      <c r="AT125" s="279">
        <v>1.81</v>
      </c>
      <c r="AU125" s="279">
        <v>1.81</v>
      </c>
      <c r="AV125" s="279">
        <v>1.81</v>
      </c>
      <c r="AW125" s="279">
        <v>1.81</v>
      </c>
      <c r="AX125" s="279">
        <v>1.81</v>
      </c>
      <c r="AY125" s="279">
        <v>1.81</v>
      </c>
      <c r="BF125" s="300"/>
      <c r="BG125" s="300"/>
      <c r="BH125" s="300"/>
      <c r="BI125" s="300"/>
    </row>
    <row r="126" spans="17:147" ht="48.75" customHeight="1">
      <c r="Q126" s="300"/>
      <c r="R126" s="300"/>
      <c r="S126" s="300"/>
      <c r="T126" s="300"/>
      <c r="U126" s="300"/>
      <c r="V126" s="300"/>
      <c r="W126" s="300"/>
      <c r="X126" s="300"/>
      <c r="Y126" s="300"/>
      <c r="Z126" s="300"/>
      <c r="AA126" s="300"/>
      <c r="AB126" s="300"/>
      <c r="AC126" s="300"/>
      <c r="AD126" s="300"/>
      <c r="AE126" s="300"/>
      <c r="AF126" s="300"/>
      <c r="AG126" s="300"/>
      <c r="AH126" s="300"/>
      <c r="AI126" s="455"/>
      <c r="AJ126" s="193"/>
      <c r="AK126" s="111"/>
      <c r="AL126" s="1385"/>
      <c r="AM126" s="279">
        <v>1.77</v>
      </c>
      <c r="AN126" s="279">
        <v>1.77</v>
      </c>
      <c r="AO126" s="279">
        <v>1.77</v>
      </c>
      <c r="AP126" s="279">
        <v>1.77</v>
      </c>
      <c r="AQ126" s="279">
        <v>1.77</v>
      </c>
      <c r="AR126" s="279">
        <v>1.77</v>
      </c>
      <c r="AS126" s="111"/>
      <c r="AT126" s="279">
        <v>1.82</v>
      </c>
      <c r="AU126" s="279">
        <v>1.82</v>
      </c>
      <c r="AV126" s="279">
        <v>1.82</v>
      </c>
      <c r="AW126" s="279">
        <v>1.82</v>
      </c>
      <c r="AX126" s="279">
        <v>1.82</v>
      </c>
      <c r="AY126" s="279">
        <v>1.82</v>
      </c>
      <c r="BF126" s="300"/>
      <c r="BG126" s="300"/>
      <c r="BH126" s="300"/>
      <c r="BI126" s="300"/>
    </row>
    <row r="127" spans="17:147" ht="48.75" customHeight="1">
      <c r="Q127" s="300"/>
      <c r="R127" s="300"/>
      <c r="S127" s="300"/>
      <c r="T127" s="300"/>
      <c r="U127" s="300"/>
      <c r="V127" s="300"/>
      <c r="W127" s="300"/>
      <c r="X127" s="300"/>
      <c r="Y127" s="300"/>
      <c r="Z127" s="300"/>
      <c r="AA127" s="300"/>
      <c r="AB127" s="300"/>
      <c r="AC127" s="300"/>
      <c r="AD127" s="300"/>
      <c r="AE127" s="300"/>
      <c r="AF127" s="300"/>
      <c r="AG127" s="300"/>
      <c r="AH127" s="300"/>
      <c r="AI127" s="455"/>
      <c r="AJ127" s="193"/>
      <c r="AK127" s="111"/>
      <c r="AL127" s="1385"/>
      <c r="AM127" s="279">
        <v>1.78</v>
      </c>
      <c r="AN127" s="279">
        <v>1.78</v>
      </c>
      <c r="AO127" s="279">
        <v>1.78</v>
      </c>
      <c r="AP127" s="279">
        <v>1.78</v>
      </c>
      <c r="AQ127" s="279">
        <v>1.78</v>
      </c>
      <c r="AR127" s="279">
        <v>1.78</v>
      </c>
      <c r="AS127" s="111"/>
      <c r="AT127" s="279">
        <v>1.83</v>
      </c>
      <c r="AU127" s="279">
        <v>1.83</v>
      </c>
      <c r="AV127" s="279">
        <v>1.83</v>
      </c>
      <c r="AW127" s="279">
        <v>1.83</v>
      </c>
      <c r="AX127" s="279">
        <v>1.83</v>
      </c>
      <c r="AY127" s="279">
        <v>1.83</v>
      </c>
      <c r="BF127" s="300"/>
      <c r="BG127" s="300"/>
      <c r="BH127" s="300"/>
      <c r="BI127" s="300"/>
    </row>
    <row r="128" spans="17:147" ht="48.75" customHeight="1">
      <c r="Q128" s="300"/>
      <c r="R128" s="300"/>
      <c r="S128" s="300"/>
      <c r="T128" s="300"/>
      <c r="U128" s="300"/>
      <c r="V128" s="300"/>
      <c r="W128" s="300"/>
      <c r="Y128" s="300"/>
      <c r="Z128" s="300"/>
      <c r="AA128" s="300"/>
      <c r="AB128" s="300"/>
      <c r="AC128" s="300"/>
      <c r="AD128" s="300"/>
      <c r="AE128" s="300"/>
      <c r="AF128" s="300"/>
      <c r="AG128" s="300"/>
      <c r="AH128" s="300"/>
      <c r="AI128" s="455"/>
      <c r="AJ128" s="193"/>
      <c r="AK128" s="111"/>
      <c r="AL128" s="1385"/>
      <c r="AM128" s="279">
        <v>1.79</v>
      </c>
      <c r="AN128" s="279">
        <v>1.79</v>
      </c>
      <c r="AO128" s="279">
        <v>1.79</v>
      </c>
      <c r="AP128" s="279">
        <v>1.79</v>
      </c>
      <c r="AQ128" s="279">
        <v>1.79</v>
      </c>
      <c r="AR128" s="279">
        <v>1.79</v>
      </c>
      <c r="AS128" s="111"/>
      <c r="AT128" s="279">
        <v>1.84</v>
      </c>
      <c r="AU128" s="279">
        <v>1.84</v>
      </c>
      <c r="AV128" s="279">
        <v>1.84</v>
      </c>
      <c r="AW128" s="279">
        <v>1.84</v>
      </c>
      <c r="AX128" s="279">
        <v>1.84</v>
      </c>
      <c r="AY128" s="279">
        <v>1.84</v>
      </c>
      <c r="BF128" s="300"/>
      <c r="BG128" s="300"/>
      <c r="BH128" s="300"/>
      <c r="BI128" s="300"/>
    </row>
    <row r="129" spans="2:61" ht="48.75" customHeight="1">
      <c r="Q129" s="300"/>
      <c r="R129" s="300"/>
      <c r="S129" s="300"/>
      <c r="T129" s="300"/>
      <c r="U129" s="300"/>
      <c r="V129" s="300"/>
      <c r="W129" s="300"/>
      <c r="X129" s="300"/>
      <c r="Y129" s="300"/>
      <c r="Z129" s="300"/>
      <c r="AA129" s="300"/>
      <c r="AB129" s="300"/>
      <c r="AC129" s="300"/>
      <c r="AD129" s="300"/>
      <c r="AE129" s="300"/>
      <c r="AF129" s="300"/>
      <c r="AG129" s="300"/>
      <c r="AH129" s="300"/>
      <c r="AI129" s="455"/>
      <c r="AJ129" s="193"/>
      <c r="AK129" s="111"/>
      <c r="AL129" s="1385"/>
      <c r="AM129" s="279">
        <v>1.8</v>
      </c>
      <c r="AN129" s="279">
        <v>1.8</v>
      </c>
      <c r="AO129" s="279">
        <v>1.8</v>
      </c>
      <c r="AP129" s="279">
        <v>1.8</v>
      </c>
      <c r="AQ129" s="279">
        <v>1.8</v>
      </c>
      <c r="AR129" s="279">
        <v>1.8</v>
      </c>
      <c r="AS129" s="111"/>
      <c r="AT129" s="279">
        <v>1.85</v>
      </c>
      <c r="AU129" s="279">
        <v>1.85</v>
      </c>
      <c r="AV129" s="279">
        <v>1.85</v>
      </c>
      <c r="AW129" s="279">
        <v>1.85</v>
      </c>
      <c r="AX129" s="279">
        <v>1.85</v>
      </c>
      <c r="AY129" s="279">
        <v>1.85</v>
      </c>
      <c r="BF129" s="300"/>
      <c r="BG129" s="300"/>
      <c r="BH129" s="300"/>
      <c r="BI129" s="300"/>
    </row>
    <row r="130" spans="2:61" ht="48.75" customHeight="1">
      <c r="P130" s="300"/>
      <c r="Q130" s="300"/>
      <c r="R130" s="300"/>
      <c r="S130" s="300"/>
      <c r="T130" s="300"/>
      <c r="U130" s="300"/>
      <c r="V130" s="300"/>
      <c r="W130" s="300"/>
      <c r="X130" s="300"/>
      <c r="Y130" s="300"/>
      <c r="Z130" s="300"/>
      <c r="AA130" s="300"/>
      <c r="AB130" s="300"/>
      <c r="AC130" s="300"/>
      <c r="AD130" s="300"/>
      <c r="AE130" s="300"/>
      <c r="AF130" s="300"/>
      <c r="AG130" s="300"/>
      <c r="AH130" s="300"/>
      <c r="AI130" s="455"/>
      <c r="AJ130" s="193"/>
      <c r="AK130" s="111"/>
      <c r="AL130" s="1385"/>
      <c r="AM130" s="279">
        <v>1.81</v>
      </c>
      <c r="AN130" s="279">
        <v>1.81</v>
      </c>
      <c r="AO130" s="279">
        <v>1.81</v>
      </c>
      <c r="AP130" s="279">
        <v>1.81</v>
      </c>
      <c r="AQ130" s="279">
        <v>1.81</v>
      </c>
      <c r="AR130" s="279">
        <v>1.81</v>
      </c>
      <c r="AS130" s="111"/>
      <c r="AT130" s="279">
        <v>1.86</v>
      </c>
      <c r="AU130" s="279">
        <v>1.86</v>
      </c>
      <c r="AV130" s="279">
        <v>1.86</v>
      </c>
      <c r="AW130" s="279">
        <v>1.86</v>
      </c>
      <c r="AX130" s="279">
        <v>1.86</v>
      </c>
      <c r="AY130" s="279">
        <v>1.86</v>
      </c>
      <c r="BF130" s="300"/>
      <c r="BG130" s="300"/>
      <c r="BH130" s="300"/>
      <c r="BI130" s="300"/>
    </row>
    <row r="131" spans="2:61" ht="48.75" customHeight="1">
      <c r="P131" s="300"/>
      <c r="Q131" s="300"/>
      <c r="R131" s="300"/>
      <c r="S131" s="300"/>
      <c r="T131" s="300"/>
      <c r="U131" s="300"/>
      <c r="V131" s="300"/>
      <c r="W131" s="300"/>
      <c r="X131" s="300"/>
      <c r="Y131" s="300"/>
      <c r="Z131" s="300"/>
      <c r="AA131" s="300"/>
      <c r="AB131" s="300"/>
      <c r="AC131" s="300"/>
      <c r="AD131" s="300"/>
      <c r="AE131" s="300"/>
      <c r="AF131" s="300"/>
      <c r="AG131" s="300"/>
      <c r="AH131" s="300"/>
      <c r="AI131" s="455"/>
      <c r="AJ131" s="193"/>
      <c r="AK131" s="111"/>
      <c r="AL131" s="1385"/>
      <c r="AM131" s="279">
        <v>1.82</v>
      </c>
      <c r="AN131" s="279">
        <v>1.82</v>
      </c>
      <c r="AO131" s="279">
        <v>1.82</v>
      </c>
      <c r="AP131" s="279">
        <v>1.82</v>
      </c>
      <c r="AQ131" s="279">
        <v>1.82</v>
      </c>
      <c r="AR131" s="279">
        <v>1.82</v>
      </c>
      <c r="AS131" s="111"/>
      <c r="AT131" s="279">
        <v>1.87</v>
      </c>
      <c r="AU131" s="279">
        <v>1.87</v>
      </c>
      <c r="AV131" s="279">
        <v>1.87</v>
      </c>
      <c r="AW131" s="279">
        <v>1.87</v>
      </c>
      <c r="AX131" s="279">
        <v>1.87</v>
      </c>
      <c r="AY131" s="279">
        <v>1.87</v>
      </c>
      <c r="BF131" s="300"/>
      <c r="BG131" s="300"/>
      <c r="BH131" s="300"/>
      <c r="BI131" s="300"/>
    </row>
    <row r="132" spans="2:61" ht="48.75" customHeight="1">
      <c r="P132" s="300"/>
      <c r="Q132" s="300"/>
      <c r="R132" s="300"/>
      <c r="S132" s="300"/>
      <c r="T132" s="300"/>
      <c r="U132" s="300"/>
      <c r="V132" s="300"/>
      <c r="W132" s="300"/>
      <c r="X132" s="300"/>
      <c r="Y132" s="300"/>
      <c r="Z132" s="300"/>
      <c r="AA132" s="300"/>
      <c r="AB132" s="300"/>
      <c r="AC132" s="300"/>
      <c r="AD132" s="300"/>
      <c r="AE132" s="300"/>
      <c r="AF132" s="300"/>
      <c r="AG132" s="300"/>
      <c r="AH132" s="300"/>
      <c r="AI132" s="455"/>
      <c r="AJ132" s="193"/>
      <c r="AK132" s="111"/>
      <c r="AL132" s="1385"/>
      <c r="AM132" s="279">
        <v>1.83</v>
      </c>
      <c r="AN132" s="279">
        <v>1.83</v>
      </c>
      <c r="AO132" s="279">
        <v>1.83</v>
      </c>
      <c r="AP132" s="279">
        <v>1.83</v>
      </c>
      <c r="AQ132" s="279">
        <v>1.83</v>
      </c>
      <c r="AR132" s="279">
        <v>1.83</v>
      </c>
      <c r="AS132" s="111"/>
      <c r="AT132" s="279">
        <v>1.88</v>
      </c>
      <c r="AU132" s="279">
        <v>1.88</v>
      </c>
      <c r="AV132" s="279">
        <v>1.88</v>
      </c>
      <c r="AW132" s="279">
        <v>1.88</v>
      </c>
      <c r="AX132" s="279">
        <v>1.88</v>
      </c>
      <c r="AY132" s="279">
        <v>1.88</v>
      </c>
      <c r="BF132" s="300"/>
      <c r="BG132" s="300"/>
      <c r="BH132" s="300"/>
      <c r="BI132" s="300"/>
    </row>
    <row r="133" spans="2:61" ht="48.75" customHeight="1">
      <c r="B133" s="1728" t="s">
        <v>553</v>
      </c>
      <c r="C133" s="1724"/>
      <c r="D133" s="1724"/>
      <c r="E133" s="1724"/>
      <c r="F133" s="1724"/>
      <c r="G133" s="1724"/>
      <c r="H133" s="1724"/>
      <c r="I133" s="1724"/>
      <c r="J133" s="1724"/>
      <c r="K133" s="1724"/>
      <c r="L133" s="1725"/>
      <c r="M133" s="1073"/>
      <c r="P133" s="300"/>
      <c r="Q133" s="300"/>
      <c r="R133" s="300"/>
      <c r="S133" s="300"/>
      <c r="T133" s="300"/>
      <c r="U133" s="300"/>
      <c r="V133" s="300"/>
      <c r="W133" s="300"/>
      <c r="X133" s="300"/>
      <c r="Y133" s="300"/>
      <c r="Z133" s="300"/>
      <c r="AA133" s="300"/>
      <c r="AB133" s="300"/>
      <c r="AC133" s="300"/>
      <c r="AD133" s="300"/>
      <c r="AE133" s="300"/>
      <c r="AF133" s="300"/>
      <c r="AG133" s="300"/>
      <c r="AH133" s="300"/>
      <c r="AI133" s="455"/>
      <c r="AJ133" s="193"/>
      <c r="AK133" s="111"/>
      <c r="AL133" s="1385"/>
      <c r="AM133" s="279">
        <v>1.84</v>
      </c>
      <c r="AN133" s="279">
        <v>1.84</v>
      </c>
      <c r="AO133" s="279">
        <v>1.84</v>
      </c>
      <c r="AP133" s="279">
        <v>1.84</v>
      </c>
      <c r="AQ133" s="279">
        <v>1.84</v>
      </c>
      <c r="AR133" s="279">
        <v>1.84</v>
      </c>
      <c r="AS133" s="111"/>
      <c r="AT133" s="279">
        <v>1.89</v>
      </c>
      <c r="AU133" s="279">
        <v>1.89</v>
      </c>
      <c r="AV133" s="279">
        <v>1.89</v>
      </c>
      <c r="AW133" s="279">
        <v>1.89</v>
      </c>
      <c r="AX133" s="279">
        <v>1.89</v>
      </c>
      <c r="AY133" s="279">
        <v>1.89</v>
      </c>
      <c r="BF133" s="300"/>
      <c r="BG133" s="300"/>
      <c r="BH133" s="300"/>
      <c r="BI133" s="300"/>
    </row>
    <row r="134" spans="2:61" ht="48.75" customHeight="1">
      <c r="B134" s="1729"/>
      <c r="C134" s="1726"/>
      <c r="D134" s="1726"/>
      <c r="E134" s="1726"/>
      <c r="F134" s="1726"/>
      <c r="G134" s="1726"/>
      <c r="H134" s="1726"/>
      <c r="I134" s="1726"/>
      <c r="J134" s="1726"/>
      <c r="K134" s="1726"/>
      <c r="L134" s="1727"/>
      <c r="M134" s="1072"/>
      <c r="P134" s="300"/>
      <c r="Q134" s="300"/>
      <c r="R134" s="300"/>
      <c r="S134" s="300"/>
      <c r="T134" s="300"/>
      <c r="U134" s="300"/>
      <c r="V134" s="300"/>
      <c r="W134" s="300"/>
      <c r="X134" s="300"/>
      <c r="Y134" s="300"/>
      <c r="Z134" s="300"/>
      <c r="AA134" s="300"/>
      <c r="AB134" s="300"/>
      <c r="AC134" s="300"/>
      <c r="AD134" s="300"/>
      <c r="AE134" s="300"/>
      <c r="AF134" s="300"/>
      <c r="AG134" s="300"/>
      <c r="AH134" s="300"/>
      <c r="AI134" s="455"/>
      <c r="AJ134" s="193"/>
      <c r="AK134" s="111"/>
      <c r="AL134" s="1385"/>
      <c r="AM134" s="279">
        <v>1.85</v>
      </c>
      <c r="AN134" s="279">
        <v>1.85</v>
      </c>
      <c r="AO134" s="279">
        <v>1.85</v>
      </c>
      <c r="AP134" s="279">
        <v>1.85</v>
      </c>
      <c r="AQ134" s="279">
        <v>1.85</v>
      </c>
      <c r="AR134" s="279">
        <v>1.85</v>
      </c>
      <c r="AS134" s="111"/>
      <c r="AT134" s="279">
        <v>1.9</v>
      </c>
      <c r="AU134" s="279">
        <v>1.9</v>
      </c>
      <c r="AV134" s="279">
        <v>1.9</v>
      </c>
      <c r="AW134" s="279">
        <v>1.9</v>
      </c>
      <c r="AX134" s="279">
        <v>1.9</v>
      </c>
      <c r="AY134" s="279">
        <v>1.9</v>
      </c>
      <c r="BF134" s="300"/>
      <c r="BG134" s="300"/>
      <c r="BH134" s="300"/>
      <c r="BI134" s="300"/>
    </row>
    <row r="135" spans="2:61" ht="48.75" customHeight="1">
      <c r="B135" s="1385" t="s">
        <v>539</v>
      </c>
      <c r="C135" s="1796" t="s">
        <v>551</v>
      </c>
      <c r="D135" s="1385" t="s">
        <v>540</v>
      </c>
      <c r="E135" s="1385" t="s">
        <v>105</v>
      </c>
      <c r="F135" s="1385"/>
      <c r="G135" s="1385"/>
      <c r="H135" s="1385" t="s">
        <v>541</v>
      </c>
      <c r="I135" s="1385"/>
      <c r="J135" s="1385"/>
      <c r="K135" s="1385" t="s">
        <v>542</v>
      </c>
      <c r="L135" s="1385"/>
      <c r="M135" s="1385"/>
      <c r="P135" s="300"/>
      <c r="Q135" s="300"/>
      <c r="R135" s="300"/>
      <c r="S135" s="300"/>
      <c r="T135" s="300"/>
      <c r="U135" s="300"/>
      <c r="V135" s="300"/>
      <c r="W135" s="300"/>
      <c r="X135" s="300"/>
      <c r="Y135" s="300"/>
      <c r="Z135" s="300"/>
      <c r="AA135" s="300"/>
      <c r="AB135" s="300"/>
      <c r="AC135" s="300"/>
      <c r="AD135" s="300"/>
      <c r="AE135" s="300"/>
      <c r="AF135" s="300"/>
      <c r="AG135" s="300"/>
      <c r="AH135" s="300"/>
      <c r="AI135" s="455"/>
      <c r="AJ135" s="193"/>
      <c r="AK135" s="111"/>
      <c r="AL135" s="1385"/>
      <c r="AM135" s="275" t="s">
        <v>442</v>
      </c>
      <c r="AN135" s="275" t="s">
        <v>442</v>
      </c>
      <c r="AO135" s="275" t="s">
        <v>442</v>
      </c>
      <c r="AP135" s="275" t="s">
        <v>442</v>
      </c>
      <c r="AQ135" s="275" t="s">
        <v>442</v>
      </c>
      <c r="AR135" s="275" t="s">
        <v>442</v>
      </c>
      <c r="AS135" s="111"/>
      <c r="AT135" s="279">
        <v>1.91</v>
      </c>
      <c r="AU135" s="279">
        <v>1.91</v>
      </c>
      <c r="AV135" s="279">
        <v>1.91</v>
      </c>
      <c r="AW135" s="279">
        <v>1.91</v>
      </c>
      <c r="AX135" s="279">
        <v>1.91</v>
      </c>
      <c r="AY135" s="279">
        <v>1.91</v>
      </c>
      <c r="BF135" s="300"/>
      <c r="BG135" s="300"/>
      <c r="BH135" s="300"/>
      <c r="BI135" s="300"/>
    </row>
    <row r="136" spans="2:61" ht="48.75" customHeight="1">
      <c r="B136" s="1385"/>
      <c r="C136" s="1796"/>
      <c r="D136" s="1385"/>
      <c r="E136" s="1385" t="s">
        <v>543</v>
      </c>
      <c r="F136" s="1385"/>
      <c r="G136" s="1812" t="s">
        <v>552</v>
      </c>
      <c r="H136" s="1385" t="s">
        <v>543</v>
      </c>
      <c r="I136" s="1385"/>
      <c r="J136" s="1812" t="s">
        <v>552</v>
      </c>
      <c r="K136" s="1385" t="s">
        <v>543</v>
      </c>
      <c r="L136" s="1385"/>
      <c r="M136" s="1812" t="s">
        <v>552</v>
      </c>
      <c r="P136" s="300"/>
      <c r="Q136" s="300"/>
      <c r="R136" s="300"/>
      <c r="S136" s="300"/>
      <c r="T136" s="300"/>
      <c r="U136" s="300"/>
      <c r="V136" s="300"/>
      <c r="W136" s="300"/>
      <c r="X136" s="300"/>
      <c r="Y136" s="300"/>
      <c r="Z136" s="300"/>
      <c r="AA136" s="300"/>
      <c r="AB136" s="300"/>
      <c r="AC136" s="300"/>
      <c r="AD136" s="300"/>
      <c r="AE136" s="300"/>
      <c r="AF136" s="300"/>
      <c r="AG136" s="300"/>
      <c r="AH136" s="300"/>
      <c r="AI136" s="455"/>
      <c r="AJ136" s="193"/>
      <c r="AK136" s="111"/>
      <c r="AL136" s="1385"/>
      <c r="AM136" s="275" t="s">
        <v>442</v>
      </c>
      <c r="AN136" s="275" t="s">
        <v>442</v>
      </c>
      <c r="AO136" s="275" t="s">
        <v>442</v>
      </c>
      <c r="AP136" s="275" t="s">
        <v>442</v>
      </c>
      <c r="AQ136" s="275" t="s">
        <v>442</v>
      </c>
      <c r="AR136" s="275" t="s">
        <v>442</v>
      </c>
      <c r="AS136" s="111"/>
      <c r="AT136" s="279">
        <v>1.92</v>
      </c>
      <c r="AU136" s="279">
        <v>1.92</v>
      </c>
      <c r="AV136" s="279">
        <v>1.92</v>
      </c>
      <c r="AW136" s="279">
        <v>1.92</v>
      </c>
      <c r="AX136" s="279">
        <v>1.92</v>
      </c>
      <c r="AY136" s="279">
        <v>1.92</v>
      </c>
      <c r="BF136" s="300"/>
      <c r="BG136" s="300"/>
      <c r="BH136" s="300"/>
      <c r="BI136" s="300"/>
    </row>
    <row r="137" spans="2:61" ht="48.75" customHeight="1">
      <c r="B137" s="1385"/>
      <c r="C137" s="1796"/>
      <c r="D137" s="1385"/>
      <c r="E137" s="1385"/>
      <c r="F137" s="1385"/>
      <c r="G137" s="1812"/>
      <c r="H137" s="1385"/>
      <c r="I137" s="1385"/>
      <c r="J137" s="1812"/>
      <c r="K137" s="1385"/>
      <c r="L137" s="1385"/>
      <c r="M137" s="1812"/>
      <c r="P137" s="300"/>
      <c r="Q137" s="300"/>
      <c r="R137" s="300"/>
      <c r="S137" s="300"/>
      <c r="T137" s="300"/>
      <c r="U137" s="300"/>
      <c r="V137" s="300"/>
      <c r="W137" s="300"/>
      <c r="X137" s="300"/>
      <c r="Y137" s="300"/>
      <c r="Z137" s="300"/>
      <c r="AA137" s="300"/>
      <c r="AB137" s="300"/>
      <c r="AC137" s="300"/>
      <c r="AD137" s="300"/>
      <c r="AE137" s="300"/>
      <c r="AF137" s="300"/>
      <c r="AG137" s="300"/>
      <c r="AH137" s="300"/>
      <c r="AI137" s="455"/>
      <c r="AJ137" s="193"/>
      <c r="AK137" s="111"/>
      <c r="AL137" s="1385"/>
      <c r="AM137" s="275" t="s">
        <v>442</v>
      </c>
      <c r="AN137" s="275" t="s">
        <v>442</v>
      </c>
      <c r="AO137" s="275" t="s">
        <v>442</v>
      </c>
      <c r="AP137" s="128" t="s">
        <v>442</v>
      </c>
      <c r="AQ137" s="275" t="s">
        <v>442</v>
      </c>
      <c r="AR137" s="128" t="s">
        <v>442</v>
      </c>
      <c r="AS137" s="111"/>
      <c r="AT137" s="279">
        <v>1.93</v>
      </c>
      <c r="AU137" s="279">
        <v>1.93</v>
      </c>
      <c r="AV137" s="279">
        <v>1.93</v>
      </c>
      <c r="AW137" s="279">
        <v>1.93</v>
      </c>
      <c r="AX137" s="279">
        <v>1.93</v>
      </c>
      <c r="AY137" s="279">
        <v>1.93</v>
      </c>
      <c r="BF137" s="300"/>
      <c r="BG137" s="300"/>
      <c r="BH137" s="300"/>
      <c r="BI137" s="300"/>
    </row>
    <row r="138" spans="2:61" ht="48.75" customHeight="1">
      <c r="B138" s="279" t="s">
        <v>544</v>
      </c>
      <c r="C138" s="279" t="s">
        <v>545</v>
      </c>
      <c r="D138" s="279">
        <v>2013</v>
      </c>
      <c r="E138" s="1385" t="s">
        <v>546</v>
      </c>
      <c r="F138" s="1385"/>
      <c r="G138" s="279">
        <v>0.97</v>
      </c>
      <c r="H138" s="1385" t="s">
        <v>546</v>
      </c>
      <c r="I138" s="1385"/>
      <c r="J138" s="279">
        <v>0.97</v>
      </c>
      <c r="K138" s="1385" t="s">
        <v>194</v>
      </c>
      <c r="L138" s="1385"/>
      <c r="M138" s="279" t="s">
        <v>194</v>
      </c>
      <c r="P138" s="300"/>
      <c r="Q138" s="300"/>
      <c r="R138" s="300"/>
      <c r="S138" s="300"/>
      <c r="T138" s="300"/>
      <c r="U138" s="300"/>
      <c r="V138" s="300"/>
      <c r="W138" s="300"/>
      <c r="X138" s="300"/>
      <c r="Y138" s="300"/>
      <c r="Z138" s="300"/>
      <c r="AA138" s="300"/>
      <c r="AB138" s="300"/>
      <c r="AC138" s="300"/>
      <c r="AD138" s="300"/>
      <c r="AE138" s="300"/>
      <c r="AF138" s="300"/>
      <c r="AG138" s="300"/>
      <c r="AH138" s="300"/>
      <c r="AI138" s="455"/>
      <c r="AJ138" s="193"/>
      <c r="AK138" s="111"/>
      <c r="AL138" s="1385"/>
      <c r="AM138" s="275" t="s">
        <v>442</v>
      </c>
      <c r="AN138" s="275" t="s">
        <v>442</v>
      </c>
      <c r="AO138" s="275" t="s">
        <v>442</v>
      </c>
      <c r="AP138" s="275" t="s">
        <v>442</v>
      </c>
      <c r="AQ138" s="275" t="s">
        <v>442</v>
      </c>
      <c r="AR138" s="275" t="s">
        <v>442</v>
      </c>
      <c r="AS138" s="111"/>
      <c r="AT138" s="279">
        <v>1.94</v>
      </c>
      <c r="AU138" s="279">
        <v>1.94</v>
      </c>
      <c r="AV138" s="279">
        <v>1.94</v>
      </c>
      <c r="AW138" s="279">
        <v>1.94</v>
      </c>
      <c r="AX138" s="279">
        <v>1.94</v>
      </c>
      <c r="AY138" s="279">
        <v>1.94</v>
      </c>
      <c r="BF138" s="300"/>
      <c r="BG138" s="300"/>
      <c r="BH138" s="300"/>
      <c r="BI138" s="300"/>
    </row>
    <row r="139" spans="2:61" ht="48.75" customHeight="1">
      <c r="B139" s="279" t="s">
        <v>547</v>
      </c>
      <c r="C139" s="279" t="s">
        <v>545</v>
      </c>
      <c r="D139" s="279">
        <v>2312</v>
      </c>
      <c r="E139" s="1385" t="s">
        <v>548</v>
      </c>
      <c r="F139" s="1385"/>
      <c r="G139" s="279">
        <v>0.95</v>
      </c>
      <c r="H139" s="1385" t="s">
        <v>549</v>
      </c>
      <c r="I139" s="1385"/>
      <c r="J139" s="279">
        <v>0.97</v>
      </c>
      <c r="K139" s="1385" t="s">
        <v>548</v>
      </c>
      <c r="L139" s="1385"/>
      <c r="M139" s="279">
        <v>0.95</v>
      </c>
      <c r="P139" s="300"/>
      <c r="Q139" s="300"/>
      <c r="R139" s="300"/>
      <c r="S139" s="300"/>
      <c r="T139" s="300"/>
      <c r="U139" s="300"/>
      <c r="V139" s="300"/>
      <c r="W139" s="300"/>
      <c r="X139" s="300"/>
      <c r="Y139" s="300"/>
      <c r="Z139" s="300"/>
      <c r="AA139" s="300"/>
      <c r="AB139" s="300"/>
      <c r="AC139" s="300"/>
      <c r="AD139" s="300"/>
      <c r="AE139" s="300"/>
      <c r="AF139" s="300"/>
      <c r="AG139" s="300"/>
      <c r="AH139" s="300"/>
      <c r="AI139" s="455"/>
      <c r="AJ139" s="193"/>
      <c r="AK139" s="111"/>
      <c r="AL139" s="1385"/>
      <c r="AM139" s="275" t="s">
        <v>442</v>
      </c>
      <c r="AN139" s="275" t="s">
        <v>442</v>
      </c>
      <c r="AO139" s="275" t="s">
        <v>442</v>
      </c>
      <c r="AP139" s="275" t="s">
        <v>442</v>
      </c>
      <c r="AQ139" s="275" t="s">
        <v>442</v>
      </c>
      <c r="AR139" s="275" t="s">
        <v>442</v>
      </c>
      <c r="AS139" s="111"/>
      <c r="AT139" s="279">
        <v>1.95</v>
      </c>
      <c r="AU139" s="279">
        <v>1.95</v>
      </c>
      <c r="AV139" s="279">
        <v>1.95</v>
      </c>
      <c r="AW139" s="279">
        <v>1.95</v>
      </c>
      <c r="AX139" s="279">
        <v>1.95</v>
      </c>
      <c r="AY139" s="279">
        <v>1.95</v>
      </c>
      <c r="BF139" s="300"/>
      <c r="BG139" s="300"/>
      <c r="BH139" s="300"/>
      <c r="BI139" s="300"/>
    </row>
    <row r="140" spans="2:61" ht="48.75" customHeight="1">
      <c r="B140" s="279" t="s">
        <v>550</v>
      </c>
      <c r="C140" s="279">
        <v>6000</v>
      </c>
      <c r="D140" s="279">
        <v>2411</v>
      </c>
      <c r="E140" s="1385" t="s">
        <v>548</v>
      </c>
      <c r="F140" s="1385"/>
      <c r="G140" s="279">
        <v>0.95</v>
      </c>
      <c r="H140" s="1385" t="s">
        <v>548</v>
      </c>
      <c r="I140" s="1385"/>
      <c r="J140" s="279">
        <v>0.95</v>
      </c>
      <c r="K140" s="1385" t="s">
        <v>548</v>
      </c>
      <c r="L140" s="1385"/>
      <c r="M140" s="279">
        <v>0.95</v>
      </c>
      <c r="Q140" s="300"/>
      <c r="R140" s="300"/>
      <c r="S140" s="300"/>
      <c r="T140" s="300"/>
      <c r="U140" s="300"/>
      <c r="V140" s="300"/>
      <c r="W140" s="300"/>
      <c r="X140" s="300"/>
      <c r="Y140" s="300"/>
      <c r="Z140" s="300"/>
      <c r="AA140" s="300"/>
      <c r="AB140" s="300"/>
      <c r="AC140" s="300"/>
      <c r="AD140" s="300"/>
      <c r="AE140" s="300"/>
      <c r="AF140" s="300"/>
      <c r="AG140" s="300"/>
      <c r="AH140" s="300"/>
      <c r="AI140" s="455"/>
      <c r="AJ140" s="313"/>
      <c r="AK140" s="313"/>
      <c r="AL140" s="313"/>
      <c r="AM140" s="313"/>
      <c r="AN140" s="313"/>
      <c r="AO140" s="313"/>
      <c r="AP140" s="313"/>
      <c r="AQ140" s="313"/>
      <c r="AR140" s="313"/>
      <c r="AS140" s="313"/>
      <c r="AT140" s="313"/>
      <c r="AU140" s="313"/>
      <c r="AV140" s="313"/>
      <c r="AW140" s="313"/>
      <c r="AX140" s="313"/>
      <c r="AY140" s="316"/>
      <c r="BF140" s="300"/>
      <c r="BG140" s="300"/>
      <c r="BH140" s="300"/>
      <c r="BI140" s="300"/>
    </row>
    <row r="141" spans="2:61" ht="48.75" customHeight="1">
      <c r="Q141" s="300"/>
      <c r="R141" s="300"/>
      <c r="S141" s="300"/>
      <c r="T141" s="300"/>
      <c r="U141" s="300"/>
      <c r="V141" s="300"/>
      <c r="W141" s="300"/>
      <c r="X141" s="300"/>
      <c r="Y141" s="300"/>
      <c r="Z141" s="300"/>
      <c r="AA141" s="300"/>
      <c r="AB141" s="300"/>
      <c r="AC141" s="300"/>
      <c r="AD141" s="300"/>
      <c r="AE141" s="300"/>
      <c r="AF141" s="300"/>
      <c r="AG141" s="300"/>
      <c r="AH141" s="300"/>
      <c r="AI141" s="455"/>
      <c r="AJ141" s="193"/>
      <c r="AK141" s="1236" t="s">
        <v>716</v>
      </c>
      <c r="AL141" s="1236"/>
      <c r="AM141" s="305" t="s">
        <v>442</v>
      </c>
      <c r="AN141" s="710" t="s">
        <v>724</v>
      </c>
      <c r="AO141" s="1714"/>
      <c r="AP141" s="1714"/>
      <c r="AQ141" s="711"/>
      <c r="AR141" s="305" t="s">
        <v>442</v>
      </c>
      <c r="AS141" s="1731"/>
      <c r="AT141" s="305" t="s">
        <v>442</v>
      </c>
      <c r="AU141" s="710" t="s">
        <v>724</v>
      </c>
      <c r="AV141" s="1714"/>
      <c r="AW141" s="1714"/>
      <c r="AX141" s="711"/>
      <c r="AY141" s="305" t="s">
        <v>442</v>
      </c>
      <c r="BF141" s="300"/>
      <c r="BG141" s="300"/>
      <c r="BH141" s="300"/>
      <c r="BI141" s="300"/>
    </row>
    <row r="142" spans="2:61" ht="48.75" customHeight="1">
      <c r="Q142" s="300"/>
      <c r="R142" s="300"/>
      <c r="S142" s="300"/>
      <c r="T142" s="300"/>
      <c r="U142" s="300"/>
      <c r="V142" s="300"/>
      <c r="W142" s="300"/>
      <c r="X142" s="300"/>
      <c r="Y142" s="300"/>
      <c r="Z142" s="300"/>
      <c r="AA142" s="300"/>
      <c r="AB142" s="300"/>
      <c r="AC142" s="300"/>
      <c r="AD142" s="300"/>
      <c r="AE142" s="300"/>
      <c r="AF142" s="300"/>
      <c r="AG142" s="300"/>
      <c r="AH142" s="300"/>
      <c r="AI142" s="455"/>
      <c r="AJ142" s="193"/>
      <c r="AK142" s="1236" t="s">
        <v>717</v>
      </c>
      <c r="AL142" s="1236"/>
      <c r="AM142" s="126"/>
      <c r="AN142" s="1405" t="s">
        <v>520</v>
      </c>
      <c r="AO142" s="1406"/>
      <c r="AP142" s="1406"/>
      <c r="AQ142" s="1407"/>
      <c r="AR142" s="126"/>
      <c r="AS142" s="1236"/>
      <c r="AT142" s="126"/>
      <c r="AU142" s="1405" t="s">
        <v>520</v>
      </c>
      <c r="AV142" s="1406"/>
      <c r="AW142" s="1406"/>
      <c r="AX142" s="1407"/>
      <c r="AY142" s="126"/>
      <c r="BF142" s="300"/>
      <c r="BG142" s="300"/>
      <c r="BH142" s="300"/>
      <c r="BI142" s="300"/>
    </row>
    <row r="143" spans="2:61" ht="48.75" customHeight="1">
      <c r="Q143" s="300"/>
      <c r="R143" s="300"/>
      <c r="S143" s="300"/>
      <c r="T143" s="300"/>
      <c r="U143" s="300"/>
      <c r="V143" s="300"/>
      <c r="W143" s="300"/>
      <c r="X143" s="300"/>
      <c r="Y143" s="300"/>
      <c r="Z143" s="300"/>
      <c r="AA143" s="300"/>
      <c r="AB143" s="300"/>
      <c r="AC143" s="300"/>
      <c r="AD143" s="300"/>
      <c r="AE143" s="300"/>
      <c r="AF143" s="300"/>
      <c r="AG143" s="300"/>
      <c r="AH143" s="300"/>
      <c r="AI143" s="455"/>
      <c r="AJ143" s="193"/>
      <c r="AK143" s="1739" t="s">
        <v>428</v>
      </c>
      <c r="AL143" s="820"/>
      <c r="AM143" s="279">
        <v>2</v>
      </c>
      <c r="AN143" s="279">
        <v>4</v>
      </c>
      <c r="AO143" s="279">
        <v>6</v>
      </c>
      <c r="AP143" s="279">
        <v>8</v>
      </c>
      <c r="AQ143" s="279">
        <v>10</v>
      </c>
      <c r="AR143" s="279">
        <v>12</v>
      </c>
      <c r="AS143" s="1236"/>
      <c r="AT143" s="279">
        <v>2</v>
      </c>
      <c r="AU143" s="279">
        <v>4</v>
      </c>
      <c r="AV143" s="279">
        <v>6</v>
      </c>
      <c r="AW143" s="279">
        <v>8</v>
      </c>
      <c r="AX143" s="279">
        <v>10</v>
      </c>
      <c r="AY143" s="279">
        <v>12</v>
      </c>
      <c r="BF143" s="300"/>
      <c r="BG143" s="300"/>
      <c r="BH143" s="300"/>
      <c r="BI143" s="300"/>
    </row>
    <row r="144" spans="2:61" ht="48.75" customHeight="1">
      <c r="Q144" s="300"/>
      <c r="R144" s="300"/>
      <c r="S144" s="300"/>
      <c r="T144" s="300"/>
      <c r="U144" s="300"/>
      <c r="V144" s="300"/>
      <c r="W144" s="300"/>
      <c r="X144" s="300"/>
      <c r="Y144" s="300"/>
      <c r="Z144" s="300"/>
      <c r="AA144" s="300"/>
      <c r="AB144" s="300"/>
      <c r="AC144" s="300"/>
      <c r="AD144" s="300"/>
      <c r="AE144" s="300"/>
      <c r="AF144" s="300"/>
      <c r="AG144" s="300"/>
      <c r="AH144" s="300"/>
      <c r="AI144" s="455"/>
      <c r="AJ144" s="193"/>
      <c r="AK144" s="1236" t="s">
        <v>126</v>
      </c>
      <c r="AL144" s="1236"/>
      <c r="AM144" s="10"/>
      <c r="AN144" s="10"/>
      <c r="AO144" s="10"/>
      <c r="AP144" s="10"/>
      <c r="AQ144" s="10"/>
      <c r="AR144" s="10"/>
      <c r="AS144" s="1236"/>
      <c r="AT144" s="10"/>
      <c r="AU144" s="10"/>
      <c r="AV144" s="10"/>
      <c r="AW144" s="10"/>
      <c r="AX144" s="311"/>
      <c r="AY144" s="10"/>
      <c r="BF144" s="300"/>
      <c r="BG144" s="300"/>
      <c r="BH144" s="300"/>
      <c r="BI144" s="300"/>
    </row>
    <row r="145" spans="17:61" ht="48.75" customHeight="1">
      <c r="Q145" s="300"/>
      <c r="R145" s="300"/>
      <c r="S145" s="300"/>
      <c r="T145" s="300"/>
      <c r="U145" s="300"/>
      <c r="V145" s="300"/>
      <c r="W145" s="300"/>
      <c r="X145" s="300"/>
      <c r="Y145" s="300"/>
      <c r="Z145" s="300"/>
      <c r="AA145" s="300"/>
      <c r="AB145" s="300"/>
      <c r="AC145" s="300"/>
      <c r="AD145" s="300"/>
      <c r="AE145" s="300"/>
      <c r="AF145" s="300"/>
      <c r="AG145" s="300"/>
      <c r="AH145" s="300"/>
      <c r="AI145" s="455"/>
      <c r="AJ145" s="193"/>
      <c r="AK145" s="111"/>
      <c r="AL145" s="1033" t="s">
        <v>1236</v>
      </c>
      <c r="AM145" s="10"/>
      <c r="AN145" s="10"/>
      <c r="AO145" s="10"/>
      <c r="AP145" s="10"/>
      <c r="AQ145" s="10"/>
      <c r="AR145" s="10"/>
      <c r="AS145" s="111"/>
      <c r="AT145" s="10"/>
      <c r="AU145" s="10"/>
      <c r="AV145" s="10"/>
      <c r="AW145" s="10"/>
      <c r="AX145" s="311"/>
      <c r="AY145" s="10"/>
      <c r="BF145" s="300"/>
      <c r="BG145" s="300"/>
      <c r="BH145" s="300"/>
      <c r="BI145" s="300"/>
    </row>
    <row r="146" spans="17:61" ht="48.75" customHeight="1">
      <c r="Q146" s="300"/>
      <c r="R146" s="300"/>
      <c r="S146" s="300"/>
      <c r="T146" s="300"/>
      <c r="U146" s="300"/>
      <c r="V146" s="300"/>
      <c r="W146" s="300"/>
      <c r="X146" s="300"/>
      <c r="Y146" s="300"/>
      <c r="Z146" s="300"/>
      <c r="AA146" s="300"/>
      <c r="AB146" s="300"/>
      <c r="AC146" s="300"/>
      <c r="AD146" s="300"/>
      <c r="AE146" s="300"/>
      <c r="AF146" s="300"/>
      <c r="AG146" s="300"/>
      <c r="AH146" s="300"/>
      <c r="AI146" s="455"/>
      <c r="AJ146" s="193"/>
      <c r="AK146" s="111"/>
      <c r="AL146" s="1033"/>
      <c r="AM146" s="10"/>
      <c r="AN146" s="10"/>
      <c r="AO146" s="10"/>
      <c r="AP146" s="10"/>
      <c r="AQ146" s="10"/>
      <c r="AR146" s="10"/>
      <c r="AS146" s="111"/>
      <c r="AT146" s="10"/>
      <c r="AU146" s="10"/>
      <c r="AV146" s="10"/>
      <c r="AW146" s="10"/>
      <c r="AX146" s="311"/>
      <c r="AY146" s="10"/>
      <c r="BF146" s="300"/>
      <c r="BG146" s="300"/>
      <c r="BH146" s="300"/>
      <c r="BI146" s="300"/>
    </row>
    <row r="147" spans="17:61" ht="48.75" customHeight="1">
      <c r="Q147" s="300"/>
      <c r="R147" s="300"/>
      <c r="S147" s="300"/>
      <c r="T147" s="300"/>
      <c r="U147" s="300"/>
      <c r="V147" s="300"/>
      <c r="W147" s="300"/>
      <c r="X147" s="300"/>
      <c r="Y147" s="300"/>
      <c r="Z147" s="300"/>
      <c r="AA147" s="300"/>
      <c r="AB147" s="300"/>
      <c r="AC147" s="300"/>
      <c r="AD147" s="300"/>
      <c r="AE147" s="300"/>
      <c r="AF147" s="300"/>
      <c r="AG147" s="300"/>
      <c r="AH147" s="300"/>
      <c r="AI147" s="455"/>
      <c r="AJ147" s="193"/>
      <c r="AK147" s="111"/>
      <c r="AL147" s="1033"/>
      <c r="AM147" s="10"/>
      <c r="AN147" s="10"/>
      <c r="AO147" s="10"/>
      <c r="AP147" s="10"/>
      <c r="AQ147" s="10"/>
      <c r="AR147" s="10"/>
      <c r="AS147" s="111"/>
      <c r="AT147" s="10"/>
      <c r="AU147" s="10"/>
      <c r="AV147" s="10"/>
      <c r="AW147" s="10"/>
      <c r="AX147" s="311"/>
      <c r="AY147" s="10"/>
      <c r="BF147" s="300"/>
      <c r="BG147" s="300"/>
      <c r="BH147" s="300"/>
      <c r="BI147" s="300"/>
    </row>
    <row r="148" spans="17:61" ht="48.75" customHeight="1">
      <c r="Q148" s="300"/>
      <c r="R148" s="300"/>
      <c r="S148" s="300"/>
      <c r="T148" s="300"/>
      <c r="U148" s="300"/>
      <c r="V148" s="300"/>
      <c r="W148" s="300"/>
      <c r="X148" s="300"/>
      <c r="Y148" s="300"/>
      <c r="Z148" s="300"/>
      <c r="AA148" s="300"/>
      <c r="AB148" s="300"/>
      <c r="AC148" s="300"/>
      <c r="AD148" s="300"/>
      <c r="AE148" s="300"/>
      <c r="AF148" s="300"/>
      <c r="AG148" s="300"/>
      <c r="AH148" s="300"/>
      <c r="AI148" s="455"/>
      <c r="AJ148" s="193"/>
      <c r="AK148" s="111"/>
      <c r="AL148" s="1033"/>
      <c r="AM148" s="10"/>
      <c r="AN148" s="10"/>
      <c r="AO148" s="10"/>
      <c r="AP148" s="10"/>
      <c r="AQ148" s="10"/>
      <c r="AR148" s="10"/>
      <c r="AS148" s="111"/>
      <c r="AT148" s="10"/>
      <c r="AU148" s="10"/>
      <c r="AV148" s="10"/>
      <c r="AW148" s="10"/>
      <c r="AX148" s="311"/>
      <c r="AY148" s="10"/>
      <c r="BF148" s="300"/>
      <c r="BG148" s="300"/>
      <c r="BH148" s="300"/>
      <c r="BI148" s="300"/>
    </row>
    <row r="149" spans="17:61" ht="48.75" customHeight="1">
      <c r="Q149" s="300"/>
      <c r="R149" s="300"/>
      <c r="S149" s="300"/>
      <c r="T149" s="300"/>
      <c r="U149" s="300"/>
      <c r="V149" s="300"/>
      <c r="W149" s="300"/>
      <c r="X149" s="300"/>
      <c r="Y149" s="300"/>
      <c r="Z149" s="300"/>
      <c r="AA149" s="300"/>
      <c r="AB149" s="300"/>
      <c r="AC149" s="300"/>
      <c r="AD149" s="300"/>
      <c r="AE149" s="300"/>
      <c r="AF149" s="300"/>
      <c r="AG149" s="300"/>
      <c r="AH149" s="300"/>
      <c r="AI149" s="455"/>
      <c r="AJ149" s="193"/>
      <c r="AK149" s="111"/>
      <c r="AL149" s="1033"/>
      <c r="AM149" s="302"/>
      <c r="AN149" s="302"/>
      <c r="AO149" s="302"/>
      <c r="AP149" s="302"/>
      <c r="AQ149" s="302"/>
      <c r="AR149" s="302"/>
      <c r="AS149" s="111"/>
      <c r="AT149" s="10"/>
      <c r="AU149" s="10"/>
      <c r="AV149" s="10"/>
      <c r="AW149" s="10"/>
      <c r="AX149" s="311"/>
      <c r="AY149" s="10"/>
      <c r="BF149" s="300"/>
      <c r="BG149" s="300"/>
      <c r="BH149" s="300"/>
      <c r="BI149" s="300"/>
    </row>
    <row r="150" spans="17:61" ht="48.75" customHeight="1">
      <c r="Q150" s="300"/>
      <c r="R150" s="300"/>
      <c r="S150" s="300"/>
      <c r="T150" s="300"/>
      <c r="U150" s="300"/>
      <c r="V150" s="300"/>
      <c r="W150" s="300"/>
      <c r="X150" s="300"/>
      <c r="Y150" s="300"/>
      <c r="Z150" s="300"/>
      <c r="AA150" s="300"/>
      <c r="AB150" s="300"/>
      <c r="AC150" s="300"/>
      <c r="AD150" s="300"/>
      <c r="AE150" s="300"/>
      <c r="AF150" s="300"/>
      <c r="AG150" s="300"/>
      <c r="AH150" s="300"/>
      <c r="AI150" s="455"/>
      <c r="AJ150" s="193"/>
      <c r="AK150" s="111"/>
      <c r="AL150" s="1033"/>
      <c r="AM150" s="10"/>
      <c r="AN150" s="10"/>
      <c r="AO150" s="10"/>
      <c r="AP150" s="10"/>
      <c r="AQ150" s="10"/>
      <c r="AR150" s="10"/>
      <c r="AS150" s="111"/>
      <c r="AT150" s="10"/>
      <c r="AU150" s="10"/>
      <c r="AV150" s="10"/>
      <c r="AW150" s="10"/>
      <c r="AX150" s="10"/>
      <c r="AY150" s="10"/>
      <c r="BF150" s="300"/>
      <c r="BG150" s="300"/>
      <c r="BH150" s="300"/>
      <c r="BI150" s="300"/>
    </row>
    <row r="151" spans="17:61" ht="48.75" customHeight="1">
      <c r="Q151" s="300"/>
      <c r="R151" s="300"/>
      <c r="S151" s="300"/>
      <c r="T151" s="300"/>
      <c r="U151" s="300"/>
      <c r="V151" s="300"/>
      <c r="W151" s="300"/>
      <c r="X151" s="300"/>
      <c r="Y151" s="300"/>
      <c r="Z151" s="300"/>
      <c r="AA151" s="300"/>
      <c r="AB151" s="300"/>
      <c r="AC151" s="300"/>
      <c r="AD151" s="300"/>
      <c r="AE151" s="300"/>
      <c r="AF151" s="300"/>
      <c r="AG151" s="300"/>
      <c r="AH151" s="300"/>
      <c r="AI151" s="455"/>
      <c r="AJ151" s="193"/>
      <c r="AK151" s="111"/>
      <c r="AL151" s="1033"/>
      <c r="AM151" s="10"/>
      <c r="AN151" s="10"/>
      <c r="AO151" s="10"/>
      <c r="AP151" s="10"/>
      <c r="AQ151" s="10"/>
      <c r="AR151" s="10"/>
      <c r="AS151" s="111"/>
      <c r="AT151" s="10"/>
      <c r="AU151" s="10"/>
      <c r="AV151" s="10"/>
      <c r="AW151" s="10"/>
      <c r="AX151" s="10"/>
      <c r="AY151" s="10"/>
      <c r="BF151" s="300"/>
      <c r="BG151" s="300"/>
      <c r="BH151" s="300"/>
      <c r="BI151" s="300"/>
    </row>
    <row r="152" spans="17:61" ht="48.75" customHeight="1">
      <c r="Q152" s="300"/>
      <c r="R152" s="300"/>
      <c r="S152" s="300"/>
      <c r="T152" s="300"/>
      <c r="U152" s="300"/>
      <c r="V152" s="300"/>
      <c r="W152" s="300"/>
      <c r="X152" s="300"/>
      <c r="Y152" s="300"/>
      <c r="Z152" s="300"/>
      <c r="AA152" s="300"/>
      <c r="AB152" s="300"/>
      <c r="AC152" s="300"/>
      <c r="AD152" s="300"/>
      <c r="AE152" s="300"/>
      <c r="AF152" s="300"/>
      <c r="AG152" s="300"/>
      <c r="AH152" s="300"/>
      <c r="AI152" s="455"/>
      <c r="AJ152" s="193"/>
      <c r="AK152" s="111"/>
      <c r="AL152" s="1033"/>
      <c r="AM152" s="10"/>
      <c r="AN152" s="10"/>
      <c r="AO152" s="10"/>
      <c r="AP152" s="10"/>
      <c r="AQ152" s="10"/>
      <c r="AR152" s="10"/>
      <c r="AS152" s="111"/>
      <c r="AT152" s="10"/>
      <c r="AU152" s="10"/>
      <c r="AV152" s="10"/>
      <c r="AW152" s="10"/>
      <c r="AX152" s="10"/>
      <c r="AY152" s="10"/>
      <c r="BF152" s="300"/>
      <c r="BG152" s="300"/>
      <c r="BH152" s="300"/>
      <c r="BI152" s="300"/>
    </row>
    <row r="153" spans="17:61" ht="48.75" customHeight="1">
      <c r="Q153" s="300"/>
      <c r="R153" s="300"/>
      <c r="S153" s="300"/>
      <c r="T153" s="300"/>
      <c r="U153" s="300"/>
      <c r="V153" s="300"/>
      <c r="W153" s="300"/>
      <c r="X153" s="300"/>
      <c r="Y153" s="300"/>
      <c r="Z153" s="300"/>
      <c r="AA153" s="300"/>
      <c r="AB153" s="300"/>
      <c r="AC153" s="300"/>
      <c r="AD153" s="300"/>
      <c r="AE153" s="300"/>
      <c r="AF153" s="300"/>
      <c r="AG153" s="300"/>
      <c r="AH153" s="300"/>
      <c r="AI153" s="455"/>
      <c r="AJ153" s="193"/>
      <c r="AK153" s="111"/>
      <c r="AL153" s="310"/>
      <c r="AM153" s="310"/>
      <c r="AN153" s="310"/>
      <c r="AO153" s="310"/>
      <c r="AP153" s="310"/>
      <c r="AQ153" s="310"/>
      <c r="AR153" s="310"/>
      <c r="AS153" s="111"/>
      <c r="AT153" s="310"/>
      <c r="AU153" s="310"/>
      <c r="AV153" s="310"/>
      <c r="AW153" s="310"/>
      <c r="AX153" s="310"/>
      <c r="AY153" s="315"/>
      <c r="BF153" s="300"/>
      <c r="BG153" s="300"/>
      <c r="BH153" s="300"/>
      <c r="BI153" s="300"/>
    </row>
    <row r="154" spans="17:61" ht="48.75" customHeight="1">
      <c r="Q154" s="300"/>
      <c r="R154" s="300"/>
      <c r="S154" s="300"/>
      <c r="T154" s="300"/>
      <c r="U154" s="300"/>
      <c r="V154" s="300"/>
      <c r="W154" s="300"/>
      <c r="X154" s="300"/>
      <c r="Y154" s="300"/>
      <c r="Z154" s="300"/>
      <c r="AA154" s="300"/>
      <c r="AB154" s="300"/>
      <c r="AC154" s="300"/>
      <c r="AD154" s="300"/>
      <c r="AE154" s="300"/>
      <c r="AF154" s="300"/>
      <c r="AG154" s="300"/>
      <c r="AH154" s="300"/>
      <c r="AI154" s="455"/>
      <c r="AJ154" s="193"/>
      <c r="AK154" s="1236" t="s">
        <v>717</v>
      </c>
      <c r="AL154" s="1236"/>
      <c r="AM154" s="126"/>
      <c r="AN154" s="710" t="s">
        <v>509</v>
      </c>
      <c r="AO154" s="1714"/>
      <c r="AP154" s="1714"/>
      <c r="AQ154" s="711"/>
      <c r="AR154" s="126"/>
      <c r="AS154" s="111"/>
      <c r="AT154" s="126"/>
      <c r="AU154" s="710" t="s">
        <v>509</v>
      </c>
      <c r="AV154" s="1714"/>
      <c r="AW154" s="1714"/>
      <c r="AX154" s="711"/>
      <c r="AY154" s="126"/>
      <c r="BF154" s="300"/>
      <c r="BG154" s="300"/>
      <c r="BH154" s="300"/>
      <c r="BI154" s="300"/>
    </row>
    <row r="155" spans="17:61" ht="48.75" customHeight="1">
      <c r="Q155" s="300"/>
      <c r="R155" s="300"/>
      <c r="S155" s="300"/>
      <c r="T155" s="300"/>
      <c r="U155" s="300"/>
      <c r="V155" s="300"/>
      <c r="W155" s="300"/>
      <c r="X155" s="300"/>
      <c r="Y155" s="300"/>
      <c r="Z155" s="300"/>
      <c r="AA155" s="300"/>
      <c r="AB155" s="300"/>
      <c r="AC155" s="300"/>
      <c r="AD155" s="300"/>
      <c r="AE155" s="300"/>
      <c r="AF155" s="300"/>
      <c r="AG155" s="300"/>
      <c r="AH155" s="300"/>
      <c r="AI155" s="455"/>
      <c r="AJ155" s="193"/>
      <c r="AK155" s="1236" t="s">
        <v>428</v>
      </c>
      <c r="AL155" s="1236"/>
      <c r="AM155" s="279">
        <v>2</v>
      </c>
      <c r="AN155" s="279">
        <v>4</v>
      </c>
      <c r="AO155" s="279">
        <v>6</v>
      </c>
      <c r="AP155" s="279">
        <v>8</v>
      </c>
      <c r="AQ155" s="279">
        <v>10</v>
      </c>
      <c r="AR155" s="279">
        <v>12</v>
      </c>
      <c r="AS155" s="111"/>
      <c r="AT155" s="279">
        <v>2</v>
      </c>
      <c r="AU155" s="279">
        <v>4</v>
      </c>
      <c r="AV155" s="279">
        <v>6</v>
      </c>
      <c r="AW155" s="279">
        <v>8</v>
      </c>
      <c r="AX155" s="279">
        <v>10</v>
      </c>
      <c r="AY155" s="279">
        <v>12</v>
      </c>
      <c r="BF155" s="300"/>
      <c r="BG155" s="300"/>
      <c r="BH155" s="300"/>
      <c r="BI155" s="300"/>
    </row>
    <row r="156" spans="17:61" ht="48.75" customHeight="1">
      <c r="Q156" s="300"/>
      <c r="R156" s="300"/>
      <c r="S156" s="300"/>
      <c r="T156" s="300"/>
      <c r="U156" s="300"/>
      <c r="V156" s="300"/>
      <c r="W156" s="300"/>
      <c r="X156" s="300"/>
      <c r="Y156" s="300"/>
      <c r="Z156" s="300"/>
      <c r="AA156" s="300"/>
      <c r="AB156" s="300"/>
      <c r="AC156" s="300"/>
      <c r="AD156" s="300"/>
      <c r="AE156" s="300"/>
      <c r="AF156" s="300"/>
      <c r="AG156" s="300"/>
      <c r="AH156" s="300"/>
      <c r="AI156" s="455"/>
      <c r="AJ156" s="193"/>
      <c r="AK156" s="111"/>
      <c r="AL156" s="1817" t="s">
        <v>1236</v>
      </c>
      <c r="AM156" s="10"/>
      <c r="AN156" s="10"/>
      <c r="AO156" s="10"/>
      <c r="AP156" s="10"/>
      <c r="AQ156" s="10"/>
      <c r="AR156" s="10"/>
      <c r="AS156" s="111"/>
      <c r="AT156" s="10"/>
      <c r="AU156" s="10"/>
      <c r="AV156" s="10"/>
      <c r="AW156" s="10"/>
      <c r="AX156" s="10"/>
      <c r="AY156" s="10"/>
      <c r="BF156" s="300"/>
      <c r="BG156" s="300"/>
      <c r="BH156" s="300"/>
      <c r="BI156" s="300"/>
    </row>
    <row r="157" spans="17:61" ht="48.75" customHeight="1">
      <c r="Q157" s="300"/>
      <c r="R157" s="300"/>
      <c r="S157" s="300"/>
      <c r="T157" s="300"/>
      <c r="U157" s="300"/>
      <c r="V157" s="300"/>
      <c r="W157" s="300"/>
      <c r="X157" s="300"/>
      <c r="Y157" s="300"/>
      <c r="Z157" s="300"/>
      <c r="AA157" s="300"/>
      <c r="AB157" s="300"/>
      <c r="AC157" s="300"/>
      <c r="AD157" s="300"/>
      <c r="AE157" s="300"/>
      <c r="AF157" s="300"/>
      <c r="AG157" s="300"/>
      <c r="AH157" s="300"/>
      <c r="AI157" s="455"/>
      <c r="AJ157" s="193"/>
      <c r="AK157" s="111"/>
      <c r="AL157" s="1818"/>
      <c r="AM157" s="10"/>
      <c r="AN157" s="10"/>
      <c r="AO157" s="10"/>
      <c r="AP157" s="10"/>
      <c r="AQ157" s="10"/>
      <c r="AR157" s="10"/>
      <c r="AS157" s="111"/>
      <c r="AT157" s="10"/>
      <c r="AU157" s="10"/>
      <c r="AV157" s="10"/>
      <c r="AW157" s="10"/>
      <c r="AX157" s="10"/>
      <c r="AY157" s="10"/>
      <c r="BF157" s="300"/>
      <c r="BG157" s="300"/>
      <c r="BH157" s="300"/>
      <c r="BI157" s="300"/>
    </row>
    <row r="158" spans="17:61" ht="48.75" customHeight="1">
      <c r="Q158" s="300"/>
      <c r="R158" s="300"/>
      <c r="S158" s="300"/>
      <c r="T158" s="300"/>
      <c r="U158" s="300"/>
      <c r="V158" s="300"/>
      <c r="W158" s="300"/>
      <c r="X158" s="300"/>
      <c r="Y158" s="300"/>
      <c r="Z158" s="300"/>
      <c r="AA158" s="300"/>
      <c r="AB158" s="300"/>
      <c r="AC158" s="300"/>
      <c r="AD158" s="300"/>
      <c r="AE158" s="300"/>
      <c r="AF158" s="300"/>
      <c r="AG158" s="300"/>
      <c r="AH158" s="300"/>
      <c r="AI158" s="455"/>
      <c r="AJ158" s="193"/>
      <c r="AK158" s="111"/>
      <c r="AL158" s="1818"/>
      <c r="AM158" s="10"/>
      <c r="AN158" s="10"/>
      <c r="AO158" s="10"/>
      <c r="AP158" s="10"/>
      <c r="AQ158" s="10"/>
      <c r="AR158" s="10"/>
      <c r="AS158" s="111"/>
      <c r="AT158" s="10"/>
      <c r="AU158" s="10"/>
      <c r="AV158" s="10"/>
      <c r="AW158" s="10"/>
      <c r="AX158" s="10"/>
      <c r="AY158" s="10"/>
      <c r="BI158" s="11"/>
    </row>
    <row r="159" spans="17:61" ht="48.75" customHeight="1">
      <c r="AJ159" s="193"/>
      <c r="AK159" s="111"/>
      <c r="AL159" s="1818"/>
      <c r="AM159" s="10"/>
      <c r="AN159" s="10"/>
      <c r="AO159" s="10"/>
      <c r="AP159" s="10"/>
      <c r="AQ159" s="10"/>
      <c r="AR159" s="10"/>
      <c r="AS159" s="111"/>
      <c r="AT159" s="10"/>
      <c r="AU159" s="10"/>
      <c r="AV159" s="10"/>
      <c r="AW159" s="10"/>
      <c r="AX159" s="10"/>
      <c r="AY159" s="10"/>
      <c r="BI159" s="11"/>
    </row>
    <row r="160" spans="17:61" ht="48.75" customHeight="1">
      <c r="AJ160" s="193"/>
      <c r="AK160" s="111"/>
      <c r="AL160" s="1818"/>
      <c r="AM160" s="10"/>
      <c r="AN160" s="10"/>
      <c r="AO160" s="10"/>
      <c r="AP160" s="10"/>
      <c r="AQ160" s="10"/>
      <c r="AR160" s="10"/>
      <c r="AS160" s="111"/>
      <c r="AT160" s="10"/>
      <c r="AU160" s="10"/>
      <c r="AV160" s="10"/>
      <c r="AW160" s="10"/>
      <c r="AX160" s="10"/>
      <c r="AY160" s="10"/>
      <c r="BI160" s="11"/>
    </row>
    <row r="161" spans="2:51" s="11" customFormat="1" ht="48.75" customHeight="1">
      <c r="AJ161" s="193"/>
      <c r="AK161" s="111"/>
      <c r="AL161" s="1818"/>
      <c r="AM161" s="10"/>
      <c r="AN161" s="10"/>
      <c r="AO161" s="10"/>
      <c r="AP161" s="10"/>
      <c r="AQ161" s="10"/>
      <c r="AR161" s="10"/>
      <c r="AS161" s="111"/>
      <c r="AT161" s="10"/>
      <c r="AU161" s="10"/>
      <c r="AV161" s="10"/>
      <c r="AW161" s="10"/>
      <c r="AX161" s="10"/>
      <c r="AY161" s="10"/>
    </row>
    <row r="162" spans="2:51" s="11" customFormat="1" ht="48.75" customHeight="1">
      <c r="AJ162" s="193"/>
      <c r="AK162" s="111"/>
      <c r="AL162" s="1818"/>
      <c r="AM162" s="10"/>
      <c r="AN162" s="10"/>
      <c r="AO162" s="10"/>
      <c r="AP162" s="10"/>
      <c r="AQ162" s="10"/>
      <c r="AR162" s="10"/>
      <c r="AS162" s="111"/>
      <c r="AT162" s="10"/>
      <c r="AU162" s="10"/>
      <c r="AV162" s="10"/>
      <c r="AW162" s="10"/>
      <c r="AX162" s="10"/>
      <c r="AY162" s="10"/>
    </row>
    <row r="163" spans="2:51" s="11" customFormat="1" ht="48.75" customHeight="1">
      <c r="AJ163" s="193"/>
      <c r="AK163" s="111"/>
      <c r="AL163" s="1818"/>
      <c r="AM163" s="10"/>
      <c r="AN163" s="10"/>
      <c r="AO163" s="10"/>
      <c r="AP163" s="10"/>
      <c r="AQ163" s="10"/>
      <c r="AR163" s="10"/>
      <c r="AS163" s="111"/>
      <c r="AT163" s="10"/>
      <c r="AU163" s="10"/>
      <c r="AV163" s="10"/>
      <c r="AW163" s="10"/>
      <c r="AX163" s="10"/>
      <c r="AY163" s="10"/>
    </row>
    <row r="164" spans="2:51" s="11" customFormat="1" ht="48.75" customHeight="1">
      <c r="AJ164" s="193"/>
      <c r="AK164" s="111"/>
      <c r="AL164" s="1387"/>
      <c r="AM164" s="10"/>
      <c r="AN164" s="10"/>
      <c r="AO164" s="10"/>
      <c r="AP164" s="10"/>
      <c r="AQ164" s="10"/>
      <c r="AR164" s="10"/>
      <c r="AS164" s="111"/>
      <c r="AT164" s="10"/>
      <c r="AU164" s="10"/>
      <c r="AV164" s="10"/>
      <c r="AW164" s="10"/>
      <c r="AX164" s="10"/>
      <c r="AY164" s="10"/>
    </row>
    <row r="165" spans="2:51" s="11" customFormat="1" ht="48.75" customHeight="1">
      <c r="AJ165" s="314"/>
      <c r="AK165" s="314"/>
      <c r="AL165" s="314"/>
      <c r="AM165" s="314"/>
      <c r="AN165" s="314"/>
      <c r="AO165" s="314"/>
      <c r="AP165" s="314"/>
      <c r="AQ165" s="314"/>
      <c r="AR165" s="314"/>
      <c r="AS165" s="314"/>
      <c r="AT165" s="314"/>
      <c r="AU165" s="314"/>
      <c r="AV165" s="314"/>
      <c r="AW165" s="314"/>
      <c r="AX165" s="314"/>
      <c r="AY165" s="314"/>
    </row>
    <row r="166" spans="2:51" s="11" customFormat="1" ht="48.75" customHeight="1"/>
    <row r="167" spans="2:51" s="11" customFormat="1" ht="48.75" customHeight="1"/>
    <row r="168" spans="2:51" s="11" customFormat="1" ht="48.75" customHeight="1"/>
    <row r="169" spans="2:51" s="11" customFormat="1" ht="48.75" customHeight="1"/>
    <row r="170" spans="2:51" s="11" customFormat="1" ht="48.75" customHeight="1"/>
    <row r="171" spans="2:51" s="11" customFormat="1" ht="48.75" customHeight="1">
      <c r="Y171" s="710" t="s">
        <v>1803</v>
      </c>
      <c r="Z171" s="1714"/>
      <c r="AA171" s="1714"/>
      <c r="AB171" s="1714"/>
      <c r="AC171" s="1714"/>
      <c r="AD171" s="711"/>
      <c r="AE171" s="140"/>
    </row>
    <row r="172" spans="2:51" s="11" customFormat="1" ht="48.75" customHeight="1">
      <c r="Y172" s="696" t="s">
        <v>1453</v>
      </c>
      <c r="Z172" s="720"/>
      <c r="AA172" s="604">
        <f>'Вывод расчетов'!$MJ$177</f>
        <v>2</v>
      </c>
      <c r="AB172" s="92"/>
      <c r="AC172" s="92"/>
      <c r="AD172" s="92"/>
      <c r="AE172" s="93"/>
    </row>
    <row r="173" spans="2:51" s="11" customFormat="1" ht="48.75" customHeight="1">
      <c r="Y173" s="193"/>
      <c r="Z173" s="194"/>
      <c r="AA173" s="194"/>
      <c r="AB173" s="194"/>
      <c r="AC173" s="194"/>
      <c r="AD173" s="194"/>
      <c r="AE173" s="195"/>
    </row>
    <row r="174" spans="2:51" s="11" customFormat="1" ht="48.75" customHeight="1">
      <c r="Y174" s="193"/>
      <c r="Z174" s="194"/>
      <c r="AA174" s="194"/>
      <c r="AB174" s="194"/>
      <c r="AC174" s="194"/>
      <c r="AD174" s="194"/>
      <c r="AE174" s="195"/>
      <c r="AI174" s="710" t="s">
        <v>1109</v>
      </c>
      <c r="AJ174" s="1714"/>
      <c r="AK174" s="1714"/>
      <c r="AL174" s="711"/>
      <c r="AM174" s="140"/>
    </row>
    <row r="175" spans="2:51" s="11" customFormat="1" ht="48.75" customHeight="1">
      <c r="Y175" s="193"/>
      <c r="Z175" s="194"/>
      <c r="AA175" s="194"/>
      <c r="AB175" s="194"/>
      <c r="AC175" s="194"/>
      <c r="AD175" s="194"/>
      <c r="AE175" s="195"/>
      <c r="AI175" s="582" t="s">
        <v>470</v>
      </c>
      <c r="AJ175" s="583">
        <f>'Вывод расчетов'!$AW$34</f>
        <v>0.17058500000000001</v>
      </c>
      <c r="AK175" s="92"/>
      <c r="AL175" s="92"/>
      <c r="AM175" s="93"/>
    </row>
    <row r="176" spans="2:51" s="11" customFormat="1" ht="48.75" customHeight="1">
      <c r="B176" s="710" t="s">
        <v>830</v>
      </c>
      <c r="C176" s="1714"/>
      <c r="D176" s="1714"/>
      <c r="E176" s="1714"/>
      <c r="F176" s="1714"/>
      <c r="G176" s="711"/>
      <c r="H176" s="140"/>
      <c r="J176" s="710"/>
      <c r="K176" s="1714"/>
      <c r="L176" s="1714"/>
      <c r="M176" s="1714"/>
      <c r="N176" s="1714"/>
      <c r="O176" s="1714"/>
      <c r="P176" s="1714"/>
      <c r="Q176" s="1714"/>
      <c r="R176" s="1714"/>
      <c r="S176" s="711"/>
      <c r="T176" s="140"/>
      <c r="Y176" s="193"/>
      <c r="Z176" s="194"/>
      <c r="AA176" s="194"/>
      <c r="AB176" s="194"/>
      <c r="AC176" s="194"/>
      <c r="AD176" s="194"/>
      <c r="AE176" s="195"/>
      <c r="AI176" s="91"/>
      <c r="AJ176" s="92"/>
      <c r="AK176" s="194"/>
      <c r="AL176" s="194"/>
      <c r="AM176" s="195"/>
    </row>
    <row r="177" spans="2:39" s="11" customFormat="1" ht="48.75" customHeight="1">
      <c r="B177" s="1141"/>
      <c r="C177" s="1142"/>
      <c r="D177" s="1142"/>
      <c r="E177" s="1142"/>
      <c r="F177" s="1142"/>
      <c r="G177" s="1142"/>
      <c r="H177" s="1143"/>
      <c r="J177" s="1141"/>
      <c r="K177" s="1142"/>
      <c r="L177" s="1142"/>
      <c r="M177" s="1142"/>
      <c r="N177" s="1142"/>
      <c r="O177" s="1142"/>
      <c r="P177" s="1142"/>
      <c r="Q177" s="1142"/>
      <c r="R177" s="1142"/>
      <c r="S177" s="1142"/>
      <c r="T177" s="1143"/>
      <c r="Y177" s="193"/>
      <c r="Z177" s="194"/>
      <c r="AA177" s="194"/>
      <c r="AB177" s="194"/>
      <c r="AC177" s="194"/>
      <c r="AD177" s="194"/>
      <c r="AE177" s="195"/>
      <c r="AI177" s="193"/>
      <c r="AJ177" s="194"/>
      <c r="AK177" s="194"/>
      <c r="AL177" s="194"/>
      <c r="AM177" s="195"/>
    </row>
    <row r="178" spans="2:39" s="11" customFormat="1" ht="48.75" customHeight="1">
      <c r="B178" s="1144"/>
      <c r="C178" s="1145"/>
      <c r="D178" s="1145"/>
      <c r="E178" s="1145"/>
      <c r="F178" s="1145"/>
      <c r="G178" s="1145"/>
      <c r="H178" s="1146"/>
      <c r="J178" s="1144"/>
      <c r="K178" s="1145"/>
      <c r="L178" s="1145"/>
      <c r="M178" s="1145"/>
      <c r="N178" s="1145"/>
      <c r="O178" s="1145"/>
      <c r="P178" s="1145"/>
      <c r="Q178" s="1145"/>
      <c r="R178" s="1145"/>
      <c r="S178" s="1145"/>
      <c r="T178" s="1146"/>
      <c r="Y178" s="193"/>
      <c r="Z178" s="194"/>
      <c r="AA178" s="194"/>
      <c r="AB178" s="194"/>
      <c r="AC178" s="194"/>
      <c r="AD178" s="194"/>
      <c r="AE178" s="195"/>
      <c r="AI178" s="193"/>
      <c r="AJ178" s="194"/>
      <c r="AK178" s="194"/>
      <c r="AL178" s="194"/>
      <c r="AM178" s="195"/>
    </row>
    <row r="179" spans="2:39" s="11" customFormat="1" ht="48.75" customHeight="1">
      <c r="B179" s="1144"/>
      <c r="C179" s="1145"/>
      <c r="D179" s="1145"/>
      <c r="E179" s="1145"/>
      <c r="F179" s="1145"/>
      <c r="G179" s="1145"/>
      <c r="H179" s="1146"/>
      <c r="J179" s="1144"/>
      <c r="K179" s="1145"/>
      <c r="L179" s="1145"/>
      <c r="M179" s="1145"/>
      <c r="N179" s="1145"/>
      <c r="O179" s="1145"/>
      <c r="P179" s="1145"/>
      <c r="Q179" s="1145"/>
      <c r="R179" s="1145"/>
      <c r="S179" s="1145"/>
      <c r="T179" s="1146"/>
      <c r="Y179" s="193"/>
      <c r="Z179" s="194"/>
      <c r="AA179" s="194"/>
      <c r="AB179" s="194"/>
      <c r="AC179" s="194"/>
      <c r="AD179" s="194"/>
      <c r="AE179" s="195"/>
      <c r="AI179" s="193"/>
      <c r="AJ179" s="194"/>
      <c r="AK179" s="194"/>
      <c r="AL179" s="194"/>
      <c r="AM179" s="195"/>
    </row>
    <row r="180" spans="2:39" s="11" customFormat="1" ht="48.75" customHeight="1">
      <c r="B180" s="1144"/>
      <c r="C180" s="1145"/>
      <c r="D180" s="1145"/>
      <c r="E180" s="1145"/>
      <c r="F180" s="1145"/>
      <c r="G180" s="1145"/>
      <c r="H180" s="1146"/>
      <c r="J180" s="1144"/>
      <c r="K180" s="1145"/>
      <c r="L180" s="1145"/>
      <c r="M180" s="1145"/>
      <c r="N180" s="1145"/>
      <c r="O180" s="1145"/>
      <c r="P180" s="1145"/>
      <c r="Q180" s="1145"/>
      <c r="R180" s="1145"/>
      <c r="S180" s="1145"/>
      <c r="T180" s="1146"/>
      <c r="Y180" s="193"/>
      <c r="Z180" s="194"/>
      <c r="AA180" s="194"/>
      <c r="AB180" s="194"/>
      <c r="AC180" s="194"/>
      <c r="AD180" s="194"/>
      <c r="AE180" s="195"/>
      <c r="AI180" s="193"/>
      <c r="AJ180" s="194"/>
      <c r="AK180" s="194"/>
      <c r="AL180" s="194"/>
      <c r="AM180" s="195"/>
    </row>
    <row r="181" spans="2:39" s="11" customFormat="1" ht="48.75" customHeight="1">
      <c r="B181" s="1144"/>
      <c r="C181" s="1145"/>
      <c r="D181" s="1145"/>
      <c r="E181" s="1145"/>
      <c r="F181" s="1145"/>
      <c r="G181" s="1145"/>
      <c r="H181" s="1146"/>
      <c r="J181" s="1144"/>
      <c r="K181" s="1145"/>
      <c r="L181" s="1145"/>
      <c r="M181" s="1145"/>
      <c r="N181" s="1145"/>
      <c r="O181" s="1145"/>
      <c r="P181" s="1145"/>
      <c r="Q181" s="1145"/>
      <c r="R181" s="1145"/>
      <c r="S181" s="1145"/>
      <c r="T181" s="1146"/>
      <c r="Y181" s="94"/>
      <c r="Z181" s="95"/>
      <c r="AA181" s="95"/>
      <c r="AB181" s="95"/>
      <c r="AC181" s="95"/>
      <c r="AD181" s="95"/>
      <c r="AE181" s="96"/>
      <c r="AI181" s="193"/>
      <c r="AJ181" s="194"/>
      <c r="AK181" s="194"/>
      <c r="AL181" s="194"/>
      <c r="AM181" s="195"/>
    </row>
    <row r="182" spans="2:39" s="11" customFormat="1" ht="48.75" customHeight="1">
      <c r="B182" s="1144"/>
      <c r="C182" s="1145"/>
      <c r="D182" s="1145"/>
      <c r="E182" s="1145"/>
      <c r="F182" s="1145"/>
      <c r="G182" s="1145"/>
      <c r="H182" s="1146"/>
      <c r="J182" s="1144"/>
      <c r="K182" s="1145"/>
      <c r="L182" s="1145"/>
      <c r="M182" s="1145"/>
      <c r="N182" s="1145"/>
      <c r="O182" s="1145"/>
      <c r="P182" s="1145"/>
      <c r="Q182" s="1145"/>
      <c r="R182" s="1145"/>
      <c r="S182" s="1145"/>
      <c r="T182" s="1146"/>
      <c r="AI182" s="94"/>
      <c r="AJ182" s="95"/>
      <c r="AK182" s="95"/>
      <c r="AL182" s="95"/>
      <c r="AM182" s="96"/>
    </row>
    <row r="183" spans="2:39" s="11" customFormat="1" ht="48.75" customHeight="1">
      <c r="B183" s="1144"/>
      <c r="C183" s="1145"/>
      <c r="D183" s="1145"/>
      <c r="E183" s="1145"/>
      <c r="F183" s="1145"/>
      <c r="G183" s="1145"/>
      <c r="H183" s="1146"/>
      <c r="J183" s="1144"/>
      <c r="K183" s="1145"/>
      <c r="L183" s="1145"/>
      <c r="M183" s="1145"/>
      <c r="N183" s="1145"/>
      <c r="O183" s="1145"/>
      <c r="P183" s="1145"/>
      <c r="Q183" s="1145"/>
      <c r="R183" s="1145"/>
      <c r="S183" s="1145"/>
      <c r="T183" s="1146"/>
    </row>
    <row r="184" spans="2:39" s="11" customFormat="1" ht="48.75" customHeight="1">
      <c r="B184" s="1144"/>
      <c r="C184" s="1145"/>
      <c r="D184" s="1145"/>
      <c r="E184" s="1145"/>
      <c r="F184" s="1145"/>
      <c r="G184" s="1145"/>
      <c r="H184" s="1146"/>
      <c r="J184" s="1147"/>
      <c r="K184" s="1148"/>
      <c r="L184" s="1148"/>
      <c r="M184" s="1148"/>
      <c r="N184" s="1148"/>
      <c r="O184" s="1148"/>
      <c r="P184" s="1148"/>
      <c r="Q184" s="1148"/>
      <c r="R184" s="1148"/>
      <c r="S184" s="1148"/>
      <c r="T184" s="1149"/>
    </row>
    <row r="185" spans="2:39" s="11" customFormat="1" ht="48.75" customHeight="1">
      <c r="B185" s="1144"/>
      <c r="C185" s="1145"/>
      <c r="D185" s="1145"/>
      <c r="E185" s="1145"/>
      <c r="F185" s="1145"/>
      <c r="G185" s="1145"/>
      <c r="H185" s="1146"/>
    </row>
    <row r="186" spans="2:39" s="11" customFormat="1" ht="48.75" customHeight="1">
      <c r="B186" s="1144"/>
      <c r="C186" s="1145"/>
      <c r="D186" s="1145"/>
      <c r="E186" s="1145"/>
      <c r="F186" s="1145"/>
      <c r="G186" s="1145"/>
      <c r="H186" s="1146"/>
    </row>
    <row r="187" spans="2:39" s="11" customFormat="1" ht="48.75" customHeight="1">
      <c r="B187" s="1144"/>
      <c r="C187" s="1145"/>
      <c r="D187" s="1145"/>
      <c r="E187" s="1145"/>
      <c r="F187" s="1145"/>
      <c r="G187" s="1145"/>
      <c r="H187" s="1146"/>
    </row>
    <row r="188" spans="2:39" s="11" customFormat="1" ht="48.75" customHeight="1">
      <c r="B188" s="1144"/>
      <c r="C188" s="1145"/>
      <c r="D188" s="1145"/>
      <c r="E188" s="1145"/>
      <c r="F188" s="1145"/>
      <c r="G188" s="1145"/>
      <c r="H188" s="1146"/>
      <c r="W188" s="1405" t="s">
        <v>1795</v>
      </c>
      <c r="X188" s="1406"/>
      <c r="Y188" s="1406"/>
      <c r="Z188" s="1406"/>
      <c r="AA188" s="1407"/>
      <c r="AB188" s="140"/>
    </row>
    <row r="189" spans="2:39" s="11" customFormat="1" ht="48.75" customHeight="1">
      <c r="B189" s="1144"/>
      <c r="C189" s="1145"/>
      <c r="D189" s="1145"/>
      <c r="E189" s="1145"/>
      <c r="F189" s="1145"/>
      <c r="G189" s="1145"/>
      <c r="H189" s="1146"/>
      <c r="U189" s="599"/>
      <c r="W189" s="600" t="s">
        <v>460</v>
      </c>
      <c r="X189" s="601">
        <f>'Вывод расчетов'!$AZ$50</f>
        <v>0.9</v>
      </c>
      <c r="Y189" s="92"/>
      <c r="Z189" s="92"/>
      <c r="AA189" s="92"/>
      <c r="AB189" s="93"/>
    </row>
    <row r="190" spans="2:39" s="11" customFormat="1" ht="48.75" customHeight="1">
      <c r="B190" s="1144"/>
      <c r="C190" s="1145"/>
      <c r="D190" s="1145"/>
      <c r="E190" s="1145"/>
      <c r="F190" s="1145"/>
      <c r="G190" s="1145"/>
      <c r="H190" s="1146"/>
      <c r="W190" s="91"/>
      <c r="X190" s="92"/>
      <c r="Y190" s="194"/>
      <c r="Z190" s="194"/>
      <c r="AA190" s="194"/>
      <c r="AB190" s="195"/>
    </row>
    <row r="191" spans="2:39" s="11" customFormat="1" ht="48.75" customHeight="1">
      <c r="B191" s="1144"/>
      <c r="C191" s="1145"/>
      <c r="D191" s="1145"/>
      <c r="E191" s="1145"/>
      <c r="F191" s="1145"/>
      <c r="G191" s="1145"/>
      <c r="H191" s="1146"/>
      <c r="W191" s="193"/>
      <c r="X191" s="194"/>
      <c r="Y191" s="194"/>
      <c r="Z191" s="194"/>
      <c r="AA191" s="194"/>
      <c r="AB191" s="195"/>
    </row>
    <row r="192" spans="2:39" s="11" customFormat="1" ht="48.75" customHeight="1">
      <c r="B192" s="1147"/>
      <c r="C192" s="1148"/>
      <c r="D192" s="1148"/>
      <c r="E192" s="1148"/>
      <c r="F192" s="1148"/>
      <c r="G192" s="1148"/>
      <c r="H192" s="1149"/>
      <c r="W192" s="193"/>
      <c r="X192" s="194"/>
      <c r="Y192" s="194"/>
      <c r="Z192" s="194"/>
      <c r="AA192" s="194"/>
      <c r="AB192" s="195"/>
    </row>
    <row r="193" spans="2:61" ht="48.75" customHeight="1">
      <c r="W193" s="193"/>
      <c r="X193" s="194"/>
      <c r="Y193" s="194"/>
      <c r="Z193" s="194"/>
      <c r="AA193" s="194"/>
      <c r="AB193" s="195"/>
      <c r="BI193" s="11"/>
    </row>
    <row r="194" spans="2:61" ht="48.75" customHeight="1">
      <c r="W194" s="193"/>
      <c r="X194" s="194"/>
      <c r="Y194" s="194"/>
      <c r="Z194" s="194"/>
      <c r="AA194" s="194"/>
      <c r="AB194" s="195"/>
      <c r="BI194" s="11"/>
    </row>
    <row r="195" spans="2:61" ht="48.75" customHeight="1">
      <c r="W195" s="193"/>
      <c r="X195" s="194"/>
      <c r="Y195" s="194"/>
      <c r="Z195" s="194"/>
      <c r="AA195" s="194"/>
      <c r="AB195" s="195"/>
      <c r="BI195" s="11"/>
    </row>
    <row r="196" spans="2:61" ht="48.75" customHeight="1">
      <c r="W196" s="94"/>
      <c r="X196" s="95"/>
      <c r="Y196" s="95"/>
      <c r="Z196" s="95"/>
      <c r="AA196" s="95"/>
      <c r="AB196" s="96"/>
      <c r="BI196" s="11"/>
    </row>
    <row r="197" spans="2:61" ht="48.75" customHeight="1">
      <c r="B197" s="1728" t="s">
        <v>574</v>
      </c>
      <c r="C197" s="1724"/>
      <c r="D197" s="1724"/>
      <c r="E197" s="1724"/>
      <c r="F197" s="1724"/>
      <c r="G197" s="1724"/>
      <c r="H197" s="1724"/>
      <c r="I197" s="1724"/>
      <c r="J197" s="1724"/>
      <c r="K197" s="1725"/>
      <c r="L197" s="1073"/>
      <c r="AQ197" s="317"/>
      <c r="AR197" s="317"/>
      <c r="AS197" s="318"/>
      <c r="AT197" s="317"/>
      <c r="AU197" s="317"/>
      <c r="AV197" s="317"/>
      <c r="AW197" s="81"/>
      <c r="AX197" s="317"/>
      <c r="AY197" s="317"/>
      <c r="AZ197" s="56"/>
      <c r="BA197" s="317"/>
      <c r="BB197" s="317"/>
      <c r="BC197" s="317"/>
      <c r="BD197" s="317"/>
      <c r="BE197" s="317"/>
      <c r="BF197" s="317"/>
      <c r="BH197" s="317"/>
      <c r="BI197" s="319"/>
    </row>
    <row r="198" spans="2:61" ht="48.75" customHeight="1">
      <c r="B198" s="1729"/>
      <c r="C198" s="1726"/>
      <c r="D198" s="1726"/>
      <c r="E198" s="1726"/>
      <c r="F198" s="1726"/>
      <c r="G198" s="1726"/>
      <c r="H198" s="1726"/>
      <c r="I198" s="1726"/>
      <c r="J198" s="1726"/>
      <c r="K198" s="1727"/>
      <c r="L198" s="1072"/>
      <c r="AQ198" s="317"/>
      <c r="AR198" s="317"/>
      <c r="AS198" s="318"/>
      <c r="AT198" s="317"/>
      <c r="AU198" s="317"/>
      <c r="AV198" s="317"/>
      <c r="AW198" s="81"/>
      <c r="AX198" s="317"/>
      <c r="AY198" s="317"/>
      <c r="AZ198" s="56"/>
      <c r="BA198" s="317"/>
      <c r="BB198" s="317"/>
      <c r="BC198" s="317"/>
      <c r="BD198" s="317"/>
      <c r="BE198" s="317"/>
      <c r="BF198" s="317"/>
      <c r="BH198" s="317"/>
      <c r="BI198" s="319"/>
    </row>
    <row r="199" spans="2:61" ht="48.75" customHeight="1">
      <c r="B199" s="1385" t="s">
        <v>556</v>
      </c>
      <c r="C199" s="1385"/>
      <c r="D199" s="1715" t="s">
        <v>557</v>
      </c>
      <c r="E199" s="1715" t="s">
        <v>558</v>
      </c>
      <c r="F199" s="1715" t="s">
        <v>559</v>
      </c>
      <c r="G199" s="710" t="s">
        <v>560</v>
      </c>
      <c r="H199" s="1714"/>
      <c r="I199" s="1714"/>
      <c r="J199" s="711"/>
      <c r="K199" s="1715" t="s">
        <v>561</v>
      </c>
      <c r="L199" s="1715" t="s">
        <v>562</v>
      </c>
      <c r="AQ199" s="317"/>
      <c r="AR199" s="317"/>
      <c r="AS199" s="318"/>
      <c r="AT199" s="317"/>
      <c r="AU199" s="317"/>
      <c r="AV199" s="317"/>
      <c r="AW199" s="81"/>
      <c r="AX199" s="317"/>
      <c r="AY199" s="317"/>
      <c r="AZ199" s="56"/>
      <c r="BA199" s="317"/>
      <c r="BB199" s="317"/>
      <c r="BC199" s="317"/>
      <c r="BD199" s="317"/>
      <c r="BE199" s="317"/>
      <c r="BF199" s="317"/>
      <c r="BH199" s="317"/>
      <c r="BI199" s="319"/>
    </row>
    <row r="200" spans="2:61" ht="48.75" customHeight="1">
      <c r="B200" s="1385"/>
      <c r="C200" s="1385"/>
      <c r="D200" s="1404"/>
      <c r="E200" s="1404"/>
      <c r="F200" s="1404"/>
      <c r="G200" s="710" t="s">
        <v>563</v>
      </c>
      <c r="H200" s="1714"/>
      <c r="I200" s="711"/>
      <c r="J200" s="1715" t="s">
        <v>564</v>
      </c>
      <c r="K200" s="1404"/>
      <c r="L200" s="1404"/>
      <c r="AQ200" s="317"/>
      <c r="AR200" s="317"/>
      <c r="AS200" s="318"/>
      <c r="AT200" s="317"/>
      <c r="AU200" s="317"/>
      <c r="AV200" s="317"/>
      <c r="AW200" s="81"/>
      <c r="AX200" s="317"/>
      <c r="AY200" s="317"/>
      <c r="AZ200" s="56"/>
      <c r="BA200" s="317"/>
      <c r="BB200" s="317"/>
      <c r="BC200" s="317"/>
      <c r="BD200" s="317"/>
      <c r="BE200" s="317"/>
      <c r="BF200" s="317"/>
      <c r="BH200" s="317"/>
      <c r="BI200" s="319"/>
    </row>
    <row r="201" spans="2:61" ht="48.75" customHeight="1">
      <c r="B201" s="1385"/>
      <c r="C201" s="1385"/>
      <c r="D201" s="1789"/>
      <c r="E201" s="1789"/>
      <c r="F201" s="1789"/>
      <c r="G201" s="279" t="s">
        <v>565</v>
      </c>
      <c r="H201" s="279" t="s">
        <v>566</v>
      </c>
      <c r="I201" s="279" t="s">
        <v>567</v>
      </c>
      <c r="J201" s="1789"/>
      <c r="K201" s="1789"/>
      <c r="L201" s="1789"/>
      <c r="AQ201" s="317"/>
      <c r="AR201" s="317"/>
      <c r="AS201" s="318"/>
      <c r="AT201" s="317"/>
      <c r="AU201" s="317"/>
      <c r="AV201" s="317"/>
      <c r="AW201" s="81"/>
      <c r="AX201" s="317"/>
      <c r="AY201" s="317"/>
      <c r="AZ201" s="56"/>
      <c r="BA201" s="317"/>
      <c r="BB201" s="317"/>
      <c r="BC201" s="317"/>
      <c r="BD201" s="317"/>
      <c r="BE201" s="317"/>
      <c r="BF201" s="317"/>
      <c r="BH201" s="317"/>
      <c r="BI201" s="319"/>
    </row>
    <row r="202" spans="2:61" ht="48.75" customHeight="1">
      <c r="B202" s="1696"/>
      <c r="C202" s="1696"/>
      <c r="D202" s="1795" t="s">
        <v>568</v>
      </c>
      <c r="E202" s="279"/>
      <c r="F202" s="710" t="s">
        <v>570</v>
      </c>
      <c r="G202" s="1714"/>
      <c r="H202" s="1714"/>
      <c r="I202" s="711"/>
      <c r="J202" s="279"/>
      <c r="K202" s="279"/>
      <c r="L202" s="279"/>
      <c r="AQ202" s="317"/>
      <c r="AR202" s="317"/>
      <c r="AS202" s="318"/>
      <c r="AT202" s="317"/>
      <c r="AU202" s="317"/>
      <c r="AV202" s="317"/>
      <c r="AW202" s="81"/>
      <c r="AX202" s="317"/>
      <c r="AY202" s="317"/>
      <c r="AZ202" s="56"/>
      <c r="BA202" s="317"/>
      <c r="BB202" s="317"/>
      <c r="BC202" s="317"/>
      <c r="BD202" s="317"/>
      <c r="BE202" s="317"/>
      <c r="BF202" s="317"/>
      <c r="BH202" s="317"/>
      <c r="BI202" s="319"/>
    </row>
    <row r="203" spans="2:61" ht="48.75" customHeight="1">
      <c r="B203" s="1696"/>
      <c r="C203" s="1696"/>
      <c r="D203" s="1795"/>
      <c r="E203" s="279" t="s">
        <v>569</v>
      </c>
      <c r="F203" s="279">
        <v>1</v>
      </c>
      <c r="G203" s="279" t="s">
        <v>571</v>
      </c>
      <c r="H203" s="1385" t="s">
        <v>572</v>
      </c>
      <c r="I203" s="1385"/>
      <c r="J203" s="279">
        <v>0.2</v>
      </c>
      <c r="K203" s="279">
        <v>1</v>
      </c>
      <c r="L203" s="279">
        <v>0.2</v>
      </c>
      <c r="AQ203" s="317"/>
      <c r="AR203" s="317"/>
      <c r="AS203" s="318"/>
      <c r="AT203" s="317"/>
      <c r="AU203" s="317"/>
      <c r="AV203" s="317"/>
      <c r="AW203" s="81"/>
      <c r="AX203" s="317"/>
      <c r="AY203" s="317"/>
      <c r="AZ203" s="56"/>
      <c r="BA203" s="317"/>
      <c r="BB203" s="317"/>
      <c r="BC203" s="317"/>
      <c r="BD203" s="317"/>
      <c r="BE203" s="317"/>
      <c r="BF203" s="317"/>
      <c r="BH203" s="317"/>
      <c r="BI203" s="319"/>
    </row>
    <row r="204" spans="2:61" ht="48.75" customHeight="1">
      <c r="B204" s="1696"/>
      <c r="C204" s="1696"/>
      <c r="D204" s="1795"/>
      <c r="E204" s="106"/>
      <c r="F204" s="279">
        <v>2</v>
      </c>
      <c r="G204" s="279" t="s">
        <v>571</v>
      </c>
      <c r="H204" s="1385" t="s">
        <v>572</v>
      </c>
      <c r="I204" s="1385"/>
      <c r="J204" s="279">
        <v>0.3</v>
      </c>
      <c r="K204" s="279">
        <v>1</v>
      </c>
      <c r="L204" s="279">
        <v>0.3</v>
      </c>
      <c r="AQ204" s="317"/>
      <c r="AR204" s="317"/>
      <c r="AS204" s="318"/>
      <c r="AT204" s="317"/>
      <c r="AU204" s="317"/>
      <c r="AV204" s="317"/>
      <c r="AW204" s="81"/>
      <c r="AX204" s="317"/>
      <c r="AY204" s="317"/>
      <c r="AZ204" s="56"/>
      <c r="BA204" s="317"/>
      <c r="BB204" s="317"/>
      <c r="BC204" s="317"/>
      <c r="BD204" s="317"/>
      <c r="BE204" s="317"/>
      <c r="BF204" s="317"/>
      <c r="BH204" s="317"/>
      <c r="BI204" s="319"/>
    </row>
    <row r="205" spans="2:61" ht="48.75" customHeight="1">
      <c r="B205" s="1696"/>
      <c r="C205" s="1696"/>
      <c r="D205" s="1795"/>
      <c r="E205" s="279"/>
      <c r="F205" s="710" t="s">
        <v>570</v>
      </c>
      <c r="G205" s="1714"/>
      <c r="H205" s="1714"/>
      <c r="I205" s="711"/>
      <c r="J205" s="279"/>
      <c r="K205" s="279"/>
      <c r="L205" s="279"/>
      <c r="AQ205" s="317"/>
      <c r="AR205" s="317"/>
      <c r="AS205" s="318"/>
      <c r="AT205" s="317"/>
      <c r="AU205" s="317"/>
      <c r="AV205" s="317"/>
      <c r="AW205" s="81"/>
      <c r="AX205" s="317"/>
      <c r="AY205" s="317"/>
      <c r="BI205" s="11"/>
    </row>
    <row r="206" spans="2:61" ht="48.75" customHeight="1">
      <c r="B206" s="1696"/>
      <c r="C206" s="1696"/>
      <c r="D206" s="1795"/>
      <c r="E206" s="279" t="s">
        <v>573</v>
      </c>
      <c r="F206" s="279">
        <v>1</v>
      </c>
      <c r="G206" s="279" t="s">
        <v>571</v>
      </c>
      <c r="H206" s="1385" t="s">
        <v>572</v>
      </c>
      <c r="I206" s="1385"/>
      <c r="J206" s="279">
        <v>0.25</v>
      </c>
      <c r="K206" s="279">
        <v>1</v>
      </c>
      <c r="L206" s="279">
        <v>0.25</v>
      </c>
      <c r="AQ206" s="317"/>
      <c r="AR206" s="317"/>
      <c r="AS206" s="318"/>
      <c r="AT206" s="317"/>
      <c r="AU206" s="317"/>
      <c r="AV206" s="317"/>
      <c r="AW206" s="81"/>
      <c r="AX206" s="317"/>
      <c r="AY206" s="317"/>
      <c r="BI206" s="11"/>
    </row>
    <row r="207" spans="2:61" ht="48.75" customHeight="1">
      <c r="B207" s="1696"/>
      <c r="C207" s="1696"/>
      <c r="D207" s="1795"/>
      <c r="E207" s="106"/>
      <c r="F207" s="279">
        <v>2</v>
      </c>
      <c r="G207" s="279" t="s">
        <v>571</v>
      </c>
      <c r="H207" s="1385" t="s">
        <v>572</v>
      </c>
      <c r="I207" s="1385"/>
      <c r="J207" s="279">
        <v>0.35</v>
      </c>
      <c r="K207" s="279">
        <v>1</v>
      </c>
      <c r="L207" s="279">
        <v>0.35</v>
      </c>
      <c r="AQ207" s="317"/>
      <c r="AR207" s="317"/>
      <c r="AS207" s="318"/>
      <c r="AT207" s="317"/>
      <c r="AU207" s="317"/>
      <c r="AV207" s="317"/>
      <c r="AW207" s="81"/>
      <c r="AX207" s="317"/>
      <c r="AY207" s="317"/>
      <c r="BI207" s="11"/>
    </row>
    <row r="208" spans="2:61" ht="48.75" customHeight="1">
      <c r="B208" s="1696"/>
      <c r="C208" s="1696"/>
      <c r="D208" s="1795"/>
      <c r="E208" s="1385">
        <v>160</v>
      </c>
      <c r="F208" s="710" t="s">
        <v>570</v>
      </c>
      <c r="G208" s="1714"/>
      <c r="H208" s="1714"/>
      <c r="I208" s="711"/>
      <c r="J208" s="279"/>
      <c r="K208" s="279"/>
      <c r="L208" s="279"/>
      <c r="AQ208" s="317"/>
      <c r="AR208" s="317"/>
      <c r="AS208" s="318"/>
      <c r="AT208" s="317"/>
      <c r="AU208" s="317"/>
      <c r="AV208" s="317"/>
      <c r="AW208" s="81"/>
      <c r="AX208" s="317"/>
      <c r="AY208" s="317"/>
      <c r="AZ208" s="56"/>
      <c r="BA208" s="317"/>
      <c r="BB208" s="317"/>
      <c r="BC208" s="317"/>
      <c r="BD208" s="317"/>
      <c r="BE208" s="317"/>
      <c r="BF208" s="317"/>
      <c r="BH208" s="317"/>
      <c r="BI208" s="319"/>
    </row>
    <row r="209" spans="2:61" ht="48.75" customHeight="1">
      <c r="B209" s="1696"/>
      <c r="C209" s="1696"/>
      <c r="D209" s="1795"/>
      <c r="E209" s="1385"/>
      <c r="F209" s="279">
        <v>1</v>
      </c>
      <c r="G209" s="279" t="s">
        <v>571</v>
      </c>
      <c r="H209" s="1385" t="s">
        <v>572</v>
      </c>
      <c r="I209" s="1385"/>
      <c r="J209" s="279">
        <v>0.4</v>
      </c>
      <c r="K209" s="279">
        <v>1</v>
      </c>
      <c r="L209" s="279">
        <v>0.4</v>
      </c>
      <c r="AQ209" s="317"/>
      <c r="AR209" s="317"/>
      <c r="AS209" s="318"/>
      <c r="AT209" s="317"/>
      <c r="AU209" s="317"/>
      <c r="AV209" s="317"/>
      <c r="AW209" s="81"/>
      <c r="AX209" s="317"/>
      <c r="AY209" s="317"/>
      <c r="AZ209" s="56"/>
      <c r="BA209" s="317"/>
      <c r="BC209" s="317"/>
      <c r="BD209" s="317"/>
      <c r="BE209" s="317"/>
      <c r="BF209" s="317"/>
      <c r="BH209" s="317"/>
      <c r="BI209" s="319"/>
    </row>
    <row r="210" spans="2:61" ht="48.75" customHeight="1">
      <c r="B210" s="1696"/>
      <c r="C210" s="1696"/>
      <c r="D210" s="1795"/>
      <c r="E210" s="1385"/>
      <c r="F210" s="279">
        <v>2</v>
      </c>
      <c r="G210" s="279" t="s">
        <v>571</v>
      </c>
      <c r="H210" s="1385" t="s">
        <v>572</v>
      </c>
      <c r="I210" s="1385"/>
      <c r="J210" s="279">
        <v>0.5</v>
      </c>
      <c r="K210" s="279">
        <v>1</v>
      </c>
      <c r="L210" s="279">
        <v>0.5</v>
      </c>
      <c r="AQ210" s="317"/>
      <c r="AR210" s="317"/>
      <c r="AS210" s="318"/>
      <c r="AT210" s="317"/>
      <c r="AU210" s="317"/>
      <c r="AV210" s="317"/>
      <c r="AW210" s="81"/>
      <c r="AX210" s="317"/>
      <c r="AY210" s="317"/>
      <c r="AZ210" s="56"/>
      <c r="BA210" s="317"/>
      <c r="BC210" s="317"/>
      <c r="BD210" s="317"/>
      <c r="BE210" s="317"/>
      <c r="BF210" s="317"/>
      <c r="BH210" s="317"/>
      <c r="BI210" s="319"/>
    </row>
    <row r="211" spans="2:61" ht="48.75" customHeight="1">
      <c r="B211" s="1385"/>
      <c r="C211" s="1385"/>
      <c r="D211" s="1795" t="s">
        <v>575</v>
      </c>
      <c r="F211" s="710" t="s">
        <v>570</v>
      </c>
      <c r="G211" s="1714"/>
      <c r="H211" s="1714"/>
      <c r="I211" s="711"/>
      <c r="J211" s="107"/>
      <c r="K211" s="107"/>
      <c r="L211" s="107"/>
      <c r="AQ211" s="317"/>
      <c r="AR211" s="317"/>
      <c r="AS211" s="318"/>
      <c r="AT211" s="317"/>
      <c r="AU211" s="317"/>
      <c r="AV211" s="317"/>
      <c r="AW211" s="81"/>
      <c r="AX211" s="317"/>
      <c r="AY211" s="317"/>
      <c r="AZ211" s="56"/>
      <c r="BA211" s="317"/>
      <c r="BC211" s="317"/>
      <c r="BD211" s="317"/>
      <c r="BE211" s="317"/>
      <c r="BF211" s="317"/>
      <c r="BH211" s="317"/>
      <c r="BI211" s="319"/>
    </row>
    <row r="212" spans="2:61" ht="48.75" customHeight="1">
      <c r="B212" s="1385"/>
      <c r="C212" s="1385"/>
      <c r="D212" s="1795"/>
      <c r="E212" s="1715" t="s">
        <v>576</v>
      </c>
      <c r="F212" s="1715">
        <v>1</v>
      </c>
      <c r="G212" s="1385" t="s">
        <v>571</v>
      </c>
      <c r="H212" s="1728" t="s">
        <v>572</v>
      </c>
      <c r="I212" s="1725"/>
      <c r="J212" s="1715">
        <v>0.4</v>
      </c>
      <c r="K212" s="1715">
        <v>1</v>
      </c>
      <c r="L212" s="1715">
        <v>0.4</v>
      </c>
      <c r="AQ212" s="317"/>
      <c r="AR212" s="317"/>
      <c r="AS212" s="318"/>
      <c r="AT212" s="317"/>
      <c r="AU212" s="317"/>
      <c r="AV212" s="317"/>
      <c r="AW212" s="81"/>
      <c r="AX212" s="317"/>
      <c r="AY212" s="317"/>
      <c r="AZ212" s="56"/>
      <c r="BA212" s="317"/>
      <c r="BC212" s="317"/>
      <c r="BD212" s="317"/>
      <c r="BE212" s="317"/>
      <c r="BF212" s="317"/>
      <c r="BH212" s="317"/>
      <c r="BI212" s="319"/>
    </row>
    <row r="213" spans="2:61" ht="48.75" customHeight="1">
      <c r="B213" s="1385"/>
      <c r="C213" s="1385"/>
      <c r="D213" s="1795"/>
      <c r="E213" s="1404"/>
      <c r="F213" s="1789"/>
      <c r="G213" s="1385"/>
      <c r="H213" s="1729"/>
      <c r="I213" s="1727"/>
      <c r="J213" s="1789"/>
      <c r="K213" s="1789"/>
      <c r="L213" s="1789"/>
      <c r="AQ213" s="317"/>
      <c r="AR213" s="317"/>
      <c r="AS213" s="318"/>
      <c r="AT213" s="317"/>
      <c r="AU213" s="317"/>
      <c r="AV213" s="317"/>
      <c r="AW213" s="81"/>
      <c r="AX213" s="317"/>
      <c r="AY213" s="317"/>
      <c r="AZ213" s="56"/>
      <c r="BA213" s="317"/>
      <c r="BB213" s="317"/>
      <c r="BC213" s="317"/>
      <c r="BD213" s="317"/>
      <c r="BE213" s="317"/>
      <c r="BF213" s="317"/>
      <c r="BH213" s="317"/>
      <c r="BI213" s="319"/>
    </row>
    <row r="214" spans="2:61" ht="48.75" customHeight="1">
      <c r="B214" s="1385"/>
      <c r="C214" s="1385"/>
      <c r="D214" s="1795"/>
      <c r="E214" s="1404"/>
      <c r="F214" s="1715">
        <v>2</v>
      </c>
      <c r="G214" s="1385" t="s">
        <v>571</v>
      </c>
      <c r="H214" s="1728" t="s">
        <v>572</v>
      </c>
      <c r="I214" s="1725"/>
      <c r="J214" s="1715">
        <v>0.4</v>
      </c>
      <c r="K214" s="1715">
        <v>1</v>
      </c>
      <c r="L214" s="1715">
        <v>0.4</v>
      </c>
      <c r="X214" s="300"/>
      <c r="Y214" s="300"/>
      <c r="Z214" s="300"/>
      <c r="AA214" s="300"/>
      <c r="AB214" s="300"/>
      <c r="AC214" s="300"/>
      <c r="AD214" s="300"/>
      <c r="AE214" s="300"/>
      <c r="AF214" s="300"/>
      <c r="AG214" s="300"/>
      <c r="AH214" s="300"/>
      <c r="AI214" s="300"/>
      <c r="AQ214" s="317"/>
      <c r="AR214" s="317"/>
      <c r="AS214" s="318"/>
      <c r="AT214" s="317"/>
      <c r="AU214" s="317"/>
      <c r="AV214" s="317"/>
      <c r="AW214" s="81"/>
      <c r="AX214" s="317"/>
      <c r="AY214" s="317"/>
      <c r="AZ214" s="56"/>
      <c r="BA214" s="317"/>
      <c r="BB214" s="317"/>
      <c r="BC214" s="317"/>
      <c r="BD214" s="317"/>
      <c r="BE214" s="317"/>
      <c r="BF214" s="317"/>
      <c r="BH214" s="317"/>
      <c r="BI214" s="319"/>
    </row>
    <row r="215" spans="2:61" ht="48.75" customHeight="1">
      <c r="B215" s="1385"/>
      <c r="C215" s="1385"/>
      <c r="D215" s="1795"/>
      <c r="E215" s="1404"/>
      <c r="F215" s="1789"/>
      <c r="G215" s="1385"/>
      <c r="H215" s="1729"/>
      <c r="I215" s="1727"/>
      <c r="J215" s="1789"/>
      <c r="K215" s="1789"/>
      <c r="L215" s="1789"/>
      <c r="X215" s="300"/>
      <c r="Y215" s="300"/>
      <c r="Z215" s="300"/>
      <c r="AA215" s="300"/>
      <c r="AB215" s="300"/>
      <c r="AC215" s="300"/>
      <c r="AD215" s="300"/>
      <c r="AE215" s="300"/>
      <c r="AF215" s="300"/>
      <c r="AG215" s="300"/>
      <c r="AH215" s="300"/>
      <c r="AI215" s="300"/>
      <c r="AQ215" s="317"/>
      <c r="AR215" s="317"/>
      <c r="AS215" s="318"/>
      <c r="AT215" s="317"/>
      <c r="AU215" s="317"/>
      <c r="AV215" s="317"/>
      <c r="AW215" s="81"/>
      <c r="AX215" s="317"/>
      <c r="AY215" s="317"/>
      <c r="AZ215" s="56"/>
      <c r="BA215" s="317"/>
      <c r="BB215" s="317"/>
      <c r="BC215" s="317"/>
      <c r="BD215" s="317"/>
      <c r="BE215" s="317"/>
      <c r="BF215" s="317"/>
      <c r="BH215" s="317"/>
      <c r="BI215" s="319"/>
    </row>
    <row r="216" spans="2:61" ht="48.75" customHeight="1">
      <c r="B216" s="1385"/>
      <c r="C216" s="1385"/>
      <c r="D216" s="1795"/>
      <c r="E216" s="1404"/>
      <c r="F216" s="1715">
        <v>3</v>
      </c>
      <c r="G216" s="1385" t="s">
        <v>571</v>
      </c>
      <c r="H216" s="1728" t="s">
        <v>572</v>
      </c>
      <c r="I216" s="1725"/>
      <c r="J216" s="1715">
        <v>0.5</v>
      </c>
      <c r="K216" s="1715">
        <v>1</v>
      </c>
      <c r="L216" s="1715">
        <v>0.5</v>
      </c>
      <c r="X216" s="300"/>
      <c r="Y216" s="300"/>
      <c r="Z216" s="300"/>
      <c r="AA216" s="300"/>
      <c r="AB216" s="300"/>
      <c r="AC216" s="300"/>
      <c r="AD216" s="300"/>
      <c r="AE216" s="300"/>
      <c r="AF216" s="300"/>
      <c r="AG216" s="300"/>
      <c r="AH216" s="300"/>
      <c r="AI216" s="300"/>
      <c r="AQ216" s="317"/>
      <c r="AR216" s="317"/>
      <c r="AS216" s="318"/>
      <c r="AT216" s="317"/>
      <c r="AU216" s="317"/>
      <c r="AV216" s="317"/>
      <c r="AW216" s="81"/>
      <c r="AX216" s="317"/>
      <c r="AY216" s="317"/>
      <c r="AZ216" s="56"/>
      <c r="BA216" s="317"/>
      <c r="BB216" s="317"/>
      <c r="BC216" s="317"/>
      <c r="BD216" s="317"/>
      <c r="BE216" s="317"/>
      <c r="BF216" s="317"/>
      <c r="BH216" s="317"/>
      <c r="BI216" s="319"/>
    </row>
    <row r="217" spans="2:61" ht="48.75" customHeight="1">
      <c r="B217" s="1385"/>
      <c r="C217" s="1385"/>
      <c r="D217" s="1795"/>
      <c r="E217" s="1789"/>
      <c r="F217" s="1789"/>
      <c r="G217" s="1385"/>
      <c r="H217" s="1729"/>
      <c r="I217" s="1727"/>
      <c r="J217" s="1789"/>
      <c r="K217" s="1789"/>
      <c r="L217" s="1789"/>
      <c r="X217" s="300"/>
      <c r="Y217" s="300"/>
      <c r="Z217" s="300"/>
      <c r="AA217" s="300"/>
      <c r="AB217" s="300"/>
      <c r="AC217" s="300"/>
      <c r="AD217" s="300"/>
      <c r="AE217" s="300"/>
      <c r="AF217" s="300"/>
      <c r="AG217" s="300"/>
      <c r="AH217" s="300"/>
      <c r="AI217" s="300"/>
      <c r="AQ217" s="317"/>
      <c r="AR217" s="317"/>
      <c r="AS217" s="318"/>
      <c r="AT217" s="317"/>
      <c r="AU217" s="317"/>
      <c r="AV217" s="317"/>
      <c r="AW217" s="81"/>
      <c r="AX217" s="317"/>
      <c r="AY217" s="317"/>
      <c r="AZ217" s="56"/>
      <c r="BA217" s="317"/>
      <c r="BB217" s="317"/>
      <c r="BC217" s="317"/>
      <c r="BD217" s="317"/>
      <c r="BE217" s="317"/>
      <c r="BF217" s="317"/>
      <c r="BH217" s="317"/>
      <c r="BI217" s="319"/>
    </row>
    <row r="218" spans="2:61" ht="48.75" customHeight="1">
      <c r="AC218" s="300"/>
      <c r="AD218" s="300"/>
      <c r="AE218" s="300"/>
      <c r="AF218" s="300"/>
      <c r="AG218" s="300"/>
      <c r="AH218" s="300"/>
      <c r="AI218" s="300"/>
      <c r="AQ218" s="317"/>
      <c r="AR218" s="317"/>
      <c r="AS218" s="318"/>
      <c r="AT218" s="317"/>
      <c r="AU218" s="317"/>
      <c r="AV218" s="317"/>
      <c r="AW218" s="81"/>
      <c r="AX218" s="317"/>
      <c r="AY218" s="317"/>
      <c r="AZ218" s="56"/>
      <c r="BA218" s="317"/>
      <c r="BB218" s="317"/>
      <c r="BC218" s="317"/>
      <c r="BD218" s="317"/>
      <c r="BE218" s="317"/>
      <c r="BF218" s="317"/>
      <c r="BH218" s="317"/>
      <c r="BI218" s="319"/>
    </row>
    <row r="219" spans="2:61" ht="48.75" customHeight="1">
      <c r="B219" s="300"/>
      <c r="C219" s="300"/>
      <c r="D219" s="300"/>
      <c r="E219" s="300"/>
      <c r="F219" s="300"/>
      <c r="G219" s="300"/>
      <c r="H219" s="300"/>
      <c r="I219" s="300"/>
      <c r="J219" s="300"/>
      <c r="K219" s="300"/>
      <c r="L219" s="300"/>
      <c r="M219" s="320"/>
      <c r="N219" s="320"/>
      <c r="O219" s="320"/>
      <c r="P219" s="320"/>
      <c r="Q219" s="320"/>
      <c r="R219" s="320"/>
      <c r="S219" s="320"/>
      <c r="T219" s="321"/>
      <c r="U219" s="321"/>
      <c r="V219" s="321"/>
      <c r="AC219" s="300"/>
      <c r="AD219" s="300"/>
      <c r="AE219" s="300"/>
      <c r="AF219" s="300"/>
      <c r="AG219" s="300"/>
      <c r="AH219" s="300"/>
      <c r="AI219" s="300"/>
      <c r="AO219" s="1029"/>
      <c r="AP219" s="1030"/>
      <c r="AQ219" s="1030"/>
      <c r="AR219" s="1030"/>
      <c r="AS219" s="1030"/>
      <c r="AT219" s="1030"/>
      <c r="AU219" s="1031"/>
      <c r="AV219" s="317"/>
      <c r="AW219" s="81"/>
      <c r="AX219" s="317"/>
      <c r="AY219" s="317"/>
      <c r="AZ219" s="56"/>
      <c r="BA219" s="317"/>
      <c r="BB219" s="317"/>
      <c r="BC219" s="317"/>
      <c r="BD219" s="317"/>
      <c r="BE219" s="317"/>
      <c r="BF219" s="317"/>
      <c r="BH219" s="317"/>
      <c r="BI219" s="319"/>
    </row>
    <row r="220" spans="2:61" ht="48.75" customHeight="1">
      <c r="B220" s="1035" t="s">
        <v>635</v>
      </c>
      <c r="C220" s="1797"/>
      <c r="D220" s="1797"/>
      <c r="E220" s="1797"/>
      <c r="F220" s="1797"/>
      <c r="G220" s="1797"/>
      <c r="H220" s="1797"/>
      <c r="I220" s="1797"/>
      <c r="J220" s="1797"/>
      <c r="K220" s="1797"/>
      <c r="L220" s="1797"/>
      <c r="M220" s="1797"/>
      <c r="N220" s="1797"/>
      <c r="O220" s="1797"/>
      <c r="P220" s="1797"/>
      <c r="Q220" s="1797"/>
      <c r="R220" s="281"/>
      <c r="S220" s="320"/>
      <c r="T220" s="321"/>
      <c r="U220" s="321"/>
      <c r="V220" s="321"/>
      <c r="AQ220" s="317"/>
      <c r="AR220" s="317"/>
      <c r="AS220" s="318"/>
      <c r="AT220" s="317"/>
      <c r="AU220" s="317"/>
      <c r="AV220" s="317"/>
      <c r="AW220" s="81"/>
      <c r="AX220" s="317"/>
      <c r="AY220" s="317"/>
      <c r="AZ220" s="56"/>
      <c r="BA220" s="317"/>
      <c r="BB220" s="317"/>
      <c r="BC220" s="317"/>
      <c r="BD220" s="317"/>
      <c r="BE220" s="317"/>
      <c r="BF220" s="317"/>
      <c r="BH220" s="317"/>
      <c r="BI220" s="319"/>
    </row>
    <row r="221" spans="2:61" ht="48.75" customHeight="1">
      <c r="B221" s="1794" t="s">
        <v>428</v>
      </c>
      <c r="C221" s="1792" t="s">
        <v>27</v>
      </c>
      <c r="D221" s="710" t="s">
        <v>577</v>
      </c>
      <c r="E221" s="1714"/>
      <c r="F221" s="1714"/>
      <c r="G221" s="1714"/>
      <c r="H221" s="1714"/>
      <c r="I221" s="711"/>
      <c r="J221" s="1073"/>
      <c r="K221" s="1385">
        <v>8</v>
      </c>
      <c r="L221" s="279">
        <v>48</v>
      </c>
      <c r="M221" s="1385" t="s">
        <v>589</v>
      </c>
      <c r="N221" s="1385"/>
      <c r="O221" s="1385"/>
      <c r="P221" s="1385" t="s">
        <v>590</v>
      </c>
      <c r="Q221" s="1385"/>
      <c r="R221" s="1385"/>
      <c r="S221" s="320"/>
      <c r="T221" s="1794" t="s">
        <v>428</v>
      </c>
      <c r="U221" s="1792" t="s">
        <v>27</v>
      </c>
      <c r="V221" s="1385" t="s">
        <v>635</v>
      </c>
      <c r="W221" s="1385"/>
      <c r="X221" s="1385"/>
      <c r="Y221" s="1385"/>
      <c r="Z221" s="1385"/>
      <c r="AA221" s="1385"/>
      <c r="AB221" s="1385"/>
      <c r="AC221" s="1385"/>
      <c r="AD221" s="1385"/>
      <c r="AE221" s="1385"/>
      <c r="AF221" s="1385"/>
      <c r="AG221" s="1385"/>
      <c r="AH221" s="1385"/>
      <c r="AI221" s="1385"/>
      <c r="AJ221" s="1385"/>
      <c r="AK221" s="1385"/>
      <c r="AL221" s="1385"/>
      <c r="AM221" s="1385"/>
      <c r="AN221" s="1385"/>
      <c r="AO221" s="1385"/>
      <c r="AP221" s="1385"/>
      <c r="AQ221" s="1385"/>
      <c r="AR221" s="1385"/>
      <c r="AS221" s="281"/>
      <c r="AT221" s="317"/>
      <c r="AU221" s="317"/>
      <c r="AV221" s="317"/>
      <c r="AW221" s="81"/>
      <c r="AX221" s="317"/>
      <c r="AY221" s="317"/>
      <c r="AZ221" s="56"/>
      <c r="BA221" s="317"/>
      <c r="BB221" s="317"/>
      <c r="BC221" s="317"/>
      <c r="BD221" s="317"/>
      <c r="BE221" s="317"/>
      <c r="BF221" s="317"/>
      <c r="BH221" s="317"/>
      <c r="BI221" s="319"/>
    </row>
    <row r="222" spans="2:61" ht="48.75" customHeight="1">
      <c r="B222" s="1794"/>
      <c r="C222" s="1793"/>
      <c r="D222" s="710" t="s">
        <v>578</v>
      </c>
      <c r="E222" s="1714"/>
      <c r="F222" s="711"/>
      <c r="G222" s="710" t="s">
        <v>579</v>
      </c>
      <c r="H222" s="1714"/>
      <c r="I222" s="711"/>
      <c r="J222" s="1798"/>
      <c r="K222" s="1385"/>
      <c r="L222" s="279">
        <v>72</v>
      </c>
      <c r="M222" s="1385" t="s">
        <v>591</v>
      </c>
      <c r="N222" s="1385"/>
      <c r="O222" s="1385"/>
      <c r="P222" s="1385" t="s">
        <v>592</v>
      </c>
      <c r="Q222" s="1385"/>
      <c r="R222" s="1385"/>
      <c r="S222" s="320"/>
      <c r="T222" s="1794"/>
      <c r="U222" s="1816"/>
      <c r="V222" s="1729" t="s">
        <v>578</v>
      </c>
      <c r="W222" s="1726"/>
      <c r="X222" s="1726"/>
      <c r="Y222" s="1726"/>
      <c r="Z222" s="1726"/>
      <c r="AA222" s="1726"/>
      <c r="AB222" s="1726"/>
      <c r="AC222" s="1726"/>
      <c r="AD222" s="1726"/>
      <c r="AE222" s="1726"/>
      <c r="AF222" s="1727"/>
      <c r="AG222" s="1813"/>
      <c r="AH222" s="710" t="s">
        <v>579</v>
      </c>
      <c r="AI222" s="1714"/>
      <c r="AJ222" s="1714"/>
      <c r="AK222" s="1714"/>
      <c r="AL222" s="1714"/>
      <c r="AM222" s="1714"/>
      <c r="AN222" s="1714"/>
      <c r="AO222" s="1714"/>
      <c r="AP222" s="1714"/>
      <c r="AQ222" s="1714"/>
      <c r="AR222" s="1714"/>
      <c r="AS222" s="711"/>
      <c r="AT222" s="317"/>
      <c r="AU222" s="317"/>
      <c r="AV222" s="317"/>
      <c r="AW222" s="81"/>
      <c r="AX222" s="317"/>
      <c r="AY222" s="317"/>
      <c r="AZ222" s="56"/>
      <c r="BA222" s="317"/>
      <c r="BB222" s="317"/>
      <c r="BC222" s="317"/>
      <c r="BD222" s="317"/>
      <c r="BE222" s="317"/>
      <c r="BF222" s="317"/>
      <c r="BH222" s="317"/>
      <c r="BI222" s="319"/>
    </row>
    <row r="223" spans="2:61" ht="48.75" customHeight="1">
      <c r="B223" s="1385">
        <v>2</v>
      </c>
      <c r="C223" s="279">
        <v>12</v>
      </c>
      <c r="D223" s="710" t="s">
        <v>648</v>
      </c>
      <c r="E223" s="1714"/>
      <c r="F223" s="711"/>
      <c r="G223" s="710" t="s">
        <v>194</v>
      </c>
      <c r="H223" s="1714"/>
      <c r="I223" s="711"/>
      <c r="J223" s="1798"/>
      <c r="K223" s="1385"/>
      <c r="L223" s="279">
        <v>84</v>
      </c>
      <c r="M223" s="1385" t="s">
        <v>610</v>
      </c>
      <c r="N223" s="1385"/>
      <c r="O223" s="1385"/>
      <c r="P223" s="1385" t="s">
        <v>611</v>
      </c>
      <c r="Q223" s="1385"/>
      <c r="R223" s="1385"/>
      <c r="S223" s="320"/>
      <c r="T223" s="1385">
        <v>2</v>
      </c>
      <c r="U223" s="281"/>
      <c r="V223" s="1236" t="s">
        <v>126</v>
      </c>
      <c r="W223" s="1236"/>
      <c r="X223" s="1236"/>
      <c r="Y223" s="103"/>
      <c r="Z223" s="104"/>
      <c r="AA223" s="104"/>
      <c r="AB223" s="104"/>
      <c r="AC223" s="104"/>
      <c r="AD223" s="104"/>
      <c r="AE223" s="104"/>
      <c r="AF223" s="105"/>
      <c r="AG223" s="1813"/>
      <c r="AH223" s="281"/>
      <c r="AI223" s="1236" t="s">
        <v>126</v>
      </c>
      <c r="AJ223" s="1236"/>
      <c r="AK223" s="1236"/>
      <c r="AL223" s="103"/>
      <c r="AM223" s="104"/>
      <c r="AN223" s="104"/>
      <c r="AO223" s="104"/>
      <c r="AP223" s="104"/>
      <c r="AQ223" s="104"/>
      <c r="AR223" s="104"/>
      <c r="AS223" s="105"/>
      <c r="AW223" s="81"/>
      <c r="AX223" s="317"/>
      <c r="AY223" s="317"/>
      <c r="AZ223" s="56"/>
      <c r="BA223" s="317"/>
      <c r="BB223" s="317"/>
      <c r="BC223" s="317"/>
      <c r="BD223" s="317"/>
      <c r="BE223" s="317"/>
      <c r="BF223" s="317"/>
      <c r="BH223" s="317"/>
      <c r="BI223" s="319"/>
    </row>
    <row r="224" spans="2:61" ht="48.75" customHeight="1">
      <c r="B224" s="1385"/>
      <c r="C224" s="279">
        <v>18</v>
      </c>
      <c r="D224" s="710" t="s">
        <v>649</v>
      </c>
      <c r="E224" s="1714"/>
      <c r="F224" s="711"/>
      <c r="G224" s="710" t="s">
        <v>650</v>
      </c>
      <c r="H224" s="1714"/>
      <c r="I224" s="711"/>
      <c r="J224" s="1798"/>
      <c r="K224" s="1385"/>
      <c r="L224" s="279">
        <v>96</v>
      </c>
      <c r="M224" s="1385" t="s">
        <v>593</v>
      </c>
      <c r="N224" s="1385"/>
      <c r="O224" s="1385"/>
      <c r="P224" s="1385" t="s">
        <v>612</v>
      </c>
      <c r="Q224" s="1385"/>
      <c r="R224" s="1385"/>
      <c r="S224" s="320"/>
      <c r="T224" s="1385"/>
      <c r="U224" s="287">
        <v>12</v>
      </c>
      <c r="V224" s="1385" t="s">
        <v>648</v>
      </c>
      <c r="W224" s="1385"/>
      <c r="X224" s="1385"/>
      <c r="Y224" s="113">
        <v>9</v>
      </c>
      <c r="Z224" s="113">
        <v>15</v>
      </c>
      <c r="AA224" s="295"/>
      <c r="AB224" s="295"/>
      <c r="AC224" s="295"/>
      <c r="AD224" s="295"/>
      <c r="AE224" s="295"/>
      <c r="AF224" s="295"/>
      <c r="AG224" s="1731"/>
      <c r="AH224" s="287">
        <v>12</v>
      </c>
      <c r="AI224" s="710" t="s">
        <v>194</v>
      </c>
      <c r="AJ224" s="1714"/>
      <c r="AK224" s="711"/>
      <c r="AL224" s="295"/>
      <c r="AM224" s="295"/>
      <c r="AN224" s="295"/>
      <c r="AO224" s="295"/>
      <c r="AP224" s="295"/>
      <c r="AQ224" s="295"/>
      <c r="AR224" s="295"/>
      <c r="AS224" s="295"/>
      <c r="AW224" s="81"/>
      <c r="AX224" s="317"/>
      <c r="AY224" s="317"/>
      <c r="AZ224" s="56"/>
      <c r="BA224" s="317"/>
      <c r="BI224" s="11"/>
    </row>
    <row r="225" spans="2:53" s="11" customFormat="1" ht="48.75" customHeight="1">
      <c r="B225" s="1385"/>
      <c r="C225" s="279">
        <v>24</v>
      </c>
      <c r="D225" s="710" t="s">
        <v>651</v>
      </c>
      <c r="E225" s="1714"/>
      <c r="F225" s="711"/>
      <c r="G225" s="710" t="s">
        <v>623</v>
      </c>
      <c r="H225" s="1714"/>
      <c r="I225" s="711"/>
      <c r="J225" s="1798"/>
      <c r="K225" s="1385">
        <v>10</v>
      </c>
      <c r="L225" s="279">
        <v>60</v>
      </c>
      <c r="M225" s="1385" t="s">
        <v>594</v>
      </c>
      <c r="N225" s="1385"/>
      <c r="O225" s="1385"/>
      <c r="P225" s="1385" t="s">
        <v>595</v>
      </c>
      <c r="Q225" s="1385"/>
      <c r="R225" s="1385"/>
      <c r="S225" s="320"/>
      <c r="T225" s="1385"/>
      <c r="U225" s="287">
        <v>18</v>
      </c>
      <c r="V225" s="1385" t="s">
        <v>649</v>
      </c>
      <c r="W225" s="1385"/>
      <c r="X225" s="1385"/>
      <c r="Y225" s="275">
        <v>11</v>
      </c>
      <c r="Z225" s="275">
        <v>12</v>
      </c>
      <c r="AA225" s="275">
        <v>15</v>
      </c>
      <c r="AB225" s="275">
        <v>21</v>
      </c>
      <c r="AC225" s="275">
        <v>22</v>
      </c>
      <c r="AD225" s="295"/>
      <c r="AE225" s="295"/>
      <c r="AF225" s="295"/>
      <c r="AG225" s="114"/>
      <c r="AH225" s="287">
        <v>18</v>
      </c>
      <c r="AI225" s="710" t="s">
        <v>650</v>
      </c>
      <c r="AJ225" s="1714"/>
      <c r="AK225" s="711"/>
      <c r="AL225" s="275">
        <v>14</v>
      </c>
      <c r="AM225" s="275">
        <v>18</v>
      </c>
      <c r="AN225" s="275">
        <v>19</v>
      </c>
      <c r="AO225" s="275">
        <v>22</v>
      </c>
      <c r="AP225" s="275">
        <v>26</v>
      </c>
      <c r="AQ225" s="275">
        <v>28</v>
      </c>
      <c r="AR225" s="295"/>
      <c r="AS225" s="295"/>
      <c r="AW225" s="81"/>
      <c r="AX225" s="317"/>
      <c r="AY225" s="317"/>
      <c r="AZ225" s="56"/>
      <c r="BA225" s="317"/>
    </row>
    <row r="226" spans="2:53" s="11" customFormat="1" ht="48.75" customHeight="1">
      <c r="B226" s="1385"/>
      <c r="C226" s="279">
        <v>30</v>
      </c>
      <c r="D226" s="710" t="s">
        <v>580</v>
      </c>
      <c r="E226" s="1714"/>
      <c r="F226" s="711"/>
      <c r="G226" s="710" t="s">
        <v>624</v>
      </c>
      <c r="H226" s="1714"/>
      <c r="I226" s="711"/>
      <c r="J226" s="1798"/>
      <c r="K226" s="1385"/>
      <c r="L226" s="279">
        <v>90</v>
      </c>
      <c r="M226" s="1385" t="s">
        <v>613</v>
      </c>
      <c r="N226" s="1385"/>
      <c r="O226" s="1385"/>
      <c r="P226" s="1385" t="s">
        <v>614</v>
      </c>
      <c r="Q226" s="1385"/>
      <c r="R226" s="1385"/>
      <c r="S226" s="320"/>
      <c r="T226" s="1385"/>
      <c r="U226" s="287">
        <v>24</v>
      </c>
      <c r="V226" s="1385" t="s">
        <v>651</v>
      </c>
      <c r="W226" s="1385"/>
      <c r="X226" s="1385"/>
      <c r="Y226" s="113">
        <v>15</v>
      </c>
      <c r="Z226" s="275">
        <v>16</v>
      </c>
      <c r="AA226" s="275">
        <v>17</v>
      </c>
      <c r="AB226" s="275">
        <v>19</v>
      </c>
      <c r="AC226" s="275">
        <v>32</v>
      </c>
      <c r="AD226" s="295"/>
      <c r="AE226" s="295"/>
      <c r="AF226" s="295"/>
      <c r="AG226" s="111"/>
      <c r="AH226" s="287">
        <v>24</v>
      </c>
      <c r="AI226" s="710" t="s">
        <v>623</v>
      </c>
      <c r="AJ226" s="1714"/>
      <c r="AK226" s="711"/>
      <c r="AL226" s="275">
        <v>18</v>
      </c>
      <c r="AM226" s="275">
        <v>20</v>
      </c>
      <c r="AN226" s="275">
        <v>26</v>
      </c>
      <c r="AO226" s="275">
        <v>31</v>
      </c>
      <c r="AP226" s="275">
        <v>33</v>
      </c>
      <c r="AQ226" s="275">
        <v>34</v>
      </c>
      <c r="AR226" s="275">
        <v>35</v>
      </c>
      <c r="AS226" s="295"/>
      <c r="AW226" s="81"/>
      <c r="AX226" s="317"/>
      <c r="AY226" s="317"/>
      <c r="AZ226" s="56"/>
      <c r="BA226" s="317"/>
    </row>
    <row r="227" spans="2:53" s="11" customFormat="1" ht="48.75" customHeight="1">
      <c r="B227" s="1385"/>
      <c r="C227" s="279">
        <v>36</v>
      </c>
      <c r="D227" s="710" t="s">
        <v>581</v>
      </c>
      <c r="E227" s="1714"/>
      <c r="F227" s="711"/>
      <c r="G227" s="710" t="s">
        <v>582</v>
      </c>
      <c r="H227" s="1714"/>
      <c r="I227" s="711"/>
      <c r="J227" s="1798"/>
      <c r="K227" s="1385"/>
      <c r="L227" s="279">
        <v>120</v>
      </c>
      <c r="M227" s="1385" t="s">
        <v>615</v>
      </c>
      <c r="N227" s="1385"/>
      <c r="O227" s="1385"/>
      <c r="P227" s="1385" t="s">
        <v>616</v>
      </c>
      <c r="Q227" s="1385"/>
      <c r="R227" s="1385"/>
      <c r="S227" s="320"/>
      <c r="T227" s="1385"/>
      <c r="U227" s="287">
        <v>30</v>
      </c>
      <c r="V227" s="1385" t="s">
        <v>580</v>
      </c>
      <c r="W227" s="1385"/>
      <c r="X227" s="1385"/>
      <c r="Y227" s="113">
        <v>22</v>
      </c>
      <c r="Z227" s="275">
        <v>38</v>
      </c>
      <c r="AA227" s="295"/>
      <c r="AB227" s="295"/>
      <c r="AC227" s="295"/>
      <c r="AD227" s="295"/>
      <c r="AE227" s="295"/>
      <c r="AF227" s="295"/>
      <c r="AG227" s="111"/>
      <c r="AH227" s="287">
        <v>30</v>
      </c>
      <c r="AI227" s="710" t="s">
        <v>624</v>
      </c>
      <c r="AJ227" s="1714"/>
      <c r="AK227" s="711"/>
      <c r="AL227" s="275">
        <v>18</v>
      </c>
      <c r="AM227" s="275">
        <v>20</v>
      </c>
      <c r="AN227" s="275">
        <v>21</v>
      </c>
      <c r="AO227" s="275">
        <v>23</v>
      </c>
      <c r="AP227" s="275">
        <v>24</v>
      </c>
      <c r="AQ227" s="275">
        <v>37</v>
      </c>
      <c r="AR227" s="275">
        <v>39</v>
      </c>
      <c r="AS227" s="275">
        <v>40</v>
      </c>
      <c r="AW227" s="81"/>
      <c r="AX227" s="317"/>
      <c r="AY227" s="317"/>
      <c r="AZ227" s="56"/>
      <c r="BA227" s="317"/>
    </row>
    <row r="228" spans="2:53" s="11" customFormat="1" ht="48.75" customHeight="1">
      <c r="B228" s="1385"/>
      <c r="C228" s="279">
        <v>42</v>
      </c>
      <c r="D228" s="710" t="s">
        <v>583</v>
      </c>
      <c r="E228" s="1714"/>
      <c r="F228" s="711"/>
      <c r="G228" s="710" t="s">
        <v>194</v>
      </c>
      <c r="H228" s="1714"/>
      <c r="I228" s="711"/>
      <c r="J228" s="1798"/>
      <c r="K228" s="1385">
        <v>12</v>
      </c>
      <c r="L228" s="279">
        <v>72</v>
      </c>
      <c r="M228" s="1385" t="s">
        <v>596</v>
      </c>
      <c r="N228" s="1385"/>
      <c r="O228" s="1385"/>
      <c r="P228" s="1385" t="s">
        <v>597</v>
      </c>
      <c r="Q228" s="1385"/>
      <c r="R228" s="1385"/>
      <c r="S228" s="320"/>
      <c r="T228" s="1385"/>
      <c r="U228" s="287">
        <v>36</v>
      </c>
      <c r="V228" s="1385" t="s">
        <v>581</v>
      </c>
      <c r="W228" s="1385"/>
      <c r="X228" s="1385"/>
      <c r="Y228" s="113">
        <v>26</v>
      </c>
      <c r="Z228" s="275">
        <v>28</v>
      </c>
      <c r="AA228" s="275">
        <v>44</v>
      </c>
      <c r="AB228" s="275">
        <v>46</v>
      </c>
      <c r="AC228" s="295"/>
      <c r="AD228" s="295"/>
      <c r="AE228" s="295"/>
      <c r="AF228" s="295"/>
      <c r="AG228" s="111"/>
      <c r="AH228" s="287">
        <v>36</v>
      </c>
      <c r="AI228" s="710" t="s">
        <v>582</v>
      </c>
      <c r="AJ228" s="1714"/>
      <c r="AK228" s="711"/>
      <c r="AL228" s="275">
        <v>25</v>
      </c>
      <c r="AM228" s="275">
        <v>27</v>
      </c>
      <c r="AN228" s="275">
        <v>29</v>
      </c>
      <c r="AO228" s="275">
        <v>43</v>
      </c>
      <c r="AP228" s="275">
        <v>45</v>
      </c>
      <c r="AQ228" s="275">
        <v>47</v>
      </c>
      <c r="AR228" s="295"/>
      <c r="AS228" s="295"/>
      <c r="AW228" s="81"/>
      <c r="AX228" s="317"/>
      <c r="AY228" s="317"/>
      <c r="AZ228" s="56"/>
      <c r="BA228" s="317"/>
    </row>
    <row r="229" spans="2:53" s="11" customFormat="1" ht="48.75" customHeight="1">
      <c r="B229" s="1385"/>
      <c r="C229" s="279">
        <v>48</v>
      </c>
      <c r="D229" s="710" t="s">
        <v>584</v>
      </c>
      <c r="E229" s="1714"/>
      <c r="F229" s="711"/>
      <c r="G229" s="710" t="s">
        <v>585</v>
      </c>
      <c r="H229" s="1714"/>
      <c r="I229" s="711"/>
      <c r="J229" s="1798"/>
      <c r="K229" s="1385"/>
      <c r="L229" s="279">
        <v>90</v>
      </c>
      <c r="M229" s="1385" t="s">
        <v>617</v>
      </c>
      <c r="N229" s="1385"/>
      <c r="O229" s="1385"/>
      <c r="P229" s="1385" t="s">
        <v>618</v>
      </c>
      <c r="Q229" s="1385"/>
      <c r="R229" s="1385"/>
      <c r="S229" s="320"/>
      <c r="T229" s="1385"/>
      <c r="U229" s="287">
        <v>42</v>
      </c>
      <c r="V229" s="1385" t="s">
        <v>583</v>
      </c>
      <c r="W229" s="1385"/>
      <c r="X229" s="1385"/>
      <c r="Y229" s="113">
        <v>32</v>
      </c>
      <c r="Z229" s="275">
        <v>33</v>
      </c>
      <c r="AA229" s="275">
        <v>34</v>
      </c>
      <c r="AB229" s="275">
        <v>50</v>
      </c>
      <c r="AC229" s="275">
        <v>52</v>
      </c>
      <c r="AD229" s="295"/>
      <c r="AE229" s="295"/>
      <c r="AF229" s="295"/>
      <c r="AG229" s="111"/>
      <c r="AH229" s="287">
        <v>42</v>
      </c>
      <c r="AI229" s="710" t="s">
        <v>194</v>
      </c>
      <c r="AJ229" s="1714"/>
      <c r="AK229" s="711"/>
      <c r="AL229" s="295"/>
      <c r="AM229" s="295"/>
      <c r="AN229" s="295"/>
      <c r="AO229" s="295"/>
      <c r="AP229" s="295"/>
      <c r="AQ229" s="295"/>
      <c r="AR229" s="295"/>
      <c r="AS229" s="295"/>
      <c r="AW229" s="81"/>
      <c r="AX229" s="317"/>
      <c r="AY229" s="317"/>
      <c r="AZ229" s="56"/>
      <c r="BA229" s="317"/>
    </row>
    <row r="230" spans="2:53" s="11" customFormat="1" ht="48.75" customHeight="1" thickBot="1">
      <c r="B230" s="1385">
        <v>4</v>
      </c>
      <c r="C230" s="279">
        <v>12</v>
      </c>
      <c r="D230" s="711" t="s">
        <v>647</v>
      </c>
      <c r="E230" s="1385"/>
      <c r="F230" s="1385"/>
      <c r="G230" s="1385" t="s">
        <v>652</v>
      </c>
      <c r="H230" s="1385"/>
      <c r="I230" s="1385"/>
      <c r="J230" s="1798"/>
      <c r="K230" s="1385"/>
      <c r="L230" s="279">
        <v>108</v>
      </c>
      <c r="M230" s="1385" t="s">
        <v>619</v>
      </c>
      <c r="N230" s="1385"/>
      <c r="O230" s="1385"/>
      <c r="P230" s="1385" t="s">
        <v>620</v>
      </c>
      <c r="Q230" s="1385"/>
      <c r="R230" s="1385"/>
      <c r="S230" s="320"/>
      <c r="T230" s="1790"/>
      <c r="U230" s="294">
        <v>48</v>
      </c>
      <c r="V230" s="1790" t="s">
        <v>584</v>
      </c>
      <c r="W230" s="1790"/>
      <c r="X230" s="1790"/>
      <c r="Y230" s="117">
        <v>38</v>
      </c>
      <c r="Z230" s="110">
        <v>40</v>
      </c>
      <c r="AA230" s="110">
        <v>56</v>
      </c>
      <c r="AB230" s="110">
        <v>58</v>
      </c>
      <c r="AC230" s="118"/>
      <c r="AD230" s="118"/>
      <c r="AE230" s="118"/>
      <c r="AF230" s="118"/>
      <c r="AG230" s="111"/>
      <c r="AH230" s="294">
        <v>48</v>
      </c>
      <c r="AI230" s="1822" t="s">
        <v>585</v>
      </c>
      <c r="AJ230" s="1823"/>
      <c r="AK230" s="1824"/>
      <c r="AL230" s="275">
        <v>37</v>
      </c>
      <c r="AM230" s="275">
        <v>39</v>
      </c>
      <c r="AN230" s="275">
        <v>41</v>
      </c>
      <c r="AO230" s="275">
        <v>55</v>
      </c>
      <c r="AP230" s="275">
        <v>57</v>
      </c>
      <c r="AQ230" s="275">
        <v>59</v>
      </c>
      <c r="AR230" s="295"/>
      <c r="AS230" s="295"/>
      <c r="AW230" s="81"/>
      <c r="AX230" s="317"/>
      <c r="AY230" s="317"/>
      <c r="AZ230" s="56"/>
      <c r="BA230" s="317"/>
    </row>
    <row r="231" spans="2:53" s="11" customFormat="1" ht="48.75" customHeight="1">
      <c r="B231" s="1385"/>
      <c r="C231" s="279">
        <v>18</v>
      </c>
      <c r="D231" s="711" t="s">
        <v>653</v>
      </c>
      <c r="E231" s="1385"/>
      <c r="F231" s="1385"/>
      <c r="G231" s="1385" t="s">
        <v>654</v>
      </c>
      <c r="H231" s="1385"/>
      <c r="I231" s="1385"/>
      <c r="J231" s="1798"/>
      <c r="K231" s="1385"/>
      <c r="L231" s="279">
        <v>144</v>
      </c>
      <c r="M231" s="1385" t="s">
        <v>621</v>
      </c>
      <c r="N231" s="1385"/>
      <c r="O231" s="1385"/>
      <c r="P231" s="1385" t="s">
        <v>622</v>
      </c>
      <c r="Q231" s="1385"/>
      <c r="R231" s="1385"/>
      <c r="S231" s="320"/>
      <c r="T231" s="1791">
        <v>4</v>
      </c>
      <c r="U231" s="119">
        <v>12</v>
      </c>
      <c r="V231" s="1791" t="s">
        <v>647</v>
      </c>
      <c r="W231" s="1791"/>
      <c r="X231" s="1791"/>
      <c r="Y231" s="109">
        <v>9</v>
      </c>
      <c r="Z231" s="120"/>
      <c r="AA231" s="120"/>
      <c r="AB231" s="120"/>
      <c r="AC231" s="120"/>
      <c r="AD231" s="120"/>
      <c r="AE231" s="120"/>
      <c r="AF231" s="295"/>
      <c r="AG231" s="111"/>
      <c r="AH231" s="119">
        <v>12</v>
      </c>
      <c r="AI231" s="1789" t="s">
        <v>652</v>
      </c>
      <c r="AJ231" s="1789"/>
      <c r="AK231" s="1789"/>
      <c r="AL231" s="108">
        <v>15</v>
      </c>
      <c r="AM231" s="108"/>
      <c r="AN231" s="108"/>
      <c r="AO231" s="302"/>
      <c r="AP231" s="302"/>
      <c r="AQ231" s="302"/>
      <c r="AR231" s="302"/>
      <c r="AS231" s="302"/>
      <c r="AW231" s="81"/>
      <c r="AX231" s="317"/>
      <c r="AY231" s="317"/>
      <c r="AZ231" s="56"/>
      <c r="BA231" s="317"/>
    </row>
    <row r="232" spans="2:53" s="11" customFormat="1" ht="48.75" customHeight="1">
      <c r="B232" s="1385"/>
      <c r="C232" s="279">
        <v>24</v>
      </c>
      <c r="D232" s="711" t="s">
        <v>655</v>
      </c>
      <c r="E232" s="1385"/>
      <c r="F232" s="1385"/>
      <c r="G232" s="1385" t="s">
        <v>625</v>
      </c>
      <c r="H232" s="1385"/>
      <c r="I232" s="1385"/>
      <c r="J232" s="1798"/>
      <c r="K232" s="1385">
        <v>14</v>
      </c>
      <c r="L232" s="1385">
        <v>84</v>
      </c>
      <c r="M232" s="1385" t="s">
        <v>604</v>
      </c>
      <c r="N232" s="1385"/>
      <c r="O232" s="1385"/>
      <c r="P232" s="1385" t="s">
        <v>631</v>
      </c>
      <c r="Q232" s="1385"/>
      <c r="R232" s="1385"/>
      <c r="S232" s="320"/>
      <c r="T232" s="1385"/>
      <c r="U232" s="287">
        <v>18</v>
      </c>
      <c r="V232" s="1385" t="s">
        <v>653</v>
      </c>
      <c r="W232" s="1385"/>
      <c r="X232" s="1385"/>
      <c r="Y232" s="275">
        <v>10</v>
      </c>
      <c r="Z232" s="275">
        <v>14</v>
      </c>
      <c r="AA232" s="295"/>
      <c r="AB232" s="295"/>
      <c r="AC232" s="295"/>
      <c r="AD232" s="295"/>
      <c r="AE232" s="295"/>
      <c r="AF232" s="295"/>
      <c r="AG232" s="111"/>
      <c r="AH232" s="287">
        <v>18</v>
      </c>
      <c r="AI232" s="1385" t="s">
        <v>654</v>
      </c>
      <c r="AJ232" s="1385"/>
      <c r="AK232" s="1385"/>
      <c r="AL232" s="275">
        <v>18</v>
      </c>
      <c r="AM232" s="275">
        <v>22</v>
      </c>
      <c r="AN232" s="275"/>
      <c r="AO232" s="10"/>
      <c r="AP232" s="10"/>
      <c r="AQ232" s="10"/>
      <c r="AR232" s="10"/>
      <c r="AS232" s="10"/>
      <c r="AW232" s="81"/>
      <c r="AX232" s="317"/>
      <c r="AY232" s="317"/>
      <c r="AZ232" s="56"/>
      <c r="BA232" s="317"/>
    </row>
    <row r="233" spans="2:53" s="11" customFormat="1" ht="48.75" customHeight="1">
      <c r="B233" s="1385"/>
      <c r="C233" s="279">
        <v>36</v>
      </c>
      <c r="D233" s="711" t="s">
        <v>598</v>
      </c>
      <c r="E233" s="1385"/>
      <c r="F233" s="1385"/>
      <c r="G233" s="1385" t="s">
        <v>626</v>
      </c>
      <c r="H233" s="1385"/>
      <c r="I233" s="1385"/>
      <c r="J233" s="1798"/>
      <c r="K233" s="1385"/>
      <c r="L233" s="1385"/>
      <c r="M233" s="1385"/>
      <c r="N233" s="1385"/>
      <c r="O233" s="1385"/>
      <c r="P233" s="1385"/>
      <c r="Q233" s="1385"/>
      <c r="R233" s="1385"/>
      <c r="S233" s="320"/>
      <c r="T233" s="1385"/>
      <c r="U233" s="287">
        <v>24</v>
      </c>
      <c r="V233" s="1385" t="s">
        <v>655</v>
      </c>
      <c r="W233" s="1385"/>
      <c r="X233" s="1385"/>
      <c r="Y233" s="275">
        <v>15</v>
      </c>
      <c r="Z233" s="275">
        <v>16</v>
      </c>
      <c r="AA233" s="275">
        <v>17</v>
      </c>
      <c r="AB233" s="275">
        <v>32</v>
      </c>
      <c r="AC233" s="295"/>
      <c r="AD233" s="295"/>
      <c r="AE233" s="295"/>
      <c r="AF233" s="295"/>
      <c r="AG233" s="111"/>
      <c r="AH233" s="287">
        <v>24</v>
      </c>
      <c r="AI233" s="1385" t="s">
        <v>625</v>
      </c>
      <c r="AJ233" s="1385"/>
      <c r="AK233" s="1385"/>
      <c r="AL233" s="345">
        <v>16</v>
      </c>
      <c r="AM233" s="345">
        <v>18</v>
      </c>
      <c r="AN233" s="345">
        <v>20</v>
      </c>
      <c r="AO233" s="345">
        <v>30</v>
      </c>
      <c r="AP233" s="345">
        <v>33</v>
      </c>
      <c r="AQ233" s="345">
        <v>34</v>
      </c>
      <c r="AR233" s="345">
        <v>35</v>
      </c>
      <c r="AS233" s="345">
        <v>36</v>
      </c>
      <c r="AW233" s="81"/>
      <c r="AX233" s="317"/>
      <c r="AY233" s="317"/>
      <c r="AZ233" s="56"/>
      <c r="BA233" s="317"/>
    </row>
    <row r="234" spans="2:53" s="11" customFormat="1" ht="48.75" customHeight="1">
      <c r="B234" s="1385"/>
      <c r="C234" s="279">
        <v>42</v>
      </c>
      <c r="D234" s="711" t="s">
        <v>599</v>
      </c>
      <c r="E234" s="1385"/>
      <c r="F234" s="1385"/>
      <c r="G234" s="1385" t="s">
        <v>627</v>
      </c>
      <c r="H234" s="1385"/>
      <c r="I234" s="1385"/>
      <c r="J234" s="1798"/>
      <c r="K234" s="1385"/>
      <c r="L234" s="1385">
        <v>126</v>
      </c>
      <c r="M234" s="1385" t="s">
        <v>630</v>
      </c>
      <c r="N234" s="1385"/>
      <c r="O234" s="1385"/>
      <c r="P234" s="1385" t="s">
        <v>632</v>
      </c>
      <c r="Q234" s="1385"/>
      <c r="R234" s="1385"/>
      <c r="S234" s="320"/>
      <c r="T234" s="1385"/>
      <c r="U234" s="287">
        <v>36</v>
      </c>
      <c r="V234" s="1385" t="s">
        <v>598</v>
      </c>
      <c r="W234" s="1385"/>
      <c r="X234" s="1385"/>
      <c r="Y234" s="275">
        <v>26</v>
      </c>
      <c r="Z234" s="275">
        <v>44</v>
      </c>
      <c r="AA234" s="275">
        <v>46</v>
      </c>
      <c r="AB234" s="295"/>
      <c r="AC234" s="295"/>
      <c r="AD234" s="295"/>
      <c r="AE234" s="295"/>
      <c r="AF234" s="295"/>
      <c r="AG234" s="111"/>
      <c r="AH234" s="287">
        <v>36</v>
      </c>
      <c r="AI234" s="1385" t="s">
        <v>626</v>
      </c>
      <c r="AJ234" s="1385"/>
      <c r="AK234" s="1385"/>
      <c r="AL234" s="345">
        <v>24</v>
      </c>
      <c r="AM234" s="345">
        <v>27</v>
      </c>
      <c r="AN234" s="345">
        <v>28</v>
      </c>
      <c r="AO234" s="345">
        <v>30</v>
      </c>
      <c r="AP234" s="345">
        <v>32</v>
      </c>
      <c r="AQ234" s="345">
        <v>34</v>
      </c>
      <c r="AR234" s="345">
        <v>45</v>
      </c>
      <c r="AS234" s="345">
        <v>48</v>
      </c>
      <c r="AW234" s="81"/>
      <c r="AX234" s="317"/>
      <c r="AY234" s="317"/>
      <c r="AZ234" s="56"/>
      <c r="BA234" s="317"/>
    </row>
    <row r="235" spans="2:53" s="11" customFormat="1" ht="48.75" customHeight="1">
      <c r="B235" s="1385"/>
      <c r="C235" s="279">
        <v>48</v>
      </c>
      <c r="D235" s="711" t="s">
        <v>600</v>
      </c>
      <c r="E235" s="1385"/>
      <c r="F235" s="1385"/>
      <c r="G235" s="1385" t="s">
        <v>628</v>
      </c>
      <c r="H235" s="1385"/>
      <c r="I235" s="1385"/>
      <c r="J235" s="1798"/>
      <c r="K235" s="1385"/>
      <c r="L235" s="1385"/>
      <c r="M235" s="1385"/>
      <c r="N235" s="1385"/>
      <c r="O235" s="1385"/>
      <c r="P235" s="1385"/>
      <c r="Q235" s="1385"/>
      <c r="R235" s="1385"/>
      <c r="S235" s="320"/>
      <c r="T235" s="1385"/>
      <c r="U235" s="287">
        <v>42</v>
      </c>
      <c r="V235" s="1385" t="s">
        <v>599</v>
      </c>
      <c r="W235" s="1385"/>
      <c r="X235" s="1385"/>
      <c r="Y235" s="275">
        <v>34</v>
      </c>
      <c r="Z235" s="275">
        <v>50</v>
      </c>
      <c r="AA235" s="275">
        <v>52</v>
      </c>
      <c r="AB235" s="275">
        <v>54</v>
      </c>
      <c r="AC235" s="295"/>
      <c r="AD235" s="295"/>
      <c r="AE235" s="295"/>
      <c r="AF235" s="295"/>
      <c r="AG235" s="111"/>
      <c r="AH235" s="287">
        <v>42</v>
      </c>
      <c r="AI235" s="1385" t="s">
        <v>627</v>
      </c>
      <c r="AJ235" s="1385"/>
      <c r="AK235" s="1385"/>
      <c r="AL235" s="345">
        <v>33</v>
      </c>
      <c r="AM235" s="345">
        <v>34</v>
      </c>
      <c r="AN235" s="345">
        <v>38</v>
      </c>
      <c r="AO235" s="345">
        <v>51</v>
      </c>
      <c r="AP235" s="345">
        <v>53</v>
      </c>
      <c r="AQ235" s="141"/>
      <c r="AR235" s="141"/>
      <c r="AS235" s="141"/>
      <c r="AW235" s="81"/>
      <c r="AX235" s="317"/>
      <c r="AY235" s="317"/>
      <c r="AZ235" s="56"/>
      <c r="BA235" s="317"/>
    </row>
    <row r="236" spans="2:53" s="11" customFormat="1" ht="48.75" customHeight="1">
      <c r="B236" s="1385"/>
      <c r="C236" s="279">
        <v>60</v>
      </c>
      <c r="D236" s="711" t="s">
        <v>601</v>
      </c>
      <c r="E236" s="1385"/>
      <c r="F236" s="1385"/>
      <c r="G236" s="1385" t="s">
        <v>629</v>
      </c>
      <c r="H236" s="1385"/>
      <c r="I236" s="1385"/>
      <c r="J236" s="1798"/>
      <c r="K236" s="1385">
        <v>16</v>
      </c>
      <c r="L236" s="1385">
        <v>96</v>
      </c>
      <c r="M236" s="1385" t="s">
        <v>634</v>
      </c>
      <c r="N236" s="1385"/>
      <c r="O236" s="1385"/>
      <c r="P236" s="1385">
        <v>90.102000000000004</v>
      </c>
      <c r="Q236" s="1385"/>
      <c r="R236" s="1385"/>
      <c r="S236" s="321"/>
      <c r="T236" s="1385"/>
      <c r="U236" s="287">
        <v>48</v>
      </c>
      <c r="V236" s="1385" t="s">
        <v>600</v>
      </c>
      <c r="W236" s="1385"/>
      <c r="X236" s="1385"/>
      <c r="Y236" s="275">
        <v>34</v>
      </c>
      <c r="Z236" s="275">
        <v>38</v>
      </c>
      <c r="AA236" s="275">
        <v>56</v>
      </c>
      <c r="AB236" s="275">
        <v>58</v>
      </c>
      <c r="AC236" s="275">
        <v>62</v>
      </c>
      <c r="AD236" s="275">
        <v>64</v>
      </c>
      <c r="AE236" s="295"/>
      <c r="AF236" s="295"/>
      <c r="AG236" s="111"/>
      <c r="AH236" s="287">
        <v>48</v>
      </c>
      <c r="AI236" s="1385" t="s">
        <v>628</v>
      </c>
      <c r="AJ236" s="1385"/>
      <c r="AK236" s="1385"/>
      <c r="AL236" s="345">
        <v>36</v>
      </c>
      <c r="AM236" s="345">
        <v>38</v>
      </c>
      <c r="AN236" s="345">
        <v>39</v>
      </c>
      <c r="AO236" s="345">
        <v>40</v>
      </c>
      <c r="AP236" s="345">
        <v>44</v>
      </c>
      <c r="AQ236" s="345">
        <v>57</v>
      </c>
      <c r="AR236" s="345">
        <v>59</v>
      </c>
      <c r="AS236" s="141"/>
      <c r="AW236" s="81"/>
      <c r="AX236" s="317"/>
      <c r="AY236" s="317"/>
      <c r="AZ236" s="56"/>
      <c r="BA236" s="317"/>
    </row>
    <row r="237" spans="2:53" s="11" customFormat="1" ht="48.75" customHeight="1">
      <c r="B237" s="1385"/>
      <c r="C237" s="279">
        <v>72</v>
      </c>
      <c r="D237" s="711" t="s">
        <v>602</v>
      </c>
      <c r="E237" s="1385"/>
      <c r="F237" s="1385"/>
      <c r="G237" s="1385" t="s">
        <v>603</v>
      </c>
      <c r="H237" s="1385"/>
      <c r="I237" s="1385"/>
      <c r="J237" s="1798"/>
      <c r="K237" s="1385"/>
      <c r="L237" s="1385"/>
      <c r="M237" s="1385"/>
      <c r="N237" s="1385"/>
      <c r="O237" s="1385"/>
      <c r="P237" s="1385"/>
      <c r="Q237" s="1385"/>
      <c r="R237" s="1385"/>
      <c r="S237" s="321"/>
      <c r="T237" s="1385"/>
      <c r="U237" s="287">
        <v>60</v>
      </c>
      <c r="V237" s="1385" t="s">
        <v>601</v>
      </c>
      <c r="W237" s="1385"/>
      <c r="X237" s="1385"/>
      <c r="Y237" s="275">
        <v>50</v>
      </c>
      <c r="Z237" s="275">
        <v>52</v>
      </c>
      <c r="AA237" s="275">
        <v>68</v>
      </c>
      <c r="AB237" s="275">
        <v>70</v>
      </c>
      <c r="AC237" s="275">
        <v>74</v>
      </c>
      <c r="AD237" s="295"/>
      <c r="AE237" s="295"/>
      <c r="AF237" s="295"/>
      <c r="AG237" s="111"/>
      <c r="AH237" s="287">
        <v>60</v>
      </c>
      <c r="AI237" s="1385" t="s">
        <v>629</v>
      </c>
      <c r="AJ237" s="1385"/>
      <c r="AK237" s="1385"/>
      <c r="AL237" s="345"/>
      <c r="AM237" s="345"/>
      <c r="AN237" s="345"/>
      <c r="AO237" s="345"/>
      <c r="AP237" s="345"/>
      <c r="AQ237" s="345"/>
      <c r="AR237" s="345"/>
      <c r="AS237" s="345"/>
      <c r="AW237" s="81"/>
      <c r="AX237" s="317"/>
      <c r="AY237" s="317"/>
      <c r="AZ237" s="56"/>
      <c r="BA237" s="317"/>
    </row>
    <row r="238" spans="2:53" s="11" customFormat="1" ht="48.75" customHeight="1" thickBot="1">
      <c r="B238" s="1385">
        <v>6</v>
      </c>
      <c r="C238" s="279">
        <v>36</v>
      </c>
      <c r="D238" s="1385" t="s">
        <v>586</v>
      </c>
      <c r="E238" s="1385"/>
      <c r="F238" s="1385"/>
      <c r="G238" s="1385" t="s">
        <v>656</v>
      </c>
      <c r="H238" s="1385"/>
      <c r="I238" s="1385"/>
      <c r="J238" s="1798"/>
      <c r="K238" s="1385"/>
      <c r="L238" s="1385">
        <v>144</v>
      </c>
      <c r="M238" s="1385" t="s">
        <v>633</v>
      </c>
      <c r="N238" s="1385"/>
      <c r="O238" s="1385"/>
      <c r="P238" s="1385" t="s">
        <v>605</v>
      </c>
      <c r="Q238" s="1385"/>
      <c r="R238" s="1385"/>
      <c r="S238" s="321"/>
      <c r="T238" s="1790"/>
      <c r="U238" s="294">
        <v>72</v>
      </c>
      <c r="V238" s="1790" t="s">
        <v>602</v>
      </c>
      <c r="W238" s="1790"/>
      <c r="X238" s="1790"/>
      <c r="Y238" s="110">
        <v>62</v>
      </c>
      <c r="Z238" s="110">
        <v>64</v>
      </c>
      <c r="AA238" s="110">
        <v>80</v>
      </c>
      <c r="AB238" s="110">
        <v>82</v>
      </c>
      <c r="AC238" s="110">
        <v>86</v>
      </c>
      <c r="AD238" s="118"/>
      <c r="AE238" s="118"/>
      <c r="AF238" s="118"/>
      <c r="AG238" s="111"/>
      <c r="AH238" s="294">
        <v>72</v>
      </c>
      <c r="AI238" s="1790" t="s">
        <v>603</v>
      </c>
      <c r="AJ238" s="1790"/>
      <c r="AK238" s="1790"/>
      <c r="AL238" s="110"/>
      <c r="AM238" s="110"/>
      <c r="AN238" s="110"/>
      <c r="AO238" s="110"/>
      <c r="AP238" s="110"/>
      <c r="AQ238" s="110"/>
      <c r="AR238" s="110"/>
      <c r="AS238" s="110"/>
      <c r="AW238" s="81"/>
      <c r="AX238" s="317"/>
      <c r="AY238" s="317"/>
      <c r="AZ238" s="56"/>
      <c r="BA238" s="317"/>
    </row>
    <row r="239" spans="2:53" s="11" customFormat="1" ht="48.75" customHeight="1">
      <c r="B239" s="1385"/>
      <c r="C239" s="279">
        <v>54</v>
      </c>
      <c r="D239" s="1385" t="s">
        <v>587</v>
      </c>
      <c r="E239" s="1385"/>
      <c r="F239" s="1385"/>
      <c r="G239" s="1385" t="s">
        <v>588</v>
      </c>
      <c r="H239" s="1385"/>
      <c r="I239" s="1385"/>
      <c r="J239" s="1798"/>
      <c r="K239" s="1385"/>
      <c r="L239" s="1385"/>
      <c r="M239" s="1385"/>
      <c r="N239" s="1385"/>
      <c r="O239" s="1385"/>
      <c r="P239" s="1385"/>
      <c r="Q239" s="1385"/>
      <c r="R239" s="1385"/>
      <c r="S239" s="321"/>
      <c r="T239" s="1791">
        <v>6</v>
      </c>
      <c r="U239" s="293">
        <v>36</v>
      </c>
      <c r="V239" s="1791" t="s">
        <v>586</v>
      </c>
      <c r="W239" s="1791"/>
      <c r="X239" s="1791"/>
      <c r="Y239" s="109">
        <v>26</v>
      </c>
      <c r="Z239" s="109">
        <v>46</v>
      </c>
      <c r="AA239" s="109">
        <v>48</v>
      </c>
      <c r="AB239" s="120"/>
      <c r="AC239" s="120"/>
      <c r="AD239" s="120"/>
      <c r="AE239" s="120"/>
      <c r="AF239" s="295"/>
      <c r="AG239" s="111"/>
      <c r="AH239" s="293">
        <v>36</v>
      </c>
      <c r="AI239" s="1789" t="s">
        <v>656</v>
      </c>
      <c r="AJ239" s="1789"/>
      <c r="AK239" s="1789"/>
      <c r="AL239" s="108"/>
      <c r="AM239" s="108"/>
      <c r="AN239" s="108"/>
      <c r="AO239" s="302"/>
      <c r="AP239" s="302"/>
      <c r="AQ239" s="302"/>
      <c r="AR239" s="302"/>
      <c r="AS239" s="302"/>
      <c r="AW239" s="81"/>
      <c r="AX239" s="317"/>
      <c r="AY239" s="317"/>
      <c r="AZ239" s="56"/>
      <c r="BA239" s="317"/>
    </row>
    <row r="240" spans="2:53" s="11" customFormat="1" ht="48.75" customHeight="1">
      <c r="B240" s="1385"/>
      <c r="C240" s="279">
        <v>72</v>
      </c>
      <c r="D240" s="1385" t="s">
        <v>606</v>
      </c>
      <c r="E240" s="1385"/>
      <c r="F240" s="1385"/>
      <c r="G240" s="1385" t="s">
        <v>607</v>
      </c>
      <c r="H240" s="1385"/>
      <c r="I240" s="1385"/>
      <c r="J240" s="1798"/>
      <c r="K240" s="91"/>
      <c r="L240" s="92"/>
      <c r="M240" s="92"/>
      <c r="N240" s="92"/>
      <c r="O240" s="92"/>
      <c r="P240" s="92"/>
      <c r="Q240" s="92"/>
      <c r="R240" s="93"/>
      <c r="S240" s="321"/>
      <c r="T240" s="1385"/>
      <c r="U240" s="279">
        <v>54</v>
      </c>
      <c r="V240" s="1385" t="s">
        <v>587</v>
      </c>
      <c r="W240" s="1385"/>
      <c r="X240" s="1385"/>
      <c r="Y240" s="275">
        <v>44</v>
      </c>
      <c r="Z240" s="275">
        <v>64</v>
      </c>
      <c r="AA240" s="275">
        <v>66</v>
      </c>
      <c r="AB240" s="275">
        <v>68</v>
      </c>
      <c r="AC240" s="295"/>
      <c r="AD240" s="295"/>
      <c r="AE240" s="295"/>
      <c r="AF240" s="295"/>
      <c r="AG240" s="111"/>
      <c r="AH240" s="279">
        <v>54</v>
      </c>
      <c r="AI240" s="1385" t="s">
        <v>588</v>
      </c>
      <c r="AJ240" s="1385"/>
      <c r="AK240" s="1385"/>
      <c r="AL240" s="275"/>
      <c r="AM240" s="275"/>
      <c r="AN240" s="275"/>
      <c r="AO240" s="10"/>
      <c r="AP240" s="10"/>
      <c r="AQ240" s="10"/>
      <c r="AR240" s="10"/>
      <c r="AS240" s="10"/>
      <c r="AW240" s="81"/>
      <c r="AX240" s="317"/>
      <c r="AY240" s="317"/>
      <c r="AZ240" s="56"/>
      <c r="BA240" s="317"/>
    </row>
    <row r="241" spans="2:53" s="11" customFormat="1" ht="48.75" customHeight="1">
      <c r="B241" s="1385"/>
      <c r="C241" s="279">
        <v>90</v>
      </c>
      <c r="D241" s="1385" t="s">
        <v>608</v>
      </c>
      <c r="E241" s="1385"/>
      <c r="F241" s="1385"/>
      <c r="G241" s="1385" t="s">
        <v>609</v>
      </c>
      <c r="H241" s="1385"/>
      <c r="I241" s="1385"/>
      <c r="J241" s="1072"/>
      <c r="K241" s="94"/>
      <c r="L241" s="95"/>
      <c r="M241" s="95"/>
      <c r="N241" s="95"/>
      <c r="O241" s="95"/>
      <c r="P241" s="95"/>
      <c r="Q241" s="95"/>
      <c r="R241" s="96"/>
      <c r="S241" s="321"/>
      <c r="T241" s="1385"/>
      <c r="U241" s="279">
        <v>72</v>
      </c>
      <c r="V241" s="1385" t="s">
        <v>606</v>
      </c>
      <c r="W241" s="1385"/>
      <c r="X241" s="1385"/>
      <c r="Y241" s="275">
        <v>56</v>
      </c>
      <c r="Z241" s="275">
        <v>62</v>
      </c>
      <c r="AA241" s="275">
        <v>82</v>
      </c>
      <c r="AB241" s="275">
        <v>84</v>
      </c>
      <c r="AC241" s="275">
        <v>86</v>
      </c>
      <c r="AD241" s="275">
        <v>88</v>
      </c>
      <c r="AE241" s="295"/>
      <c r="AF241" s="295"/>
      <c r="AG241" s="111"/>
      <c r="AH241" s="279">
        <v>72</v>
      </c>
      <c r="AI241" s="1385" t="s">
        <v>607</v>
      </c>
      <c r="AJ241" s="1385"/>
      <c r="AK241" s="1385"/>
      <c r="AL241" s="275"/>
      <c r="AM241" s="275"/>
      <c r="AN241" s="275"/>
      <c r="AO241" s="10"/>
      <c r="AP241" s="10"/>
      <c r="AQ241" s="10"/>
      <c r="AR241" s="10"/>
      <c r="AS241" s="10"/>
      <c r="AW241" s="81"/>
      <c r="AX241" s="317"/>
      <c r="AY241" s="317"/>
      <c r="AZ241" s="56"/>
      <c r="BA241" s="317"/>
    </row>
    <row r="242" spans="2:53" s="11" customFormat="1" ht="48.75" customHeight="1" thickBot="1">
      <c r="S242" s="321"/>
      <c r="T242" s="1790"/>
      <c r="U242" s="289">
        <v>90</v>
      </c>
      <c r="V242" s="1790" t="s">
        <v>608</v>
      </c>
      <c r="W242" s="1790"/>
      <c r="X242" s="1790"/>
      <c r="Y242" s="110">
        <v>74</v>
      </c>
      <c r="Z242" s="110">
        <v>76</v>
      </c>
      <c r="AA242" s="110">
        <v>78</v>
      </c>
      <c r="AB242" s="110">
        <v>80</v>
      </c>
      <c r="AC242" s="110">
        <v>100</v>
      </c>
      <c r="AD242" s="110">
        <v>102</v>
      </c>
      <c r="AE242" s="110">
        <v>104</v>
      </c>
      <c r="AF242" s="118"/>
      <c r="AG242" s="111"/>
      <c r="AH242" s="289">
        <v>90</v>
      </c>
      <c r="AI242" s="1790" t="s">
        <v>609</v>
      </c>
      <c r="AJ242" s="1790"/>
      <c r="AK242" s="1790"/>
      <c r="AL242" s="322"/>
      <c r="AM242" s="322"/>
      <c r="AN242" s="322"/>
      <c r="AO242" s="322"/>
      <c r="AP242" s="322"/>
      <c r="AQ242" s="322"/>
      <c r="AR242" s="322"/>
      <c r="AS242" s="322"/>
      <c r="AW242" s="81"/>
      <c r="AX242" s="317"/>
      <c r="AY242" s="317"/>
      <c r="AZ242" s="56"/>
      <c r="BA242" s="317"/>
    </row>
    <row r="243" spans="2:53" s="11" customFormat="1" ht="48.75" customHeight="1">
      <c r="S243" s="321"/>
      <c r="T243" s="1789">
        <v>8</v>
      </c>
      <c r="U243" s="291">
        <v>48</v>
      </c>
      <c r="V243" s="1789" t="s">
        <v>589</v>
      </c>
      <c r="W243" s="1789"/>
      <c r="X243" s="1789"/>
      <c r="Y243" s="108">
        <v>34</v>
      </c>
      <c r="Z243" s="108">
        <v>36</v>
      </c>
      <c r="AA243" s="108">
        <v>44</v>
      </c>
      <c r="AB243" s="108">
        <v>62</v>
      </c>
      <c r="AC243" s="108">
        <v>64</v>
      </c>
      <c r="AD243" s="295"/>
      <c r="AE243" s="295"/>
      <c r="AF243" s="295"/>
      <c r="AG243" s="111"/>
      <c r="AH243" s="291">
        <v>48</v>
      </c>
      <c r="AI243" s="1789" t="s">
        <v>590</v>
      </c>
      <c r="AJ243" s="1789"/>
      <c r="AK243" s="1789"/>
      <c r="AL243" s="108"/>
      <c r="AM243" s="108"/>
      <c r="AN243" s="108"/>
      <c r="AO243" s="302"/>
      <c r="AP243" s="302"/>
      <c r="AQ243" s="302"/>
      <c r="AR243" s="302"/>
      <c r="AS243" s="302"/>
      <c r="AW243" s="81"/>
      <c r="AX243" s="317"/>
      <c r="AY243" s="317"/>
      <c r="AZ243" s="56"/>
      <c r="BA243" s="317"/>
    </row>
    <row r="244" spans="2:53" s="11" customFormat="1" ht="48.75" customHeight="1">
      <c r="S244" s="321"/>
      <c r="T244" s="1385"/>
      <c r="U244" s="279">
        <v>72</v>
      </c>
      <c r="V244" s="1385" t="s">
        <v>591</v>
      </c>
      <c r="W244" s="1385"/>
      <c r="X244" s="1385"/>
      <c r="Y244" s="275">
        <v>56</v>
      </c>
      <c r="Z244" s="275">
        <v>58</v>
      </c>
      <c r="AA244" s="275">
        <v>86</v>
      </c>
      <c r="AB244" s="275">
        <v>88</v>
      </c>
      <c r="AC244" s="275">
        <v>90</v>
      </c>
      <c r="AD244" s="295"/>
      <c r="AE244" s="295"/>
      <c r="AF244" s="295"/>
      <c r="AG244" s="111"/>
      <c r="AH244" s="279">
        <v>72</v>
      </c>
      <c r="AI244" s="1385" t="s">
        <v>592</v>
      </c>
      <c r="AJ244" s="1385"/>
      <c r="AK244" s="1385"/>
      <c r="AL244" s="275"/>
      <c r="AM244" s="275"/>
      <c r="AN244" s="275"/>
      <c r="AO244" s="10"/>
      <c r="AP244" s="10"/>
      <c r="AQ244" s="10"/>
      <c r="AR244" s="10"/>
      <c r="AS244" s="10"/>
      <c r="AW244" s="81"/>
      <c r="AX244" s="317"/>
      <c r="AY244" s="317"/>
      <c r="AZ244" s="56"/>
      <c r="BA244" s="317"/>
    </row>
    <row r="245" spans="2:53" s="11" customFormat="1" ht="48.75" customHeight="1">
      <c r="B245" s="1405" t="s">
        <v>770</v>
      </c>
      <c r="C245" s="1406"/>
      <c r="D245" s="1406"/>
      <c r="E245" s="1406"/>
      <c r="F245" s="1406"/>
      <c r="G245" s="1406"/>
      <c r="H245" s="1407"/>
      <c r="I245" s="281"/>
      <c r="T245" s="1385"/>
      <c r="U245" s="279">
        <v>84</v>
      </c>
      <c r="V245" s="1385" t="s">
        <v>610</v>
      </c>
      <c r="W245" s="1385"/>
      <c r="X245" s="1385"/>
      <c r="Y245" s="275">
        <v>66</v>
      </c>
      <c r="Z245" s="275">
        <v>68</v>
      </c>
      <c r="AA245" s="275">
        <v>70</v>
      </c>
      <c r="AB245" s="275">
        <v>98</v>
      </c>
      <c r="AC245" s="275">
        <v>100</v>
      </c>
      <c r="AD245" s="275">
        <v>102</v>
      </c>
      <c r="AE245" s="275">
        <v>104</v>
      </c>
      <c r="AF245" s="295"/>
      <c r="AG245" s="111"/>
      <c r="AH245" s="279">
        <v>84</v>
      </c>
      <c r="AI245" s="1385" t="s">
        <v>611</v>
      </c>
      <c r="AJ245" s="1385"/>
      <c r="AK245" s="1385"/>
      <c r="AL245" s="275"/>
      <c r="AM245" s="275"/>
      <c r="AN245" s="275"/>
      <c r="AO245" s="10"/>
      <c r="AP245" s="10"/>
      <c r="AQ245" s="10"/>
      <c r="AR245" s="10"/>
      <c r="AS245" s="10"/>
      <c r="AW245" s="81"/>
      <c r="AX245" s="317"/>
      <c r="AY245" s="317"/>
      <c r="AZ245" s="56"/>
      <c r="BA245" s="317"/>
    </row>
    <row r="246" spans="2:53" s="11" customFormat="1" ht="48.75" customHeight="1">
      <c r="B246" s="279" t="s">
        <v>539</v>
      </c>
      <c r="C246" s="279" t="s">
        <v>636</v>
      </c>
      <c r="D246" s="279" t="s">
        <v>637</v>
      </c>
      <c r="E246" s="1385" t="s">
        <v>547</v>
      </c>
      <c r="F246" s="1385"/>
      <c r="G246" s="1385" t="s">
        <v>638</v>
      </c>
      <c r="H246" s="1385"/>
      <c r="I246" s="1385"/>
      <c r="T246" s="1385"/>
      <c r="U246" s="279">
        <v>96</v>
      </c>
      <c r="V246" s="1385" t="s">
        <v>593</v>
      </c>
      <c r="W246" s="1385"/>
      <c r="X246" s="1385"/>
      <c r="Y246" s="275">
        <v>78</v>
      </c>
      <c r="Z246" s="275">
        <v>82</v>
      </c>
      <c r="AA246" s="275">
        <v>110</v>
      </c>
      <c r="AB246" s="275">
        <v>112</v>
      </c>
      <c r="AC246" s="275">
        <v>114</v>
      </c>
      <c r="AD246" s="295"/>
      <c r="AE246" s="295"/>
      <c r="AF246" s="295"/>
      <c r="AG246" s="111"/>
      <c r="AH246" s="279">
        <v>96</v>
      </c>
      <c r="AI246" s="1385" t="s">
        <v>612</v>
      </c>
      <c r="AJ246" s="1385"/>
      <c r="AK246" s="1385"/>
      <c r="AL246" s="275"/>
      <c r="AM246" s="275"/>
      <c r="AN246" s="275"/>
      <c r="AO246" s="10"/>
      <c r="AP246" s="10"/>
      <c r="AQ246" s="10"/>
      <c r="AR246" s="10"/>
      <c r="AS246" s="10"/>
      <c r="AW246" s="81"/>
      <c r="AX246" s="317"/>
      <c r="AY246" s="317"/>
      <c r="AZ246" s="56"/>
      <c r="BA246" s="317"/>
    </row>
    <row r="247" spans="2:53" s="11" customFormat="1" ht="48.75" customHeight="1">
      <c r="B247" s="279" t="s">
        <v>428</v>
      </c>
      <c r="C247" s="279" t="s">
        <v>639</v>
      </c>
      <c r="D247" s="279" t="s">
        <v>640</v>
      </c>
      <c r="E247" s="279">
        <v>2</v>
      </c>
      <c r="F247" s="279" t="s">
        <v>641</v>
      </c>
      <c r="G247" s="279">
        <v>4</v>
      </c>
      <c r="H247" s="279">
        <v>6</v>
      </c>
      <c r="I247" s="243" t="s">
        <v>429</v>
      </c>
      <c r="T247" s="1715">
        <v>10</v>
      </c>
      <c r="U247" s="279">
        <v>60</v>
      </c>
      <c r="V247" s="1385" t="s">
        <v>594</v>
      </c>
      <c r="W247" s="1385"/>
      <c r="X247" s="1385"/>
      <c r="Y247" s="275">
        <v>44</v>
      </c>
      <c r="Z247" s="275">
        <v>46</v>
      </c>
      <c r="AA247" s="275">
        <v>74</v>
      </c>
      <c r="AB247" s="275">
        <v>76</v>
      </c>
      <c r="AC247" s="295"/>
      <c r="AD247" s="295"/>
      <c r="AE247" s="295"/>
      <c r="AF247" s="295"/>
      <c r="AG247" s="111"/>
      <c r="AH247" s="279">
        <v>60</v>
      </c>
      <c r="AI247" s="1385" t="s">
        <v>595</v>
      </c>
      <c r="AJ247" s="1385"/>
      <c r="AK247" s="1385"/>
      <c r="AL247" s="275"/>
      <c r="AM247" s="275"/>
      <c r="AN247" s="275"/>
      <c r="AO247" s="10"/>
      <c r="AP247" s="10"/>
      <c r="AQ247" s="10"/>
      <c r="AR247" s="10"/>
      <c r="AS247" s="10"/>
      <c r="AW247" s="81"/>
      <c r="AX247" s="317"/>
      <c r="AY247" s="317"/>
      <c r="AZ247" s="56"/>
      <c r="BA247" s="317"/>
    </row>
    <row r="248" spans="2:53" s="11" customFormat="1" ht="48.75" customHeight="1">
      <c r="B248" s="279" t="s">
        <v>1108</v>
      </c>
      <c r="C248" s="279">
        <v>0.19</v>
      </c>
      <c r="D248" s="279">
        <v>0.23</v>
      </c>
      <c r="E248" s="279">
        <v>0.22</v>
      </c>
      <c r="F248" s="279">
        <v>0.23</v>
      </c>
      <c r="G248" s="279">
        <v>0.2</v>
      </c>
      <c r="H248" s="279">
        <v>0.23</v>
      </c>
      <c r="I248" s="243">
        <v>0.25</v>
      </c>
      <c r="T248" s="1404"/>
      <c r="U248" s="1385">
        <v>90</v>
      </c>
      <c r="V248" s="1385" t="s">
        <v>613</v>
      </c>
      <c r="W248" s="1385"/>
      <c r="X248" s="1385"/>
      <c r="Y248" s="275">
        <v>68</v>
      </c>
      <c r="Z248" s="275">
        <v>72</v>
      </c>
      <c r="AA248" s="275">
        <v>74</v>
      </c>
      <c r="AB248" s="275">
        <v>76</v>
      </c>
      <c r="AC248" s="275">
        <v>104</v>
      </c>
      <c r="AD248" s="275">
        <v>106</v>
      </c>
      <c r="AE248" s="275">
        <v>108</v>
      </c>
      <c r="AF248" s="275">
        <v>110</v>
      </c>
      <c r="AG248" s="111"/>
      <c r="AH248" s="1385">
        <v>90</v>
      </c>
      <c r="AI248" s="1728" t="s">
        <v>614</v>
      </c>
      <c r="AJ248" s="1724"/>
      <c r="AK248" s="1725"/>
      <c r="AL248" s="275"/>
      <c r="AM248" s="275"/>
      <c r="AN248" s="275"/>
      <c r="AO248" s="10"/>
      <c r="AP248" s="10"/>
      <c r="AQ248" s="10"/>
      <c r="AR248" s="10"/>
      <c r="AS248" s="10"/>
      <c r="AW248" s="81"/>
      <c r="AX248" s="317"/>
      <c r="AY248" s="317"/>
      <c r="AZ248" s="56"/>
      <c r="BA248" s="317"/>
    </row>
    <row r="249" spans="2:53" s="11" customFormat="1" ht="48.75" customHeight="1">
      <c r="T249" s="1404"/>
      <c r="U249" s="1385"/>
      <c r="V249" s="1385"/>
      <c r="W249" s="1385"/>
      <c r="X249" s="1385"/>
      <c r="Y249" s="275">
        <v>112</v>
      </c>
      <c r="Z249" s="275">
        <v>114</v>
      </c>
      <c r="AA249" s="295"/>
      <c r="AB249" s="295"/>
      <c r="AC249" s="295"/>
      <c r="AD249" s="295"/>
      <c r="AE249" s="295"/>
      <c r="AF249" s="295"/>
      <c r="AG249" s="111"/>
      <c r="AH249" s="1385"/>
      <c r="AI249" s="1729"/>
      <c r="AJ249" s="1726"/>
      <c r="AK249" s="1727"/>
      <c r="AL249" s="275"/>
      <c r="AM249" s="275"/>
      <c r="AN249" s="275"/>
      <c r="AO249" s="10"/>
      <c r="AP249" s="10"/>
      <c r="AQ249" s="10"/>
      <c r="AR249" s="10"/>
      <c r="AS249" s="10"/>
      <c r="AW249" s="81"/>
      <c r="AX249" s="317"/>
      <c r="AY249" s="317"/>
      <c r="AZ249" s="56"/>
      <c r="BA249" s="317"/>
    </row>
    <row r="250" spans="2:53" s="11" customFormat="1" ht="48.75" customHeight="1">
      <c r="T250" s="1404"/>
      <c r="U250" s="1715">
        <v>120</v>
      </c>
      <c r="V250" s="1728" t="s">
        <v>615</v>
      </c>
      <c r="W250" s="1724"/>
      <c r="X250" s="1725"/>
      <c r="Y250" s="275">
        <v>86</v>
      </c>
      <c r="Z250" s="275">
        <v>88</v>
      </c>
      <c r="AA250" s="275">
        <v>92</v>
      </c>
      <c r="AB250" s="275">
        <v>94</v>
      </c>
      <c r="AC250" s="275">
        <v>96</v>
      </c>
      <c r="AD250" s="275">
        <v>98</v>
      </c>
      <c r="AE250" s="275">
        <v>102</v>
      </c>
      <c r="AF250" s="275">
        <v>104</v>
      </c>
      <c r="AG250" s="111"/>
      <c r="AH250" s="1715">
        <v>120</v>
      </c>
      <c r="AI250" s="1728" t="s">
        <v>616</v>
      </c>
      <c r="AJ250" s="1724"/>
      <c r="AK250" s="1725"/>
      <c r="AL250" s="275"/>
      <c r="AM250" s="275"/>
      <c r="AN250" s="275"/>
      <c r="AO250" s="10"/>
      <c r="AP250" s="10"/>
      <c r="AQ250" s="10"/>
      <c r="AR250" s="10"/>
      <c r="AS250" s="10"/>
      <c r="AW250" s="81"/>
      <c r="AX250" s="317"/>
      <c r="AY250" s="317"/>
      <c r="AZ250" s="56"/>
      <c r="BA250" s="317"/>
    </row>
    <row r="251" spans="2:53" s="11" customFormat="1" ht="48.75" customHeight="1" thickBot="1">
      <c r="T251" s="1404"/>
      <c r="U251" s="1404"/>
      <c r="V251" s="1745"/>
      <c r="W251" s="1746"/>
      <c r="X251" s="1747"/>
      <c r="Y251" s="275">
        <v>106</v>
      </c>
      <c r="Z251" s="275">
        <v>134</v>
      </c>
      <c r="AA251" s="275">
        <v>136</v>
      </c>
      <c r="AB251" s="110">
        <v>138</v>
      </c>
      <c r="AC251" s="110">
        <v>140</v>
      </c>
      <c r="AD251" s="110">
        <v>142</v>
      </c>
      <c r="AE251" s="110">
        <v>144</v>
      </c>
      <c r="AF251" s="110">
        <v>146</v>
      </c>
      <c r="AG251" s="111"/>
      <c r="AH251" s="1404"/>
      <c r="AI251" s="1786"/>
      <c r="AJ251" s="1787"/>
      <c r="AK251" s="1788"/>
      <c r="AL251" s="322"/>
      <c r="AM251" s="322"/>
      <c r="AN251" s="322"/>
      <c r="AO251" s="322"/>
      <c r="AP251" s="322"/>
      <c r="AQ251" s="322"/>
      <c r="AR251" s="322"/>
      <c r="AS251" s="322"/>
      <c r="AW251" s="81"/>
      <c r="AX251" s="317"/>
      <c r="AY251" s="317"/>
      <c r="AZ251" s="56"/>
      <c r="BA251" s="317"/>
    </row>
    <row r="252" spans="2:53" s="11" customFormat="1" ht="48.75" customHeight="1">
      <c r="T252" s="1791">
        <v>12</v>
      </c>
      <c r="U252" s="293">
        <v>72</v>
      </c>
      <c r="V252" s="1791" t="s">
        <v>596</v>
      </c>
      <c r="W252" s="1791"/>
      <c r="X252" s="1791"/>
      <c r="Y252" s="109">
        <v>56</v>
      </c>
      <c r="Z252" s="109">
        <v>64</v>
      </c>
      <c r="AA252" s="109">
        <v>80</v>
      </c>
      <c r="AB252" s="108">
        <v>88</v>
      </c>
      <c r="AC252" s="116"/>
      <c r="AD252" s="116"/>
      <c r="AE252" s="116"/>
      <c r="AF252" s="116"/>
      <c r="AG252" s="111"/>
      <c r="AH252" s="293">
        <v>72</v>
      </c>
      <c r="AI252" s="1789" t="s">
        <v>597</v>
      </c>
      <c r="AJ252" s="1789"/>
      <c r="AK252" s="1789"/>
      <c r="AL252" s="108"/>
      <c r="AM252" s="108"/>
      <c r="AN252" s="108"/>
      <c r="AO252" s="302"/>
      <c r="AP252" s="302"/>
      <c r="AQ252" s="302"/>
      <c r="AR252" s="302"/>
      <c r="AS252" s="302"/>
      <c r="AW252" s="81"/>
      <c r="AX252" s="317"/>
      <c r="AY252" s="317"/>
      <c r="AZ252" s="56"/>
      <c r="BA252" s="317"/>
    </row>
    <row r="253" spans="2:53" s="11" customFormat="1" ht="48.75" customHeight="1">
      <c r="T253" s="1385"/>
      <c r="U253" s="279">
        <v>90</v>
      </c>
      <c r="V253" s="1385" t="s">
        <v>617</v>
      </c>
      <c r="W253" s="1385"/>
      <c r="X253" s="1385"/>
      <c r="Y253" s="275">
        <v>68</v>
      </c>
      <c r="Z253" s="275">
        <v>70</v>
      </c>
      <c r="AA253" s="275">
        <v>74</v>
      </c>
      <c r="AB253" s="275">
        <v>88</v>
      </c>
      <c r="AC253" s="275">
        <v>98</v>
      </c>
      <c r="AD253" s="275">
        <v>108</v>
      </c>
      <c r="AE253" s="275">
        <v>110</v>
      </c>
      <c r="AF253" s="295"/>
      <c r="AG253" s="111"/>
      <c r="AH253" s="279">
        <v>90</v>
      </c>
      <c r="AI253" s="1385" t="s">
        <v>618</v>
      </c>
      <c r="AJ253" s="1385"/>
      <c r="AK253" s="1385"/>
      <c r="AL253" s="10"/>
      <c r="AM253" s="10"/>
      <c r="AN253" s="10"/>
      <c r="AO253" s="10"/>
      <c r="AP253" s="10"/>
      <c r="AQ253" s="10"/>
      <c r="AR253" s="10"/>
      <c r="AS253" s="10"/>
      <c r="AW253" s="81"/>
      <c r="AX253" s="317"/>
      <c r="AY253" s="317"/>
      <c r="AZ253" s="56"/>
      <c r="BA253" s="317"/>
    </row>
    <row r="254" spans="2:53" s="11" customFormat="1" ht="48.75" customHeight="1">
      <c r="T254" s="1385"/>
      <c r="U254" s="1385">
        <v>108</v>
      </c>
      <c r="V254" s="1385" t="s">
        <v>619</v>
      </c>
      <c r="W254" s="1385"/>
      <c r="X254" s="1385"/>
      <c r="Y254" s="275">
        <v>86</v>
      </c>
      <c r="Z254" s="275">
        <v>88</v>
      </c>
      <c r="AA254" s="275">
        <v>92</v>
      </c>
      <c r="AB254" s="275">
        <v>100</v>
      </c>
      <c r="AC254" s="275">
        <v>116</v>
      </c>
      <c r="AD254" s="275">
        <v>124</v>
      </c>
      <c r="AE254" s="275">
        <v>128</v>
      </c>
      <c r="AF254" s="275">
        <v>130</v>
      </c>
      <c r="AG254" s="111"/>
      <c r="AH254" s="1385">
        <v>108</v>
      </c>
      <c r="AI254" s="1728" t="s">
        <v>620</v>
      </c>
      <c r="AJ254" s="1724"/>
      <c r="AK254" s="1725"/>
      <c r="AL254" s="275"/>
      <c r="AM254" s="275"/>
      <c r="AN254" s="275"/>
      <c r="AO254" s="10"/>
      <c r="AP254" s="10"/>
      <c r="AQ254" s="10"/>
      <c r="AR254" s="10"/>
      <c r="AS254" s="10"/>
      <c r="AW254" s="81"/>
      <c r="AX254" s="317"/>
      <c r="AY254" s="317"/>
      <c r="AZ254" s="56"/>
      <c r="BA254" s="317"/>
    </row>
    <row r="255" spans="2:53" s="11" customFormat="1" ht="48.75" customHeight="1">
      <c r="T255" s="1385"/>
      <c r="U255" s="1385"/>
      <c r="V255" s="1385"/>
      <c r="W255" s="1385"/>
      <c r="X255" s="1385"/>
      <c r="Y255" s="275">
        <v>123</v>
      </c>
      <c r="Z255" s="295"/>
      <c r="AA255" s="295"/>
      <c r="AB255" s="295"/>
      <c r="AC255" s="295"/>
      <c r="AD255" s="295"/>
      <c r="AE255" s="295"/>
      <c r="AF255" s="295"/>
      <c r="AG255" s="111"/>
      <c r="AH255" s="1385"/>
      <c r="AI255" s="1729"/>
      <c r="AJ255" s="1726"/>
      <c r="AK255" s="1727"/>
      <c r="AL255" s="275"/>
      <c r="AM255" s="275"/>
      <c r="AN255" s="275"/>
      <c r="AO255" s="10"/>
      <c r="AP255" s="10"/>
      <c r="AQ255" s="10"/>
      <c r="AR255" s="10"/>
      <c r="AS255" s="10"/>
      <c r="AW255" s="81"/>
      <c r="AX255" s="317"/>
      <c r="AY255" s="317"/>
      <c r="AZ255" s="56"/>
      <c r="BA255" s="317"/>
    </row>
    <row r="256" spans="2:53" s="11" customFormat="1" ht="48.75" customHeight="1">
      <c r="T256" s="1385"/>
      <c r="U256" s="1385">
        <v>144</v>
      </c>
      <c r="V256" s="1385" t="s">
        <v>621</v>
      </c>
      <c r="W256" s="1385"/>
      <c r="X256" s="1385"/>
      <c r="Y256" s="275">
        <v>124</v>
      </c>
      <c r="Z256" s="275">
        <v>136</v>
      </c>
      <c r="AA256" s="275">
        <v>152</v>
      </c>
      <c r="AB256" s="275">
        <v>160</v>
      </c>
      <c r="AC256" s="275">
        <v>164</v>
      </c>
      <c r="AD256" s="275">
        <v>166</v>
      </c>
      <c r="AE256" s="275">
        <v>168</v>
      </c>
      <c r="AF256" s="275">
        <v>170</v>
      </c>
      <c r="AG256" s="111"/>
      <c r="AH256" s="1385">
        <v>144</v>
      </c>
      <c r="AI256" s="1728" t="s">
        <v>622</v>
      </c>
      <c r="AJ256" s="1724"/>
      <c r="AK256" s="1725"/>
      <c r="AL256" s="275"/>
      <c r="AM256" s="275"/>
      <c r="AN256" s="275"/>
      <c r="AO256" s="10"/>
      <c r="AP256" s="10"/>
      <c r="AQ256" s="10"/>
      <c r="AR256" s="10"/>
      <c r="AS256" s="10"/>
      <c r="AW256" s="81"/>
      <c r="AX256" s="317"/>
      <c r="AY256" s="317"/>
      <c r="AZ256" s="56"/>
      <c r="BA256" s="317"/>
    </row>
    <row r="257" spans="17:61" ht="48.75" customHeight="1" thickBot="1">
      <c r="T257" s="1790"/>
      <c r="U257" s="1790"/>
      <c r="V257" s="1790"/>
      <c r="W257" s="1790"/>
      <c r="X257" s="1790"/>
      <c r="Y257" s="110">
        <v>172</v>
      </c>
      <c r="Z257" s="118"/>
      <c r="AA257" s="118"/>
      <c r="AB257" s="118"/>
      <c r="AC257" s="118"/>
      <c r="AD257" s="118"/>
      <c r="AE257" s="118"/>
      <c r="AF257" s="118"/>
      <c r="AG257" s="111"/>
      <c r="AH257" s="1790"/>
      <c r="AI257" s="1786"/>
      <c r="AJ257" s="1787"/>
      <c r="AK257" s="1788"/>
      <c r="AL257" s="322"/>
      <c r="AM257" s="322"/>
      <c r="AN257" s="322"/>
      <c r="AO257" s="322"/>
      <c r="AP257" s="322"/>
      <c r="AQ257" s="322"/>
      <c r="AR257" s="322"/>
      <c r="AS257" s="322"/>
      <c r="AW257" s="81"/>
      <c r="AX257" s="317"/>
      <c r="AY257" s="317"/>
      <c r="AZ257" s="56"/>
      <c r="BA257" s="317"/>
      <c r="BI257" s="11"/>
    </row>
    <row r="258" spans="17:61" ht="48.75" customHeight="1">
      <c r="Q258" s="321"/>
      <c r="R258" s="321"/>
      <c r="S258" s="321"/>
      <c r="T258" s="1385">
        <v>14</v>
      </c>
      <c r="U258" s="1385">
        <v>84</v>
      </c>
      <c r="V258" s="1385" t="s">
        <v>604</v>
      </c>
      <c r="W258" s="1385"/>
      <c r="X258" s="1385"/>
      <c r="Y258" s="275">
        <v>74</v>
      </c>
      <c r="Z258" s="275">
        <v>94</v>
      </c>
      <c r="AA258" s="275">
        <v>102</v>
      </c>
      <c r="AB258" s="275">
        <v>104</v>
      </c>
      <c r="AC258" s="275">
        <v>106</v>
      </c>
      <c r="AD258" s="295"/>
      <c r="AE258" s="295"/>
      <c r="AF258" s="295"/>
      <c r="AG258" s="111"/>
      <c r="AH258" s="1385">
        <v>84</v>
      </c>
      <c r="AI258" s="1789" t="s">
        <v>631</v>
      </c>
      <c r="AJ258" s="1789"/>
      <c r="AK258" s="1789"/>
      <c r="AL258" s="108"/>
      <c r="AM258" s="108"/>
      <c r="AN258" s="108"/>
      <c r="AO258" s="302"/>
      <c r="AP258" s="302"/>
      <c r="AQ258" s="302"/>
      <c r="AR258" s="302"/>
      <c r="AS258" s="302"/>
      <c r="AW258" s="81"/>
      <c r="AX258" s="317"/>
      <c r="AY258" s="317"/>
      <c r="AZ258" s="56"/>
      <c r="BA258" s="317"/>
      <c r="BI258" s="11"/>
    </row>
    <row r="259" spans="17:61" ht="48.75" customHeight="1">
      <c r="Q259" s="321"/>
      <c r="R259" s="321"/>
      <c r="S259" s="320"/>
      <c r="T259" s="1385"/>
      <c r="U259" s="1385"/>
      <c r="V259" s="1385"/>
      <c r="W259" s="1385"/>
      <c r="X259" s="1385"/>
      <c r="Y259" s="295"/>
      <c r="Z259" s="295"/>
      <c r="AA259" s="295"/>
      <c r="AB259" s="295"/>
      <c r="AC259" s="295"/>
      <c r="AD259" s="295"/>
      <c r="AE259" s="295"/>
      <c r="AF259" s="295"/>
      <c r="AG259" s="111"/>
      <c r="AH259" s="1385"/>
      <c r="AI259" s="1385"/>
      <c r="AJ259" s="1385"/>
      <c r="AK259" s="1385"/>
      <c r="AL259" s="275"/>
      <c r="AM259" s="275"/>
      <c r="AN259" s="275"/>
      <c r="AO259" s="10"/>
      <c r="AP259" s="10"/>
      <c r="AQ259" s="10"/>
      <c r="AR259" s="10"/>
      <c r="AS259" s="10"/>
      <c r="AW259" s="81"/>
      <c r="AX259" s="317"/>
      <c r="AY259" s="317"/>
      <c r="AZ259" s="56"/>
      <c r="BA259" s="317"/>
      <c r="BI259" s="11"/>
    </row>
    <row r="260" spans="17:61" ht="48.75" customHeight="1">
      <c r="Q260" s="321"/>
      <c r="R260" s="321"/>
      <c r="S260" s="320"/>
      <c r="T260" s="1385"/>
      <c r="U260" s="1385">
        <v>126</v>
      </c>
      <c r="V260" s="1385" t="s">
        <v>630</v>
      </c>
      <c r="W260" s="1385"/>
      <c r="X260" s="1385"/>
      <c r="Y260" s="275">
        <v>106</v>
      </c>
      <c r="Z260" s="275">
        <v>108</v>
      </c>
      <c r="AA260" s="275">
        <v>116</v>
      </c>
      <c r="AB260" s="275">
        <v>136</v>
      </c>
      <c r="AC260" s="275">
        <v>144</v>
      </c>
      <c r="AD260" s="275">
        <v>146</v>
      </c>
      <c r="AE260" s="275">
        <v>148</v>
      </c>
      <c r="AF260" s="275">
        <v>150</v>
      </c>
      <c r="AG260" s="111"/>
      <c r="AH260" s="1385">
        <v>126</v>
      </c>
      <c r="AI260" s="1385" t="s">
        <v>632</v>
      </c>
      <c r="AJ260" s="1385"/>
      <c r="AK260" s="1385"/>
      <c r="AL260" s="275"/>
      <c r="AM260" s="275"/>
      <c r="AN260" s="275"/>
      <c r="AO260" s="10"/>
      <c r="AP260" s="10"/>
      <c r="AQ260" s="10"/>
      <c r="AR260" s="10"/>
      <c r="AS260" s="10"/>
      <c r="AW260" s="81"/>
      <c r="AX260" s="317"/>
      <c r="AY260" s="317"/>
      <c r="AZ260" s="56"/>
      <c r="BA260" s="317"/>
      <c r="BI260" s="11"/>
    </row>
    <row r="261" spans="17:61" ht="48.75" customHeight="1">
      <c r="Q261" s="321"/>
      <c r="R261" s="321"/>
      <c r="S261" s="320"/>
      <c r="T261" s="1385"/>
      <c r="U261" s="1385"/>
      <c r="V261" s="1385"/>
      <c r="W261" s="1385"/>
      <c r="X261" s="1385"/>
      <c r="Y261" s="275">
        <v>152</v>
      </c>
      <c r="Z261" s="275">
        <v>154</v>
      </c>
      <c r="AA261" s="275">
        <v>158</v>
      </c>
      <c r="AB261" s="295"/>
      <c r="AC261" s="295"/>
      <c r="AD261" s="295"/>
      <c r="AE261" s="295"/>
      <c r="AF261" s="295"/>
      <c r="AG261" s="111"/>
      <c r="AH261" s="1385"/>
      <c r="AI261" s="1385"/>
      <c r="AJ261" s="1385"/>
      <c r="AK261" s="1385"/>
      <c r="AL261" s="275"/>
      <c r="AM261" s="275"/>
      <c r="AN261" s="275"/>
      <c r="AO261" s="10"/>
      <c r="AP261" s="10"/>
      <c r="AQ261" s="10"/>
      <c r="AR261" s="10"/>
      <c r="AS261" s="10"/>
      <c r="AW261" s="81"/>
      <c r="AX261" s="317"/>
      <c r="AY261" s="317"/>
      <c r="AZ261" s="56"/>
      <c r="BA261" s="317"/>
      <c r="BI261" s="11"/>
    </row>
    <row r="262" spans="17:61" ht="48.75" customHeight="1">
      <c r="Q262" s="321"/>
      <c r="R262" s="321"/>
      <c r="S262" s="320"/>
      <c r="T262" s="1385">
        <v>16</v>
      </c>
      <c r="U262" s="279">
        <v>96</v>
      </c>
      <c r="V262" s="1715" t="s">
        <v>634</v>
      </c>
      <c r="W262" s="1715"/>
      <c r="X262" s="1715"/>
      <c r="Y262" s="112">
        <v>84</v>
      </c>
      <c r="Z262" s="112">
        <v>86</v>
      </c>
      <c r="AA262" s="112">
        <v>106</v>
      </c>
      <c r="AB262" s="112">
        <v>108</v>
      </c>
      <c r="AC262" s="112">
        <v>116</v>
      </c>
      <c r="AD262" s="112">
        <v>118</v>
      </c>
      <c r="AE262" s="121"/>
      <c r="AF262" s="121"/>
      <c r="AG262" s="111"/>
      <c r="AH262" s="279">
        <v>96</v>
      </c>
      <c r="AI262" s="1385">
        <v>90.102000000000004</v>
      </c>
      <c r="AJ262" s="1385"/>
      <c r="AK262" s="1385"/>
      <c r="AL262" s="10"/>
      <c r="AM262" s="10"/>
      <c r="AN262" s="10"/>
      <c r="AO262" s="10"/>
      <c r="AP262" s="10"/>
      <c r="AQ262" s="10"/>
      <c r="AR262" s="10"/>
      <c r="AS262" s="10"/>
      <c r="AW262" s="81"/>
      <c r="AX262" s="317"/>
      <c r="AY262" s="317"/>
      <c r="AZ262" s="56"/>
      <c r="BA262" s="317"/>
      <c r="BI262" s="11"/>
    </row>
    <row r="263" spans="17:61" ht="48.75" customHeight="1">
      <c r="Q263" s="321"/>
      <c r="R263" s="321"/>
      <c r="S263" s="320"/>
      <c r="T263" s="1385"/>
      <c r="U263" s="1385">
        <v>144</v>
      </c>
      <c r="V263" s="1385" t="s">
        <v>633</v>
      </c>
      <c r="W263" s="1385"/>
      <c r="X263" s="1385"/>
      <c r="Y263" s="275">
        <v>120</v>
      </c>
      <c r="Z263" s="275">
        <v>122</v>
      </c>
      <c r="AA263" s="275">
        <v>124</v>
      </c>
      <c r="AB263" s="275">
        <v>132</v>
      </c>
      <c r="AC263" s="275">
        <v>134</v>
      </c>
      <c r="AD263" s="275">
        <v>154</v>
      </c>
      <c r="AE263" s="275">
        <v>156</v>
      </c>
      <c r="AF263" s="288">
        <v>164</v>
      </c>
      <c r="AG263" s="111"/>
      <c r="AH263" s="1385">
        <v>144</v>
      </c>
      <c r="AI263" s="1385" t="s">
        <v>605</v>
      </c>
      <c r="AJ263" s="1385"/>
      <c r="AK263" s="1385"/>
      <c r="AL263" s="10"/>
      <c r="AM263" s="10"/>
      <c r="AN263" s="10"/>
      <c r="AO263" s="10"/>
      <c r="AP263" s="10"/>
      <c r="AQ263" s="10"/>
      <c r="AR263" s="10"/>
      <c r="AS263" s="10"/>
      <c r="AW263" s="81"/>
      <c r="AX263" s="317"/>
      <c r="AY263" s="317"/>
      <c r="AZ263" s="56"/>
      <c r="BA263" s="317"/>
      <c r="BI263" s="11"/>
    </row>
    <row r="264" spans="17:61" ht="48.75" customHeight="1">
      <c r="Q264" s="321"/>
      <c r="R264" s="321"/>
      <c r="S264" s="321"/>
      <c r="T264" s="1385"/>
      <c r="U264" s="1385"/>
      <c r="V264" s="1385"/>
      <c r="W264" s="1385"/>
      <c r="X264" s="1385"/>
      <c r="Y264" s="275">
        <v>166</v>
      </c>
      <c r="Z264" s="275">
        <v>168</v>
      </c>
      <c r="AA264" s="275">
        <v>170</v>
      </c>
      <c r="AB264" s="275">
        <v>172</v>
      </c>
      <c r="AC264" s="121"/>
      <c r="AD264" s="121"/>
      <c r="AE264" s="121"/>
      <c r="AF264" s="121"/>
      <c r="AG264" s="115"/>
      <c r="AH264" s="1385"/>
      <c r="AI264" s="1385"/>
      <c r="AJ264" s="1385"/>
      <c r="AK264" s="1385"/>
      <c r="AL264" s="10"/>
      <c r="AM264" s="10"/>
      <c r="AN264" s="10"/>
      <c r="AO264" s="10"/>
      <c r="AP264" s="10"/>
      <c r="AQ264" s="10"/>
      <c r="AR264" s="10"/>
      <c r="AS264" s="10"/>
      <c r="AW264" s="81"/>
      <c r="AX264" s="317"/>
      <c r="AY264" s="317"/>
      <c r="AZ264" s="56"/>
      <c r="BA264" s="317"/>
      <c r="BI264" s="11"/>
    </row>
    <row r="265" spans="17:61" ht="48.75" customHeight="1">
      <c r="Q265" s="321"/>
      <c r="R265" s="321"/>
      <c r="S265" s="321"/>
      <c r="T265" s="97"/>
      <c r="X265" s="12"/>
      <c r="Y265" s="16"/>
      <c r="Z265" s="16"/>
      <c r="AA265" s="16"/>
      <c r="AB265" s="16"/>
      <c r="AC265" s="16"/>
      <c r="AD265" s="16"/>
      <c r="AE265" s="16"/>
      <c r="AF265" s="16"/>
      <c r="AG265" s="12"/>
      <c r="AN265" s="12"/>
      <c r="AO265" s="12"/>
      <c r="AP265" s="12"/>
      <c r="AW265" s="81"/>
      <c r="AX265" s="317"/>
      <c r="AY265" s="317"/>
      <c r="AZ265" s="56"/>
      <c r="BA265" s="317"/>
      <c r="BI265" s="11"/>
    </row>
    <row r="266" spans="17:61" ht="48.75" customHeight="1">
      <c r="Q266" s="321"/>
      <c r="R266" s="321"/>
      <c r="S266" s="321"/>
      <c r="T266" s="321"/>
      <c r="U266" s="321"/>
      <c r="X266" s="12"/>
      <c r="Y266" s="12"/>
      <c r="Z266" s="317"/>
      <c r="AA266" s="317"/>
      <c r="AB266" s="317"/>
      <c r="AC266" s="317"/>
      <c r="AD266" s="317"/>
      <c r="AE266" s="317"/>
      <c r="AF266" s="317"/>
      <c r="AG266" s="12"/>
      <c r="AN266" s="12"/>
      <c r="AO266" s="12"/>
      <c r="AP266" s="12"/>
      <c r="AW266" s="81"/>
      <c r="AX266" s="317"/>
      <c r="AY266" s="317"/>
      <c r="AZ266" s="56"/>
      <c r="BA266" s="317"/>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81"/>
      <c r="AX267" s="317"/>
      <c r="AY267" s="317"/>
      <c r="AZ267" s="56"/>
      <c r="BA267" s="317"/>
      <c r="BI267" s="11"/>
    </row>
    <row r="268" spans="17:61" ht="48.75" customHeight="1">
      <c r="AW268" s="81"/>
      <c r="AX268" s="317"/>
      <c r="AY268" s="317"/>
      <c r="AZ268" s="56"/>
      <c r="BA268" s="317"/>
      <c r="BI268" s="11"/>
    </row>
    <row r="269" spans="17:61" ht="48.75" customHeight="1">
      <c r="AQ269" s="317"/>
      <c r="AR269" s="317"/>
      <c r="AS269" s="318"/>
      <c r="AT269" s="317"/>
      <c r="AU269" s="317"/>
      <c r="AV269" s="317"/>
      <c r="AW269" s="81"/>
      <c r="AX269" s="317"/>
      <c r="AY269" s="317"/>
      <c r="AZ269" s="56"/>
      <c r="BA269" s="317"/>
      <c r="BI269" s="11"/>
    </row>
    <row r="270" spans="17:61" ht="48.75" customHeight="1">
      <c r="AQ270" s="317"/>
      <c r="AR270" s="317"/>
      <c r="AS270" s="318"/>
      <c r="AT270" s="317"/>
      <c r="AU270" s="317"/>
      <c r="AV270" s="317"/>
      <c r="AW270" s="81"/>
      <c r="AX270" s="317"/>
      <c r="AY270" s="317"/>
      <c r="AZ270" s="56"/>
      <c r="BA270" s="317"/>
      <c r="BB270" s="317"/>
      <c r="BC270" s="317"/>
      <c r="BD270" s="317"/>
      <c r="BE270" s="317"/>
      <c r="BF270" s="317"/>
      <c r="BH270" s="317"/>
      <c r="BI270" s="319"/>
    </row>
    <row r="271" spans="17:61" ht="48.75" customHeight="1">
      <c r="AQ271" s="317"/>
      <c r="AR271" s="317"/>
      <c r="AS271" s="318"/>
      <c r="AT271" s="317"/>
      <c r="AU271" s="317"/>
      <c r="AV271" s="317"/>
      <c r="AW271" s="81"/>
      <c r="AX271" s="317"/>
      <c r="AY271" s="317"/>
      <c r="AZ271" s="56"/>
      <c r="BA271" s="317"/>
      <c r="BB271" s="317"/>
      <c r="BC271" s="317"/>
      <c r="BD271" s="317"/>
      <c r="BE271" s="317"/>
      <c r="BF271" s="317"/>
      <c r="BH271" s="317"/>
      <c r="BI271" s="319"/>
    </row>
    <row r="272" spans="17:61" ht="48.75" customHeight="1">
      <c r="AQ272" s="317"/>
      <c r="AR272" s="317"/>
      <c r="AS272" s="318"/>
      <c r="AT272" s="317"/>
      <c r="AU272" s="317"/>
      <c r="AV272" s="317"/>
      <c r="AW272" s="81"/>
      <c r="AX272" s="317"/>
      <c r="AY272" s="317"/>
      <c r="AZ272" s="56"/>
      <c r="BA272" s="317"/>
      <c r="BB272" s="317"/>
      <c r="BC272" s="317"/>
      <c r="BD272" s="317"/>
      <c r="BE272" s="317"/>
      <c r="BF272" s="317"/>
      <c r="BH272" s="317"/>
      <c r="BI272" s="319"/>
    </row>
    <row r="273" spans="2:102" ht="48.75" customHeight="1">
      <c r="AQ273" s="317"/>
      <c r="AR273" s="317"/>
      <c r="AS273" s="318"/>
      <c r="AT273" s="317"/>
      <c r="AU273" s="317"/>
      <c r="AV273" s="317"/>
      <c r="AW273" s="81"/>
      <c r="AX273" s="317"/>
      <c r="AY273" s="317"/>
      <c r="AZ273" s="56"/>
      <c r="BA273" s="317"/>
      <c r="BB273" s="317"/>
      <c r="BC273" s="317"/>
      <c r="BD273" s="317"/>
      <c r="BE273" s="317"/>
      <c r="BF273" s="317"/>
      <c r="BH273" s="317"/>
      <c r="BI273" s="319"/>
    </row>
    <row r="274" spans="2:102" ht="48.75" customHeight="1">
      <c r="AQ274" s="317"/>
      <c r="AR274" s="317"/>
      <c r="AS274" s="318"/>
      <c r="AT274" s="317"/>
      <c r="AU274" s="317"/>
      <c r="AV274" s="317"/>
      <c r="AW274" s="81"/>
      <c r="AX274" s="317"/>
      <c r="AY274" s="317"/>
      <c r="AZ274" s="56"/>
      <c r="BA274" s="317"/>
      <c r="BB274" s="317"/>
      <c r="BC274" s="317"/>
      <c r="BD274" s="317"/>
      <c r="BE274" s="317"/>
      <c r="BF274" s="317"/>
      <c r="BH274" s="317"/>
      <c r="BI274" s="319"/>
    </row>
    <row r="275" spans="2:102" ht="48.75" customHeight="1">
      <c r="AQ275" s="317"/>
      <c r="AR275" s="317"/>
      <c r="AS275" s="318"/>
      <c r="AT275" s="317"/>
      <c r="AU275" s="317"/>
      <c r="AV275" s="317"/>
      <c r="AW275" s="81"/>
      <c r="AX275" s="317"/>
      <c r="AY275" s="317"/>
      <c r="AZ275" s="56"/>
      <c r="BA275" s="317"/>
      <c r="BB275" s="317"/>
      <c r="BC275" s="317"/>
      <c r="BD275" s="317"/>
      <c r="BE275" s="317"/>
      <c r="BF275" s="317"/>
      <c r="BH275" s="317"/>
      <c r="BI275" s="319"/>
    </row>
    <row r="276" spans="2:102" ht="48.75" customHeight="1">
      <c r="AQ276" s="317"/>
      <c r="AR276" s="317"/>
      <c r="AS276" s="318"/>
      <c r="AT276" s="317"/>
      <c r="AU276" s="317"/>
      <c r="AV276" s="317"/>
      <c r="AW276" s="81"/>
      <c r="AX276" s="317"/>
      <c r="AY276" s="317"/>
      <c r="AZ276" s="56"/>
      <c r="BA276" s="317"/>
      <c r="BB276" s="317"/>
      <c r="BC276" s="317"/>
      <c r="BD276" s="317"/>
      <c r="BE276" s="317"/>
      <c r="BF276" s="317"/>
      <c r="BH276" s="317"/>
      <c r="BI276" s="319"/>
    </row>
    <row r="277" spans="2:102" ht="48.75" customHeight="1">
      <c r="AQ277" s="317"/>
      <c r="AR277" s="317"/>
      <c r="AS277" s="318"/>
      <c r="AT277" s="317"/>
      <c r="AU277" s="317"/>
      <c r="AV277" s="317"/>
      <c r="AW277" s="81"/>
      <c r="AX277" s="317"/>
      <c r="AY277" s="317"/>
      <c r="AZ277" s="56"/>
      <c r="BA277" s="317"/>
      <c r="BB277" s="317"/>
      <c r="BC277" s="317"/>
      <c r="BD277" s="317"/>
      <c r="BE277" s="317"/>
      <c r="BF277" s="317"/>
      <c r="BH277" s="317"/>
      <c r="BI277" s="319"/>
    </row>
    <row r="278" spans="2:102" ht="48.75" customHeight="1">
      <c r="AQ278" s="317"/>
      <c r="AR278" s="317"/>
      <c r="AS278" s="318"/>
      <c r="AT278" s="317"/>
      <c r="AU278" s="317"/>
      <c r="AV278" s="317"/>
      <c r="AW278" s="81"/>
      <c r="AX278" s="317"/>
      <c r="AY278" s="317"/>
      <c r="AZ278" s="56"/>
      <c r="BA278" s="317"/>
      <c r="BB278" s="317"/>
      <c r="BC278" s="317"/>
      <c r="BD278" s="317"/>
      <c r="BE278" s="317"/>
      <c r="BF278" s="317"/>
      <c r="BH278" s="317"/>
      <c r="BI278" s="319"/>
    </row>
    <row r="279" spans="2:102" ht="48.75" customHeight="1">
      <c r="B279" s="1033" t="s">
        <v>644</v>
      </c>
      <c r="C279" s="1033"/>
      <c r="D279" s="1033"/>
      <c r="E279" s="1033"/>
      <c r="F279" s="1033"/>
      <c r="G279" s="1033"/>
      <c r="H279" s="1033"/>
      <c r="I279" s="1033"/>
      <c r="J279" s="1033"/>
      <c r="K279" s="1033"/>
      <c r="L279" s="281"/>
      <c r="M279" s="1236"/>
      <c r="N279" s="1033" t="s">
        <v>645</v>
      </c>
      <c r="O279" s="1033"/>
      <c r="P279" s="1033"/>
      <c r="Q279" s="1033"/>
      <c r="R279" s="1033"/>
      <c r="S279" s="1033"/>
      <c r="T279" s="1033"/>
      <c r="U279" s="1033"/>
      <c r="V279" s="1033"/>
      <c r="W279" s="1033"/>
      <c r="X279" s="281"/>
      <c r="Y279" s="1236"/>
      <c r="Z279" s="1033" t="s">
        <v>646</v>
      </c>
      <c r="AA279" s="1033"/>
      <c r="AB279" s="1033"/>
      <c r="AC279" s="1033"/>
      <c r="AD279" s="1033"/>
      <c r="AE279" s="1033"/>
      <c r="AF279" s="1033"/>
      <c r="AG279" s="1033"/>
      <c r="AH279" s="1033"/>
      <c r="AI279" s="1033"/>
      <c r="AJ279" s="281"/>
      <c r="AQ279" s="317"/>
      <c r="AR279" s="317"/>
      <c r="AS279" s="318"/>
      <c r="AT279" s="317"/>
      <c r="AU279" s="317"/>
      <c r="AV279" s="317"/>
      <c r="AW279" s="81"/>
      <c r="AX279" s="317"/>
      <c r="AY279" s="317"/>
      <c r="AZ279" s="56"/>
      <c r="BA279" s="317"/>
      <c r="BB279" s="317"/>
      <c r="BC279" s="317"/>
      <c r="BD279" s="317"/>
      <c r="BE279" s="317"/>
      <c r="BF279" s="317"/>
      <c r="BH279" s="317"/>
      <c r="BI279" s="319"/>
    </row>
    <row r="280" spans="2:102" ht="48.75" customHeight="1">
      <c r="B280" s="1385" t="s">
        <v>642</v>
      </c>
      <c r="C280" s="279">
        <v>0</v>
      </c>
      <c r="D280" s="279">
        <v>0.01</v>
      </c>
      <c r="E280" s="279">
        <v>0.02</v>
      </c>
      <c r="F280" s="279">
        <v>0.03</v>
      </c>
      <c r="G280" s="279">
        <v>0.04</v>
      </c>
      <c r="H280" s="279">
        <v>0.05</v>
      </c>
      <c r="I280" s="279">
        <v>0.06</v>
      </c>
      <c r="J280" s="279">
        <v>7.0000000000000007E-2</v>
      </c>
      <c r="K280" s="279">
        <v>0.08</v>
      </c>
      <c r="L280" s="279">
        <v>0.09</v>
      </c>
      <c r="M280" s="1236"/>
      <c r="N280" s="1385" t="s">
        <v>642</v>
      </c>
      <c r="O280" s="279">
        <v>0</v>
      </c>
      <c r="P280" s="279">
        <v>0.01</v>
      </c>
      <c r="Q280" s="279">
        <v>0.02</v>
      </c>
      <c r="R280" s="279">
        <v>0.03</v>
      </c>
      <c r="S280" s="279">
        <v>0.04</v>
      </c>
      <c r="T280" s="279">
        <v>0.05</v>
      </c>
      <c r="U280" s="279">
        <v>0.06</v>
      </c>
      <c r="V280" s="279">
        <v>7.0000000000000007E-2</v>
      </c>
      <c r="W280" s="279">
        <v>0.08</v>
      </c>
      <c r="X280" s="279">
        <v>0.09</v>
      </c>
      <c r="Y280" s="1236"/>
      <c r="Z280" s="1385" t="s">
        <v>642</v>
      </c>
      <c r="AA280" s="279">
        <v>0</v>
      </c>
      <c r="AB280" s="279">
        <v>0.01</v>
      </c>
      <c r="AC280" s="279">
        <v>0.02</v>
      </c>
      <c r="AD280" s="279">
        <v>0.03</v>
      </c>
      <c r="AE280" s="279">
        <v>0.04</v>
      </c>
      <c r="AF280" s="279">
        <v>0.05</v>
      </c>
      <c r="AG280" s="279">
        <v>0.06</v>
      </c>
      <c r="AH280" s="279">
        <v>7.0000000000000007E-2</v>
      </c>
      <c r="AI280" s="279">
        <v>0.08</v>
      </c>
      <c r="AJ280" s="279">
        <v>0.09</v>
      </c>
      <c r="AQ280" s="317"/>
      <c r="AR280" s="317"/>
      <c r="AS280" s="318"/>
      <c r="AT280" s="317"/>
      <c r="AU280" s="317"/>
      <c r="AV280" s="317"/>
      <c r="AW280" s="81"/>
      <c r="AX280" s="317"/>
      <c r="AY280" s="317"/>
      <c r="AZ280" s="56"/>
      <c r="BA280" s="317"/>
      <c r="BB280" s="317"/>
      <c r="BC280" s="317"/>
      <c r="BD280" s="317"/>
      <c r="BE280" s="317"/>
      <c r="BF280" s="317"/>
      <c r="BH280" s="317"/>
      <c r="BI280" s="319"/>
    </row>
    <row r="281" spans="2:102" ht="48.75" customHeight="1">
      <c r="B281" s="1385"/>
      <c r="C281" s="1385" t="s">
        <v>643</v>
      </c>
      <c r="D281" s="1385"/>
      <c r="E281" s="1385"/>
      <c r="F281" s="1385"/>
      <c r="G281" s="1385"/>
      <c r="H281" s="1385"/>
      <c r="I281" s="1385"/>
      <c r="J281" s="1385"/>
      <c r="K281" s="1385"/>
      <c r="L281" s="1385"/>
      <c r="M281" s="1236"/>
      <c r="N281" s="1385"/>
      <c r="O281" s="1385" t="s">
        <v>643</v>
      </c>
      <c r="P281" s="1385"/>
      <c r="Q281" s="1385"/>
      <c r="R281" s="1385"/>
      <c r="S281" s="1385"/>
      <c r="T281" s="1385"/>
      <c r="U281" s="1385"/>
      <c r="V281" s="1385"/>
      <c r="W281" s="1385"/>
      <c r="X281" s="1385"/>
      <c r="Y281" s="1236"/>
      <c r="Z281" s="1385"/>
      <c r="AA281" s="1385" t="s">
        <v>643</v>
      </c>
      <c r="AB281" s="1385"/>
      <c r="AC281" s="1385"/>
      <c r="AD281" s="1385"/>
      <c r="AE281" s="1385"/>
      <c r="AF281" s="1385"/>
      <c r="AG281" s="1385"/>
      <c r="AH281" s="1385"/>
      <c r="AI281" s="1385"/>
      <c r="AJ281" s="1385"/>
      <c r="AQ281" s="317"/>
      <c r="AR281" s="317"/>
      <c r="AS281" s="318"/>
      <c r="AT281" s="317"/>
      <c r="AU281" s="317"/>
      <c r="AV281" s="317"/>
      <c r="AW281" s="81"/>
      <c r="AX281" s="317"/>
      <c r="AY281" s="317"/>
      <c r="AZ281" s="56"/>
      <c r="BA281" s="317"/>
      <c r="BB281" s="317"/>
      <c r="BC281" s="317"/>
      <c r="BD281" s="317"/>
      <c r="BE281" s="317"/>
      <c r="BF281" s="317"/>
      <c r="BH281" s="317"/>
      <c r="BI281" s="319"/>
    </row>
    <row r="282" spans="2:102" ht="48.75" customHeight="1">
      <c r="B282" s="279">
        <v>0.4</v>
      </c>
      <c r="C282" s="279">
        <v>56</v>
      </c>
      <c r="D282" s="279">
        <v>56</v>
      </c>
      <c r="E282" s="279">
        <v>57</v>
      </c>
      <c r="F282" s="279">
        <v>58</v>
      </c>
      <c r="G282" s="279">
        <v>59</v>
      </c>
      <c r="H282" s="279">
        <v>60</v>
      </c>
      <c r="I282" s="279">
        <v>60</v>
      </c>
      <c r="J282" s="279">
        <v>61</v>
      </c>
      <c r="K282" s="279">
        <v>61</v>
      </c>
      <c r="L282" s="279">
        <v>62</v>
      </c>
      <c r="M282" s="286"/>
      <c r="N282" s="279">
        <v>0.4</v>
      </c>
      <c r="O282" s="279">
        <v>52</v>
      </c>
      <c r="P282" s="279">
        <v>53</v>
      </c>
      <c r="Q282" s="279">
        <v>54</v>
      </c>
      <c r="R282" s="279">
        <v>55</v>
      </c>
      <c r="S282" s="279">
        <v>56</v>
      </c>
      <c r="T282" s="279">
        <v>58</v>
      </c>
      <c r="U282" s="279">
        <v>59</v>
      </c>
      <c r="V282" s="279">
        <v>60</v>
      </c>
      <c r="W282" s="279">
        <v>61</v>
      </c>
      <c r="X282" s="279">
        <v>62</v>
      </c>
      <c r="Y282" s="286"/>
      <c r="Z282" s="279">
        <v>0.4</v>
      </c>
      <c r="AA282" s="279">
        <v>124</v>
      </c>
      <c r="AB282" s="279">
        <v>127</v>
      </c>
      <c r="AC282" s="279">
        <v>130</v>
      </c>
      <c r="AD282" s="279">
        <v>133</v>
      </c>
      <c r="AE282" s="279">
        <v>136</v>
      </c>
      <c r="AF282" s="279">
        <v>138</v>
      </c>
      <c r="AG282" s="279">
        <v>141</v>
      </c>
      <c r="AH282" s="279">
        <v>144</v>
      </c>
      <c r="AI282" s="279">
        <v>147</v>
      </c>
      <c r="AJ282" s="279">
        <v>150</v>
      </c>
      <c r="AQ282" s="317"/>
      <c r="AR282" s="317"/>
      <c r="AS282" s="318"/>
      <c r="AT282" s="317"/>
      <c r="AU282" s="317"/>
      <c r="AV282" s="317"/>
      <c r="AW282" s="81"/>
      <c r="AX282" s="317"/>
      <c r="AY282" s="317"/>
      <c r="AZ282" s="56"/>
      <c r="BA282" s="317"/>
      <c r="BB282" s="317"/>
      <c r="BC282" s="317"/>
      <c r="BD282" s="317"/>
      <c r="BE282" s="317"/>
      <c r="BF282" s="317"/>
      <c r="BH282" s="317"/>
      <c r="BI282" s="319"/>
      <c r="CN282" s="300"/>
      <c r="CO282" s="300"/>
      <c r="CP282" s="300"/>
      <c r="CQ282" s="300"/>
      <c r="CR282" s="300"/>
      <c r="CS282" s="300"/>
      <c r="CT282" s="300"/>
      <c r="CU282" s="300"/>
      <c r="CV282" s="300"/>
      <c r="CW282" s="300"/>
      <c r="CX282" s="300"/>
    </row>
    <row r="283" spans="2:102" ht="48.75" customHeight="1">
      <c r="B283" s="279">
        <v>0.5</v>
      </c>
      <c r="C283" s="279">
        <v>63</v>
      </c>
      <c r="D283" s="279">
        <v>63</v>
      </c>
      <c r="E283" s="279">
        <v>64</v>
      </c>
      <c r="F283" s="279">
        <v>65</v>
      </c>
      <c r="G283" s="279">
        <v>66</v>
      </c>
      <c r="H283" s="279">
        <v>67</v>
      </c>
      <c r="I283" s="279">
        <v>67</v>
      </c>
      <c r="J283" s="279">
        <v>68</v>
      </c>
      <c r="K283" s="279">
        <v>68</v>
      </c>
      <c r="L283" s="279">
        <v>69</v>
      </c>
      <c r="M283" s="286"/>
      <c r="N283" s="279">
        <v>0.5</v>
      </c>
      <c r="O283" s="279">
        <v>64</v>
      </c>
      <c r="P283" s="279">
        <v>65</v>
      </c>
      <c r="Q283" s="279">
        <v>66</v>
      </c>
      <c r="R283" s="279">
        <v>67</v>
      </c>
      <c r="S283" s="279">
        <v>69</v>
      </c>
      <c r="T283" s="279">
        <v>71</v>
      </c>
      <c r="U283" s="279">
        <v>72</v>
      </c>
      <c r="V283" s="279">
        <v>74</v>
      </c>
      <c r="W283" s="279">
        <v>76</v>
      </c>
      <c r="X283" s="279">
        <v>78</v>
      </c>
      <c r="Y283" s="286"/>
      <c r="Z283" s="279">
        <v>0.5</v>
      </c>
      <c r="AA283" s="279">
        <v>154</v>
      </c>
      <c r="AB283" s="279">
        <v>157</v>
      </c>
      <c r="AC283" s="279">
        <v>160</v>
      </c>
      <c r="AD283" s="279">
        <v>164</v>
      </c>
      <c r="AE283" s="279">
        <v>167</v>
      </c>
      <c r="AF283" s="279">
        <v>171</v>
      </c>
      <c r="AG283" s="279">
        <v>174</v>
      </c>
      <c r="AH283" s="279">
        <v>177</v>
      </c>
      <c r="AI283" s="279">
        <v>180</v>
      </c>
      <c r="AJ283" s="279">
        <v>184</v>
      </c>
      <c r="AQ283" s="317"/>
      <c r="AR283" s="317"/>
      <c r="AS283" s="318"/>
      <c r="AT283" s="317"/>
      <c r="AU283" s="317"/>
      <c r="AV283" s="317"/>
      <c r="AW283" s="81"/>
      <c r="AX283" s="317"/>
      <c r="AY283" s="317"/>
      <c r="AZ283" s="56"/>
      <c r="BA283" s="317"/>
      <c r="BB283" s="317"/>
      <c r="BC283" s="317"/>
      <c r="BD283" s="317"/>
      <c r="BE283" s="317"/>
      <c r="BF283" s="317"/>
      <c r="BH283" s="317"/>
      <c r="BI283" s="319"/>
      <c r="CN283" s="300"/>
      <c r="CO283" s="300"/>
      <c r="CP283" s="300"/>
      <c r="CQ283" s="300"/>
      <c r="CR283" s="300"/>
      <c r="CS283" s="300"/>
      <c r="CT283" s="300"/>
      <c r="CU283" s="300"/>
      <c r="CV283" s="300"/>
      <c r="CW283" s="300"/>
      <c r="CX283" s="300"/>
    </row>
    <row r="284" spans="2:102" ht="48.75" customHeight="1">
      <c r="B284" s="279">
        <v>0.6</v>
      </c>
      <c r="C284" s="279">
        <v>70</v>
      </c>
      <c r="D284" s="279">
        <v>70</v>
      </c>
      <c r="E284" s="279">
        <v>71</v>
      </c>
      <c r="F284" s="279">
        <v>72</v>
      </c>
      <c r="G284" s="279">
        <v>73</v>
      </c>
      <c r="H284" s="279">
        <v>74</v>
      </c>
      <c r="I284" s="279">
        <v>74</v>
      </c>
      <c r="J284" s="279">
        <v>75</v>
      </c>
      <c r="K284" s="279">
        <v>76</v>
      </c>
      <c r="L284" s="279">
        <v>77</v>
      </c>
      <c r="M284" s="286"/>
      <c r="N284" s="279">
        <v>0.6</v>
      </c>
      <c r="O284" s="279">
        <v>80</v>
      </c>
      <c r="P284" s="279">
        <v>81</v>
      </c>
      <c r="Q284" s="279">
        <v>83</v>
      </c>
      <c r="R284" s="279">
        <v>85</v>
      </c>
      <c r="S284" s="279">
        <v>87</v>
      </c>
      <c r="T284" s="279">
        <v>89</v>
      </c>
      <c r="U284" s="279">
        <v>91</v>
      </c>
      <c r="V284" s="279">
        <v>93</v>
      </c>
      <c r="W284" s="279">
        <v>95</v>
      </c>
      <c r="X284" s="279">
        <v>97</v>
      </c>
      <c r="Y284" s="286"/>
      <c r="Z284" s="279">
        <v>0.6</v>
      </c>
      <c r="AA284" s="279">
        <v>188</v>
      </c>
      <c r="AB284" s="279">
        <v>191</v>
      </c>
      <c r="AC284" s="279">
        <v>194</v>
      </c>
      <c r="AD284" s="279">
        <v>198</v>
      </c>
      <c r="AE284" s="279">
        <v>201</v>
      </c>
      <c r="AF284" s="279">
        <v>205</v>
      </c>
      <c r="AG284" s="279">
        <v>208</v>
      </c>
      <c r="AH284" s="279">
        <v>212</v>
      </c>
      <c r="AI284" s="279">
        <v>216</v>
      </c>
      <c r="AJ284" s="279">
        <v>220</v>
      </c>
      <c r="AQ284" s="317"/>
      <c r="AR284" s="317"/>
      <c r="AS284" s="318"/>
      <c r="AT284" s="317"/>
      <c r="AU284" s="317"/>
      <c r="AV284" s="317"/>
      <c r="AW284" s="81"/>
      <c r="AX284" s="317"/>
      <c r="AY284" s="317"/>
      <c r="AZ284" s="56"/>
      <c r="BA284" s="317"/>
      <c r="BB284" s="317"/>
      <c r="BC284" s="317"/>
      <c r="BD284" s="317"/>
      <c r="BE284" s="317"/>
      <c r="BF284" s="317"/>
      <c r="BH284" s="317"/>
      <c r="BI284" s="319"/>
      <c r="CN284" s="300"/>
      <c r="CO284" s="300"/>
      <c r="CP284" s="300"/>
      <c r="CQ284" s="300"/>
      <c r="CR284" s="300"/>
      <c r="CS284" s="300"/>
      <c r="CT284" s="300"/>
      <c r="CU284" s="300"/>
      <c r="CV284" s="300"/>
      <c r="CW284" s="300"/>
      <c r="CX284" s="300"/>
    </row>
    <row r="285" spans="2:102" ht="48.75" customHeight="1">
      <c r="B285" s="279">
        <v>0.7</v>
      </c>
      <c r="C285" s="279">
        <v>78</v>
      </c>
      <c r="D285" s="279">
        <v>79</v>
      </c>
      <c r="E285" s="279">
        <v>80</v>
      </c>
      <c r="F285" s="279">
        <v>81</v>
      </c>
      <c r="G285" s="279">
        <v>82</v>
      </c>
      <c r="H285" s="279">
        <v>83</v>
      </c>
      <c r="I285" s="279">
        <v>84</v>
      </c>
      <c r="J285" s="279">
        <v>85</v>
      </c>
      <c r="K285" s="279">
        <v>86</v>
      </c>
      <c r="L285" s="279">
        <v>87</v>
      </c>
      <c r="M285" s="286"/>
      <c r="N285" s="279">
        <v>0.7</v>
      </c>
      <c r="O285" s="279">
        <v>100</v>
      </c>
      <c r="P285" s="279">
        <v>102</v>
      </c>
      <c r="Q285" s="279">
        <v>104</v>
      </c>
      <c r="R285" s="279">
        <v>106</v>
      </c>
      <c r="S285" s="279">
        <v>108</v>
      </c>
      <c r="T285" s="279">
        <v>111</v>
      </c>
      <c r="U285" s="279">
        <v>113</v>
      </c>
      <c r="V285" s="279">
        <v>115</v>
      </c>
      <c r="W285" s="279">
        <v>118</v>
      </c>
      <c r="X285" s="279">
        <v>121</v>
      </c>
      <c r="Y285" s="286"/>
      <c r="Z285" s="279">
        <v>0.7</v>
      </c>
      <c r="AA285" s="279">
        <v>223</v>
      </c>
      <c r="AB285" s="279">
        <v>226</v>
      </c>
      <c r="AC285" s="279">
        <v>229</v>
      </c>
      <c r="AD285" s="279">
        <v>233</v>
      </c>
      <c r="AE285" s="279">
        <v>236</v>
      </c>
      <c r="AF285" s="279">
        <v>240</v>
      </c>
      <c r="AG285" s="279">
        <v>243</v>
      </c>
      <c r="AH285" s="279">
        <v>247</v>
      </c>
      <c r="AI285" s="279">
        <v>250</v>
      </c>
      <c r="AJ285" s="279">
        <v>253</v>
      </c>
      <c r="AQ285" s="317"/>
      <c r="AR285" s="317"/>
      <c r="AS285" s="318"/>
      <c r="AT285" s="317"/>
      <c r="AU285" s="317"/>
      <c r="AV285" s="317"/>
      <c r="AW285" s="81"/>
      <c r="AX285" s="317"/>
      <c r="AY285" s="317"/>
      <c r="AZ285" s="56"/>
      <c r="BA285" s="317"/>
      <c r="BB285" s="317"/>
      <c r="BC285" s="317"/>
      <c r="BD285" s="317"/>
      <c r="BE285" s="317"/>
      <c r="BF285" s="317"/>
      <c r="BH285" s="317"/>
      <c r="BI285" s="319"/>
      <c r="CN285" s="300"/>
      <c r="CO285" s="300"/>
      <c r="CP285" s="300"/>
      <c r="CQ285" s="300"/>
      <c r="CR285" s="300"/>
      <c r="CS285" s="300"/>
      <c r="CT285" s="300"/>
      <c r="CU285" s="300"/>
      <c r="CV285" s="300"/>
      <c r="CW285" s="300"/>
      <c r="CX285" s="300"/>
    </row>
    <row r="286" spans="2:102" ht="48.75" customHeight="1">
      <c r="B286" s="279">
        <v>0.8</v>
      </c>
      <c r="C286" s="279">
        <v>88</v>
      </c>
      <c r="D286" s="279">
        <v>89</v>
      </c>
      <c r="E286" s="279">
        <v>90</v>
      </c>
      <c r="F286" s="279">
        <v>91</v>
      </c>
      <c r="G286" s="279">
        <v>92</v>
      </c>
      <c r="H286" s="279">
        <v>93</v>
      </c>
      <c r="I286" s="279">
        <v>94</v>
      </c>
      <c r="J286" s="279">
        <v>95</v>
      </c>
      <c r="K286" s="279">
        <v>96</v>
      </c>
      <c r="L286" s="279">
        <v>97</v>
      </c>
      <c r="M286" s="286"/>
      <c r="N286" s="279">
        <v>0.8</v>
      </c>
      <c r="O286" s="279">
        <v>124</v>
      </c>
      <c r="P286" s="279">
        <v>126</v>
      </c>
      <c r="Q286" s="279">
        <v>129</v>
      </c>
      <c r="R286" s="279">
        <v>132</v>
      </c>
      <c r="S286" s="279">
        <v>135</v>
      </c>
      <c r="T286" s="279">
        <v>138</v>
      </c>
      <c r="U286" s="279">
        <v>140</v>
      </c>
      <c r="V286" s="279">
        <v>143</v>
      </c>
      <c r="W286" s="279">
        <v>146</v>
      </c>
      <c r="X286" s="279">
        <v>149</v>
      </c>
      <c r="Y286" s="286"/>
      <c r="Z286" s="279">
        <v>0.8</v>
      </c>
      <c r="AA286" s="279">
        <v>256</v>
      </c>
      <c r="AB286" s="279">
        <v>259</v>
      </c>
      <c r="AC286" s="279">
        <v>262</v>
      </c>
      <c r="AD286" s="279">
        <v>265</v>
      </c>
      <c r="AE286" s="279">
        <v>268</v>
      </c>
      <c r="AF286" s="279">
        <v>271</v>
      </c>
      <c r="AG286" s="279">
        <v>274</v>
      </c>
      <c r="AH286" s="279">
        <v>277</v>
      </c>
      <c r="AI286" s="279">
        <v>280</v>
      </c>
      <c r="AJ286" s="279">
        <v>283</v>
      </c>
      <c r="AQ286" s="317"/>
      <c r="AR286" s="317"/>
      <c r="AS286" s="318"/>
      <c r="AT286" s="317"/>
      <c r="AU286" s="317"/>
      <c r="AV286" s="317"/>
      <c r="AW286" s="81"/>
      <c r="AX286" s="317"/>
      <c r="AY286" s="317"/>
      <c r="AZ286" s="56"/>
      <c r="BA286" s="317"/>
      <c r="BB286" s="317"/>
      <c r="BC286" s="317"/>
      <c r="BD286" s="317"/>
      <c r="BE286" s="317"/>
      <c r="BF286" s="317"/>
      <c r="BH286" s="317"/>
      <c r="BI286" s="319"/>
      <c r="CN286" s="300"/>
      <c r="CO286" s="300"/>
      <c r="CP286" s="300"/>
      <c r="CQ286" s="300"/>
      <c r="CR286" s="300"/>
      <c r="CS286" s="300"/>
      <c r="CT286" s="300"/>
      <c r="CU286" s="300"/>
      <c r="CV286" s="300"/>
      <c r="CW286" s="300"/>
      <c r="CX286" s="300"/>
    </row>
    <row r="287" spans="2:102" ht="48.75" customHeight="1">
      <c r="B287" s="279">
        <v>0.9</v>
      </c>
      <c r="C287" s="279">
        <v>99</v>
      </c>
      <c r="D287" s="279">
        <v>100</v>
      </c>
      <c r="E287" s="279">
        <v>101</v>
      </c>
      <c r="F287" s="279">
        <v>102</v>
      </c>
      <c r="G287" s="279">
        <v>103</v>
      </c>
      <c r="H287" s="279">
        <v>104</v>
      </c>
      <c r="I287" s="279">
        <v>105</v>
      </c>
      <c r="J287" s="279">
        <v>106</v>
      </c>
      <c r="K287" s="279">
        <v>107</v>
      </c>
      <c r="L287" s="279">
        <v>108</v>
      </c>
      <c r="M287" s="286"/>
      <c r="N287" s="279">
        <v>0.9</v>
      </c>
      <c r="O287" s="279">
        <v>152</v>
      </c>
      <c r="P287" s="279">
        <v>155</v>
      </c>
      <c r="Q287" s="279">
        <v>158</v>
      </c>
      <c r="R287" s="279">
        <v>161</v>
      </c>
      <c r="S287" s="279">
        <v>164</v>
      </c>
      <c r="T287" s="279">
        <v>168</v>
      </c>
      <c r="U287" s="279">
        <v>171</v>
      </c>
      <c r="V287" s="279">
        <v>174</v>
      </c>
      <c r="W287" s="279">
        <v>177</v>
      </c>
      <c r="X287" s="279">
        <v>181</v>
      </c>
      <c r="Y287" s="286"/>
      <c r="Z287" s="279">
        <v>0.9</v>
      </c>
      <c r="AA287" s="279">
        <v>286</v>
      </c>
      <c r="AB287" s="279">
        <v>290</v>
      </c>
      <c r="AC287" s="279">
        <v>293</v>
      </c>
      <c r="AD287" s="279">
        <v>297</v>
      </c>
      <c r="AE287" s="279">
        <v>301</v>
      </c>
      <c r="AF287" s="279">
        <v>304</v>
      </c>
      <c r="AG287" s="279">
        <v>308</v>
      </c>
      <c r="AH287" s="279">
        <v>312</v>
      </c>
      <c r="AI287" s="279">
        <v>316</v>
      </c>
      <c r="AJ287" s="279">
        <v>320</v>
      </c>
      <c r="AQ287" s="317"/>
      <c r="AR287" s="317"/>
      <c r="AS287" s="318"/>
      <c r="AT287" s="317"/>
      <c r="AU287" s="317"/>
      <c r="AV287" s="317"/>
      <c r="AW287" s="81"/>
      <c r="AX287" s="317"/>
      <c r="AY287" s="317"/>
      <c r="AZ287" s="56"/>
      <c r="BA287" s="317"/>
      <c r="BB287" s="317"/>
      <c r="BC287" s="317"/>
      <c r="BD287" s="317"/>
      <c r="BE287" s="317"/>
      <c r="BF287" s="317"/>
      <c r="BH287" s="317"/>
      <c r="BI287" s="319"/>
      <c r="CN287" s="300"/>
      <c r="CO287" s="300"/>
      <c r="CP287" s="300"/>
      <c r="CQ287" s="300"/>
      <c r="CR287" s="300"/>
      <c r="CS287" s="300"/>
      <c r="CT287" s="300"/>
      <c r="CU287" s="300"/>
      <c r="CV287" s="300"/>
      <c r="CW287" s="300"/>
      <c r="CX287" s="300"/>
    </row>
    <row r="288" spans="2:102" ht="48.75" customHeight="1">
      <c r="B288" s="279">
        <v>1</v>
      </c>
      <c r="C288" s="279">
        <v>110</v>
      </c>
      <c r="D288" s="279">
        <v>111</v>
      </c>
      <c r="E288" s="279">
        <v>113</v>
      </c>
      <c r="F288" s="279">
        <v>114</v>
      </c>
      <c r="G288" s="279">
        <v>115</v>
      </c>
      <c r="H288" s="279">
        <v>117</v>
      </c>
      <c r="I288" s="279">
        <v>118</v>
      </c>
      <c r="J288" s="279">
        <v>120</v>
      </c>
      <c r="K288" s="279">
        <v>121</v>
      </c>
      <c r="L288" s="279">
        <v>123</v>
      </c>
      <c r="M288" s="286"/>
      <c r="N288" s="279">
        <v>1</v>
      </c>
      <c r="O288" s="279">
        <v>185</v>
      </c>
      <c r="P288" s="279">
        <v>188</v>
      </c>
      <c r="Q288" s="279">
        <v>191</v>
      </c>
      <c r="R288" s="279">
        <v>195</v>
      </c>
      <c r="S288" s="279">
        <v>199</v>
      </c>
      <c r="T288" s="279">
        <v>203</v>
      </c>
      <c r="U288" s="279">
        <v>206</v>
      </c>
      <c r="V288" s="279">
        <v>209</v>
      </c>
      <c r="W288" s="279">
        <v>213</v>
      </c>
      <c r="X288" s="279">
        <v>217</v>
      </c>
      <c r="Y288" s="286"/>
      <c r="Z288" s="279">
        <v>1</v>
      </c>
      <c r="AA288" s="279">
        <v>324</v>
      </c>
      <c r="AB288" s="279">
        <v>329</v>
      </c>
      <c r="AC288" s="279">
        <v>333</v>
      </c>
      <c r="AD288" s="279">
        <v>338</v>
      </c>
      <c r="AE288" s="279">
        <v>342</v>
      </c>
      <c r="AF288" s="279">
        <v>346</v>
      </c>
      <c r="AG288" s="279">
        <v>350</v>
      </c>
      <c r="AH288" s="279">
        <v>355</v>
      </c>
      <c r="AI288" s="279">
        <v>360</v>
      </c>
      <c r="AJ288" s="279">
        <v>365</v>
      </c>
      <c r="AQ288" s="317"/>
      <c r="AR288" s="317"/>
      <c r="AS288" s="318"/>
      <c r="AT288" s="317"/>
      <c r="AU288" s="317"/>
      <c r="AV288" s="317"/>
      <c r="AX288" s="317"/>
      <c r="AY288" s="317"/>
      <c r="AZ288" s="56"/>
      <c r="BA288" s="317"/>
      <c r="BB288" s="317"/>
      <c r="BC288" s="317"/>
      <c r="BD288" s="317"/>
      <c r="BE288" s="317"/>
      <c r="BF288" s="317"/>
      <c r="BH288" s="317"/>
      <c r="BI288" s="319"/>
      <c r="CN288" s="300"/>
      <c r="CO288" s="300"/>
      <c r="CP288" s="300"/>
      <c r="CQ288" s="300"/>
      <c r="CR288" s="300"/>
      <c r="CS288" s="300"/>
      <c r="CT288" s="300"/>
      <c r="CU288" s="300"/>
      <c r="CV288" s="300"/>
      <c r="CW288" s="300"/>
      <c r="CX288" s="300"/>
    </row>
    <row r="289" spans="2:142" ht="48.75" customHeight="1">
      <c r="B289" s="279">
        <v>1.1000000000000001</v>
      </c>
      <c r="C289" s="279">
        <v>125</v>
      </c>
      <c r="D289" s="279">
        <v>126</v>
      </c>
      <c r="E289" s="279">
        <v>127</v>
      </c>
      <c r="F289" s="279">
        <v>128</v>
      </c>
      <c r="G289" s="279">
        <v>129</v>
      </c>
      <c r="H289" s="279">
        <v>132</v>
      </c>
      <c r="I289" s="279">
        <v>133</v>
      </c>
      <c r="J289" s="279">
        <v>134</v>
      </c>
      <c r="K289" s="279">
        <v>136</v>
      </c>
      <c r="L289" s="279">
        <v>138</v>
      </c>
      <c r="M289" s="286"/>
      <c r="N289" s="279">
        <v>1.1000000000000001</v>
      </c>
      <c r="O289" s="279">
        <v>221</v>
      </c>
      <c r="P289" s="279">
        <v>225</v>
      </c>
      <c r="Q289" s="279">
        <v>229</v>
      </c>
      <c r="R289" s="279">
        <v>233</v>
      </c>
      <c r="S289" s="279">
        <v>237</v>
      </c>
      <c r="T289" s="279">
        <v>241</v>
      </c>
      <c r="U289" s="279">
        <v>245</v>
      </c>
      <c r="V289" s="279">
        <v>249</v>
      </c>
      <c r="W289" s="279">
        <v>253</v>
      </c>
      <c r="X289" s="279">
        <v>257</v>
      </c>
      <c r="Y289" s="286"/>
      <c r="Z289" s="279">
        <v>1.1000000000000001</v>
      </c>
      <c r="AA289" s="279">
        <v>370</v>
      </c>
      <c r="AB289" s="279">
        <v>375</v>
      </c>
      <c r="AC289" s="279">
        <v>380</v>
      </c>
      <c r="AD289" s="279">
        <v>385</v>
      </c>
      <c r="AE289" s="279">
        <v>391</v>
      </c>
      <c r="AF289" s="279">
        <v>396</v>
      </c>
      <c r="AG289" s="279">
        <v>401</v>
      </c>
      <c r="AH289" s="279">
        <v>406</v>
      </c>
      <c r="AI289" s="279">
        <v>411</v>
      </c>
      <c r="AJ289" s="279">
        <v>417</v>
      </c>
      <c r="AQ289" s="317"/>
      <c r="AR289" s="317"/>
      <c r="AS289" s="318"/>
      <c r="AT289" s="317"/>
      <c r="AU289" s="317"/>
      <c r="AV289" s="317"/>
      <c r="AX289" s="317"/>
      <c r="AY289" s="317"/>
      <c r="AZ289" s="56"/>
      <c r="BA289" s="317"/>
      <c r="BB289" s="317"/>
      <c r="BC289" s="317"/>
      <c r="BD289" s="317"/>
      <c r="BE289" s="317"/>
      <c r="BF289" s="317"/>
      <c r="BH289" s="317"/>
      <c r="BI289" s="319"/>
      <c r="CN289" s="300"/>
      <c r="CO289" s="300"/>
      <c r="CP289" s="300"/>
      <c r="CQ289" s="300"/>
      <c r="CR289" s="300"/>
      <c r="CS289" s="300"/>
      <c r="CT289" s="300"/>
      <c r="CU289" s="300"/>
      <c r="CV289" s="300"/>
      <c r="CW289" s="300"/>
      <c r="CX289" s="300"/>
    </row>
    <row r="290" spans="2:142" ht="48.75" customHeight="1">
      <c r="B290" s="279">
        <v>1.2</v>
      </c>
      <c r="C290" s="279">
        <v>141</v>
      </c>
      <c r="D290" s="279">
        <v>146</v>
      </c>
      <c r="E290" s="279">
        <v>152</v>
      </c>
      <c r="F290" s="279">
        <v>158</v>
      </c>
      <c r="G290" s="279">
        <v>164</v>
      </c>
      <c r="H290" s="279">
        <v>170</v>
      </c>
      <c r="I290" s="279">
        <v>176</v>
      </c>
      <c r="J290" s="279">
        <v>182</v>
      </c>
      <c r="K290" s="279">
        <v>188</v>
      </c>
      <c r="L290" s="279">
        <v>194</v>
      </c>
      <c r="M290" s="286"/>
      <c r="N290" s="279">
        <v>1.2</v>
      </c>
      <c r="O290" s="279">
        <v>262</v>
      </c>
      <c r="P290" s="279">
        <v>267</v>
      </c>
      <c r="Q290" s="279">
        <v>272</v>
      </c>
      <c r="R290" s="279">
        <v>277</v>
      </c>
      <c r="S290" s="279">
        <v>283</v>
      </c>
      <c r="T290" s="279">
        <v>289</v>
      </c>
      <c r="U290" s="279">
        <v>295</v>
      </c>
      <c r="V290" s="279">
        <v>301</v>
      </c>
      <c r="W290" s="279">
        <v>307</v>
      </c>
      <c r="X290" s="279">
        <v>313</v>
      </c>
      <c r="Y290" s="286"/>
      <c r="Z290" s="279">
        <v>1.2</v>
      </c>
      <c r="AA290" s="279">
        <v>424</v>
      </c>
      <c r="AB290" s="279">
        <v>430</v>
      </c>
      <c r="AC290" s="279">
        <v>436</v>
      </c>
      <c r="AD290" s="279">
        <v>442</v>
      </c>
      <c r="AE290" s="279">
        <v>448</v>
      </c>
      <c r="AF290" s="279">
        <v>455</v>
      </c>
      <c r="AG290" s="279">
        <v>461</v>
      </c>
      <c r="AH290" s="279">
        <v>467</v>
      </c>
      <c r="AI290" s="279">
        <v>473</v>
      </c>
      <c r="AJ290" s="279">
        <v>479</v>
      </c>
      <c r="AQ290" s="317"/>
      <c r="AR290" s="317"/>
      <c r="AS290" s="318"/>
      <c r="AT290" s="317"/>
      <c r="AU290" s="317"/>
      <c r="AV290" s="317"/>
      <c r="AX290" s="317"/>
      <c r="AY290" s="317"/>
      <c r="AZ290" s="56"/>
      <c r="BA290" s="317"/>
      <c r="BB290" s="317"/>
      <c r="BC290" s="317"/>
      <c r="BD290" s="317"/>
      <c r="BE290" s="317"/>
      <c r="BF290" s="317"/>
      <c r="BH290" s="317"/>
      <c r="BI290" s="319"/>
      <c r="CN290" s="300"/>
      <c r="CO290" s="300"/>
      <c r="CP290" s="300"/>
      <c r="CQ290" s="300"/>
      <c r="CR290" s="300"/>
      <c r="CS290" s="300"/>
      <c r="CT290" s="300"/>
      <c r="CU290" s="300"/>
      <c r="CV290" s="300"/>
      <c r="CW290" s="300"/>
      <c r="CX290" s="300"/>
    </row>
    <row r="291" spans="2:142" ht="48.75" customHeight="1">
      <c r="B291" s="279">
        <v>1.3</v>
      </c>
      <c r="C291" s="279">
        <v>200</v>
      </c>
      <c r="D291" s="279">
        <v>210</v>
      </c>
      <c r="E291" s="279">
        <v>220</v>
      </c>
      <c r="F291" s="279">
        <v>230</v>
      </c>
      <c r="G291" s="279">
        <v>240</v>
      </c>
      <c r="H291" s="279">
        <v>250</v>
      </c>
      <c r="I291" s="279">
        <v>260</v>
      </c>
      <c r="J291" s="279">
        <v>270</v>
      </c>
      <c r="K291" s="279">
        <v>280</v>
      </c>
      <c r="L291" s="279">
        <v>290</v>
      </c>
      <c r="M291" s="286"/>
      <c r="N291" s="279">
        <v>1.3</v>
      </c>
      <c r="O291" s="279">
        <v>320</v>
      </c>
      <c r="P291" s="279">
        <v>327</v>
      </c>
      <c r="Q291" s="279">
        <v>334</v>
      </c>
      <c r="R291" s="279">
        <v>341</v>
      </c>
      <c r="S291" s="279">
        <v>349</v>
      </c>
      <c r="T291" s="279">
        <v>357</v>
      </c>
      <c r="U291" s="279">
        <v>365</v>
      </c>
      <c r="V291" s="279">
        <v>373</v>
      </c>
      <c r="W291" s="279">
        <v>382</v>
      </c>
      <c r="X291" s="279">
        <v>391</v>
      </c>
      <c r="Y291" s="286"/>
      <c r="Z291" s="279">
        <v>1.3</v>
      </c>
      <c r="AA291" s="279">
        <v>486</v>
      </c>
      <c r="AB291" s="279">
        <v>495</v>
      </c>
      <c r="AC291" s="279">
        <v>504</v>
      </c>
      <c r="AD291" s="279">
        <v>514</v>
      </c>
      <c r="AE291" s="279">
        <v>524</v>
      </c>
      <c r="AF291" s="279">
        <v>533</v>
      </c>
      <c r="AG291" s="279">
        <v>563</v>
      </c>
      <c r="AH291" s="279">
        <v>574</v>
      </c>
      <c r="AI291" s="279">
        <v>584</v>
      </c>
      <c r="AJ291" s="279">
        <v>585</v>
      </c>
      <c r="AQ291" s="317"/>
      <c r="AR291" s="317"/>
      <c r="AS291" s="318"/>
      <c r="AT291" s="317"/>
      <c r="AU291" s="317"/>
      <c r="AV291" s="317"/>
      <c r="AX291" s="317"/>
      <c r="AY291" s="317"/>
      <c r="AZ291" s="56"/>
      <c r="BA291" s="317"/>
      <c r="BB291" s="317"/>
      <c r="BC291" s="317"/>
      <c r="BD291" s="317"/>
      <c r="BE291" s="317"/>
      <c r="BF291" s="317"/>
      <c r="BH291" s="317"/>
      <c r="BI291" s="319"/>
      <c r="CP291" s="300"/>
      <c r="CQ291" s="300"/>
      <c r="CR291" s="300"/>
      <c r="CS291" s="300"/>
      <c r="CT291" s="300"/>
      <c r="CU291" s="300"/>
      <c r="CV291" s="300"/>
      <c r="CW291" s="300"/>
      <c r="CX291" s="300"/>
    </row>
    <row r="292" spans="2:142" ht="48.75" customHeight="1">
      <c r="B292" s="279">
        <v>1.4</v>
      </c>
      <c r="C292" s="279">
        <v>300</v>
      </c>
      <c r="D292" s="279">
        <v>320</v>
      </c>
      <c r="E292" s="279">
        <v>350</v>
      </c>
      <c r="F292" s="279">
        <v>380</v>
      </c>
      <c r="G292" s="279">
        <v>410</v>
      </c>
      <c r="H292" s="279">
        <v>430</v>
      </c>
      <c r="I292" s="279">
        <v>460</v>
      </c>
      <c r="J292" s="279">
        <v>500</v>
      </c>
      <c r="K292" s="279">
        <v>540</v>
      </c>
      <c r="L292" s="279">
        <v>580</v>
      </c>
      <c r="M292" s="286"/>
      <c r="N292" s="279">
        <v>1.4</v>
      </c>
      <c r="O292" s="279">
        <v>400</v>
      </c>
      <c r="P292" s="279">
        <v>410</v>
      </c>
      <c r="Q292" s="279">
        <v>420</v>
      </c>
      <c r="R292" s="279">
        <v>430</v>
      </c>
      <c r="S292" s="279">
        <v>440</v>
      </c>
      <c r="T292" s="279">
        <v>450</v>
      </c>
      <c r="U292" s="279">
        <v>464</v>
      </c>
      <c r="V292" s="279">
        <v>478</v>
      </c>
      <c r="W292" s="279">
        <v>492</v>
      </c>
      <c r="X292" s="279">
        <v>506</v>
      </c>
      <c r="Y292" s="286"/>
      <c r="Z292" s="279">
        <v>1.4</v>
      </c>
      <c r="AA292" s="279">
        <v>586</v>
      </c>
      <c r="AB292" s="279">
        <v>598</v>
      </c>
      <c r="AC292" s="279">
        <v>610</v>
      </c>
      <c r="AD292" s="279">
        <v>622</v>
      </c>
      <c r="AE292" s="279">
        <v>634</v>
      </c>
      <c r="AF292" s="279">
        <v>646</v>
      </c>
      <c r="AG292" s="279">
        <v>658</v>
      </c>
      <c r="AH292" s="279">
        <v>670</v>
      </c>
      <c r="AI292" s="279">
        <v>683</v>
      </c>
      <c r="AJ292" s="279">
        <v>696</v>
      </c>
      <c r="AQ292" s="317"/>
      <c r="AR292" s="317"/>
      <c r="AS292" s="318"/>
      <c r="AT292" s="317"/>
      <c r="AU292" s="317"/>
      <c r="AV292" s="317"/>
      <c r="AW292" s="81"/>
      <c r="AX292" s="317"/>
      <c r="AY292" s="317"/>
      <c r="AZ292" s="56"/>
      <c r="BA292" s="317"/>
      <c r="BB292" s="317"/>
      <c r="BC292" s="317"/>
      <c r="BD292" s="317"/>
      <c r="BE292" s="317"/>
      <c r="BF292" s="317"/>
      <c r="BH292" s="317"/>
      <c r="BI292" s="319"/>
      <c r="CV292" s="300"/>
      <c r="CW292" s="300"/>
      <c r="CX292" s="300"/>
    </row>
    <row r="293" spans="2:142" ht="48.75" customHeight="1" thickBot="1">
      <c r="B293" s="279">
        <v>1.5</v>
      </c>
      <c r="C293" s="279">
        <v>620</v>
      </c>
      <c r="D293" s="279">
        <v>670</v>
      </c>
      <c r="E293" s="279">
        <v>780</v>
      </c>
      <c r="F293" s="279">
        <v>890</v>
      </c>
      <c r="G293" s="279">
        <v>1000</v>
      </c>
      <c r="H293" s="279">
        <v>1130</v>
      </c>
      <c r="I293" s="279">
        <v>1240</v>
      </c>
      <c r="J293" s="279">
        <v>1350</v>
      </c>
      <c r="K293" s="279">
        <v>1460</v>
      </c>
      <c r="L293" s="279">
        <v>1580</v>
      </c>
      <c r="M293" s="286"/>
      <c r="N293" s="279">
        <v>1.5</v>
      </c>
      <c r="O293" s="279">
        <v>520</v>
      </c>
      <c r="P293" s="279">
        <v>542</v>
      </c>
      <c r="Q293" s="279">
        <v>564</v>
      </c>
      <c r="R293" s="279">
        <v>586</v>
      </c>
      <c r="S293" s="279">
        <v>608</v>
      </c>
      <c r="T293" s="279">
        <v>630</v>
      </c>
      <c r="U293" s="279">
        <v>654</v>
      </c>
      <c r="V293" s="279">
        <v>678</v>
      </c>
      <c r="W293" s="279">
        <v>702</v>
      </c>
      <c r="X293" s="279">
        <v>726</v>
      </c>
      <c r="Y293" s="286"/>
      <c r="Z293" s="279">
        <v>1.5</v>
      </c>
      <c r="AA293" s="279">
        <v>709</v>
      </c>
      <c r="AB293" s="279">
        <v>722</v>
      </c>
      <c r="AC293" s="279">
        <v>735</v>
      </c>
      <c r="AD293" s="279">
        <v>749</v>
      </c>
      <c r="AE293" s="279">
        <v>763</v>
      </c>
      <c r="AF293" s="279">
        <v>777</v>
      </c>
      <c r="AG293" s="279">
        <v>791</v>
      </c>
      <c r="AH293" s="279">
        <v>805</v>
      </c>
      <c r="AI293" s="279">
        <v>820</v>
      </c>
      <c r="AJ293" s="279">
        <v>835</v>
      </c>
      <c r="AQ293" s="317"/>
      <c r="AR293" s="317"/>
      <c r="AS293" s="318"/>
      <c r="AT293" s="317"/>
      <c r="AU293" s="317"/>
      <c r="AV293" s="317"/>
      <c r="AW293" s="81"/>
      <c r="AX293" s="317"/>
      <c r="AY293" s="317"/>
      <c r="AZ293" s="56"/>
      <c r="BA293" s="317"/>
      <c r="BB293" s="317"/>
      <c r="BI293" s="11"/>
      <c r="CV293" s="300"/>
      <c r="CW293" s="300"/>
      <c r="CX293" s="300"/>
    </row>
    <row r="294" spans="2:142" ht="48.75" customHeight="1">
      <c r="B294" s="279">
        <v>1.6</v>
      </c>
      <c r="C294" s="279">
        <v>1700</v>
      </c>
      <c r="D294" s="279">
        <v>1860</v>
      </c>
      <c r="E294" s="279">
        <v>2020</v>
      </c>
      <c r="F294" s="279">
        <v>2180</v>
      </c>
      <c r="G294" s="279">
        <v>2340</v>
      </c>
      <c r="H294" s="279">
        <v>2500</v>
      </c>
      <c r="I294" s="279">
        <v>2700</v>
      </c>
      <c r="J294" s="279">
        <v>2800</v>
      </c>
      <c r="K294" s="279">
        <v>3000</v>
      </c>
      <c r="L294" s="279">
        <v>3200</v>
      </c>
      <c r="M294" s="286"/>
      <c r="N294" s="279">
        <v>1.6</v>
      </c>
      <c r="O294" s="279">
        <v>750</v>
      </c>
      <c r="P294" s="279">
        <v>788</v>
      </c>
      <c r="Q294" s="279">
        <v>826</v>
      </c>
      <c r="R294" s="279">
        <v>864</v>
      </c>
      <c r="S294" s="279">
        <v>902</v>
      </c>
      <c r="T294" s="279">
        <v>940</v>
      </c>
      <c r="U294" s="279">
        <v>982</v>
      </c>
      <c r="V294" s="279">
        <v>1020</v>
      </c>
      <c r="W294" s="279">
        <v>1070</v>
      </c>
      <c r="X294" s="279">
        <v>1110</v>
      </c>
      <c r="Y294" s="286"/>
      <c r="Z294" s="279">
        <v>1.6</v>
      </c>
      <c r="AA294" s="279">
        <v>850</v>
      </c>
      <c r="AB294" s="279">
        <v>878</v>
      </c>
      <c r="AC294" s="279">
        <v>906</v>
      </c>
      <c r="AD294" s="279">
        <v>934</v>
      </c>
      <c r="AE294" s="279">
        <v>962</v>
      </c>
      <c r="AF294" s="279">
        <v>990</v>
      </c>
      <c r="AG294" s="279">
        <v>1020</v>
      </c>
      <c r="AH294" s="279">
        <v>1050</v>
      </c>
      <c r="AI294" s="279">
        <v>1080</v>
      </c>
      <c r="AJ294" s="279">
        <v>1110</v>
      </c>
      <c r="AQ294" s="317"/>
      <c r="AR294" s="317"/>
      <c r="AS294" s="318"/>
      <c r="AT294" s="317"/>
      <c r="AU294" s="317"/>
      <c r="AV294" s="317"/>
      <c r="AW294" s="81"/>
      <c r="AX294" s="317"/>
      <c r="AY294" s="317"/>
      <c r="AZ294" s="56"/>
      <c r="BA294" s="317"/>
      <c r="BB294" s="317"/>
      <c r="BI294" s="11"/>
      <c r="CE294" s="323"/>
      <c r="CF294" s="324"/>
      <c r="CG294" s="324"/>
      <c r="CH294" s="324"/>
      <c r="CI294" s="324"/>
      <c r="CJ294" s="324"/>
      <c r="CK294" s="324"/>
      <c r="CL294" s="324"/>
      <c r="CM294" s="324"/>
      <c r="CN294" s="324"/>
      <c r="CO294" s="324"/>
      <c r="CP294" s="324"/>
      <c r="CQ294" s="324"/>
      <c r="CR294" s="324"/>
      <c r="CS294" s="324"/>
      <c r="CT294" s="324"/>
      <c r="CU294" s="324"/>
      <c r="CV294" s="325"/>
      <c r="CW294" s="325"/>
      <c r="CX294" s="325"/>
      <c r="CY294" s="324"/>
      <c r="CZ294" s="324"/>
      <c r="DA294" s="324"/>
      <c r="DB294" s="324"/>
      <c r="DC294" s="324"/>
      <c r="DD294" s="324"/>
      <c r="DE294" s="324"/>
      <c r="DF294" s="324"/>
      <c r="DG294" s="324"/>
      <c r="DH294" s="324"/>
      <c r="DI294" s="324"/>
      <c r="DJ294" s="324"/>
      <c r="DK294" s="324"/>
      <c r="DL294" s="324"/>
      <c r="DM294" s="324"/>
      <c r="DN294" s="326"/>
    </row>
    <row r="295" spans="2:142" ht="48.75" customHeight="1">
      <c r="B295" s="279">
        <v>1.7</v>
      </c>
      <c r="C295" s="279">
        <v>3400</v>
      </c>
      <c r="D295" s="279">
        <v>3700</v>
      </c>
      <c r="E295" s="279">
        <v>4000</v>
      </c>
      <c r="F295" s="279">
        <v>4300</v>
      </c>
      <c r="G295" s="279">
        <v>4700</v>
      </c>
      <c r="H295" s="279">
        <v>5000</v>
      </c>
      <c r="I295" s="279">
        <v>5400</v>
      </c>
      <c r="J295" s="279">
        <v>5800</v>
      </c>
      <c r="K295" s="279">
        <v>6200</v>
      </c>
      <c r="L295" s="279">
        <v>6600</v>
      </c>
      <c r="M295" s="286"/>
      <c r="N295" s="279">
        <v>1.7</v>
      </c>
      <c r="O295" s="279">
        <v>1150</v>
      </c>
      <c r="P295" s="279">
        <v>1220</v>
      </c>
      <c r="Q295" s="279">
        <v>1290</v>
      </c>
      <c r="R295" s="279">
        <v>1360</v>
      </c>
      <c r="S295" s="279">
        <v>1430</v>
      </c>
      <c r="T295" s="279">
        <v>1500</v>
      </c>
      <c r="U295" s="279">
        <v>1600</v>
      </c>
      <c r="V295" s="279">
        <v>1700</v>
      </c>
      <c r="W295" s="279">
        <v>1800</v>
      </c>
      <c r="X295" s="279">
        <v>1900</v>
      </c>
      <c r="Y295" s="286"/>
      <c r="Z295" s="279">
        <v>1.7</v>
      </c>
      <c r="AA295" s="279">
        <v>1150</v>
      </c>
      <c r="AB295" s="279">
        <v>1180</v>
      </c>
      <c r="AC295" s="279">
        <v>1220</v>
      </c>
      <c r="AD295" s="279">
        <v>1250</v>
      </c>
      <c r="AE295" s="279">
        <v>1290</v>
      </c>
      <c r="AF295" s="279">
        <v>1330</v>
      </c>
      <c r="AG295" s="279">
        <v>1360</v>
      </c>
      <c r="AH295" s="279">
        <v>1400</v>
      </c>
      <c r="AI295" s="279">
        <v>1440</v>
      </c>
      <c r="AJ295" s="279">
        <v>1480</v>
      </c>
      <c r="AQ295" s="317"/>
      <c r="AR295" s="317"/>
      <c r="AS295" s="318"/>
      <c r="AT295" s="317"/>
      <c r="AU295" s="317"/>
      <c r="AV295" s="317"/>
      <c r="AW295" s="81"/>
      <c r="AX295" s="317"/>
      <c r="AY295" s="317"/>
      <c r="AZ295" s="56"/>
      <c r="BA295" s="317"/>
      <c r="BB295" s="317"/>
      <c r="BI295" s="11"/>
      <c r="CE295" s="327"/>
      <c r="CF295" s="12"/>
      <c r="CG295" s="12"/>
      <c r="CH295" s="12"/>
      <c r="CI295" s="12"/>
      <c r="CJ295" s="12"/>
      <c r="CK295" s="12"/>
      <c r="CL295" s="12"/>
      <c r="CM295" s="12"/>
      <c r="CN295" s="12"/>
      <c r="CO295" s="12"/>
      <c r="CP295" s="12"/>
      <c r="CQ295" s="12"/>
      <c r="CR295" s="12"/>
      <c r="CS295" s="12"/>
      <c r="CT295" s="12"/>
      <c r="CU295" s="12"/>
      <c r="CV295" s="328"/>
      <c r="CW295" s="328"/>
      <c r="CX295" s="328"/>
      <c r="CY295" s="12"/>
      <c r="CZ295" s="12"/>
      <c r="DA295" s="12"/>
      <c r="DB295" s="12"/>
      <c r="DC295" s="12"/>
      <c r="DD295" s="12"/>
      <c r="DE295" s="12"/>
      <c r="DF295" s="12"/>
      <c r="DG295" s="12"/>
      <c r="DH295" s="12"/>
      <c r="DI295" s="12"/>
      <c r="DJ295" s="12"/>
      <c r="DK295" s="12"/>
      <c r="DL295" s="12"/>
      <c r="DM295" s="12"/>
      <c r="DN295" s="208"/>
    </row>
    <row r="296" spans="2:142" ht="48.75" customHeight="1">
      <c r="B296" s="279">
        <v>1.8</v>
      </c>
      <c r="C296" s="279">
        <v>7000</v>
      </c>
      <c r="D296" s="279">
        <v>7500</v>
      </c>
      <c r="E296" s="279">
        <v>8000</v>
      </c>
      <c r="F296" s="279">
        <v>8500</v>
      </c>
      <c r="G296" s="279">
        <v>9200</v>
      </c>
      <c r="H296" s="279">
        <v>10000</v>
      </c>
      <c r="I296" s="279">
        <v>10600</v>
      </c>
      <c r="J296" s="279">
        <v>11200</v>
      </c>
      <c r="K296" s="279">
        <v>11800</v>
      </c>
      <c r="L296" s="279">
        <v>12400</v>
      </c>
      <c r="M296" s="286"/>
      <c r="N296" s="279">
        <v>1.8</v>
      </c>
      <c r="O296" s="279">
        <v>2000</v>
      </c>
      <c r="P296" s="279">
        <v>2160</v>
      </c>
      <c r="Q296" s="279">
        <v>2320</v>
      </c>
      <c r="R296" s="279">
        <v>2490</v>
      </c>
      <c r="S296" s="279">
        <v>2650</v>
      </c>
      <c r="T296" s="279">
        <v>2810</v>
      </c>
      <c r="U296" s="279">
        <v>2960</v>
      </c>
      <c r="V296" s="279">
        <v>3110</v>
      </c>
      <c r="W296" s="279">
        <v>3270</v>
      </c>
      <c r="X296" s="279">
        <v>3420</v>
      </c>
      <c r="Y296" s="286"/>
      <c r="Z296" s="279">
        <v>1.8</v>
      </c>
      <c r="AA296" s="279">
        <v>1520</v>
      </c>
      <c r="AB296" s="279">
        <v>1570</v>
      </c>
      <c r="AC296" s="279">
        <v>1620</v>
      </c>
      <c r="AD296" s="279">
        <v>1670</v>
      </c>
      <c r="AE296" s="279">
        <v>1720</v>
      </c>
      <c r="AF296" s="279">
        <v>1770</v>
      </c>
      <c r="AG296" s="279">
        <v>1830</v>
      </c>
      <c r="AH296" s="279">
        <v>1890</v>
      </c>
      <c r="AI296" s="279">
        <v>1950</v>
      </c>
      <c r="AJ296" s="279">
        <v>2010</v>
      </c>
      <c r="AN296" s="329"/>
      <c r="AO296" s="329"/>
      <c r="AP296" s="329"/>
      <c r="AQ296" s="329"/>
      <c r="AR296" s="317"/>
      <c r="AS296" s="318"/>
      <c r="AT296" s="317"/>
      <c r="AU296" s="317"/>
      <c r="AV296" s="317"/>
      <c r="AW296" s="317"/>
      <c r="AX296" s="317"/>
      <c r="AY296" s="317"/>
      <c r="AZ296" s="317"/>
      <c r="BA296" s="317"/>
      <c r="BB296" s="317"/>
      <c r="BE296" s="317"/>
      <c r="BF296" s="317"/>
      <c r="BG296" s="317"/>
      <c r="BI296" s="319"/>
      <c r="CE296" s="327"/>
      <c r="CF296" s="12"/>
      <c r="CG296" s="12"/>
      <c r="CH296" s="12"/>
      <c r="CI296" s="280"/>
      <c r="CJ296" s="16"/>
      <c r="CK296" s="12"/>
      <c r="CL296" s="1766"/>
      <c r="CM296" s="1766"/>
      <c r="CN296" s="1766"/>
      <c r="CO296" s="1766"/>
      <c r="CP296" s="12"/>
      <c r="CQ296" s="12"/>
      <c r="CR296" s="12"/>
      <c r="CS296" s="12"/>
      <c r="CT296" s="12"/>
      <c r="CU296" s="280"/>
      <c r="CV296" s="16"/>
      <c r="CW296" s="12"/>
      <c r="CX296" s="1777"/>
      <c r="CY296" s="1778"/>
      <c r="CZ296" s="1778"/>
      <c r="DA296" s="1779"/>
      <c r="DB296" s="12"/>
      <c r="DC296" s="12"/>
      <c r="DD296" s="12"/>
      <c r="DE296" s="12"/>
      <c r="DF296" s="12"/>
      <c r="DG296" s="209"/>
      <c r="DH296" s="12"/>
      <c r="DI296" s="12"/>
      <c r="DJ296" s="1766"/>
      <c r="DK296" s="1766"/>
      <c r="DL296" s="1766"/>
      <c r="DM296" s="1766"/>
      <c r="DN296" s="208"/>
    </row>
    <row r="297" spans="2:142" ht="48.75" customHeight="1">
      <c r="B297" s="279">
        <v>1.9</v>
      </c>
      <c r="C297" s="279">
        <v>13000</v>
      </c>
      <c r="D297" s="279">
        <v>13600</v>
      </c>
      <c r="E297" s="279">
        <v>14200</v>
      </c>
      <c r="F297" s="279">
        <v>14800</v>
      </c>
      <c r="G297" s="279">
        <v>15600</v>
      </c>
      <c r="H297" s="279">
        <v>16500</v>
      </c>
      <c r="I297" s="279">
        <v>17300</v>
      </c>
      <c r="J297" s="279">
        <v>18100</v>
      </c>
      <c r="K297" s="279">
        <v>18900</v>
      </c>
      <c r="L297" s="279">
        <v>19800</v>
      </c>
      <c r="M297" s="286"/>
      <c r="N297" s="279">
        <v>1.9</v>
      </c>
      <c r="O297" s="279">
        <v>3570</v>
      </c>
      <c r="P297" s="279">
        <v>3800</v>
      </c>
      <c r="Q297" s="279">
        <v>4030</v>
      </c>
      <c r="R297" s="279">
        <v>4260</v>
      </c>
      <c r="S297" s="279">
        <v>4490</v>
      </c>
      <c r="T297" s="279">
        <v>4720</v>
      </c>
      <c r="U297" s="279">
        <v>4930</v>
      </c>
      <c r="V297" s="279">
        <v>5140</v>
      </c>
      <c r="W297" s="279">
        <v>5350</v>
      </c>
      <c r="X297" s="279">
        <v>5560</v>
      </c>
      <c r="Y297" s="286"/>
      <c r="Z297" s="279">
        <v>1.9</v>
      </c>
      <c r="AA297" s="279">
        <v>2070</v>
      </c>
      <c r="AB297" s="279">
        <v>2160</v>
      </c>
      <c r="AC297" s="279">
        <v>2250</v>
      </c>
      <c r="AD297" s="279">
        <v>2340</v>
      </c>
      <c r="AE297" s="279">
        <v>2430</v>
      </c>
      <c r="AF297" s="279">
        <v>2520</v>
      </c>
      <c r="AG297" s="279">
        <v>2640</v>
      </c>
      <c r="AH297" s="279">
        <v>2760</v>
      </c>
      <c r="AI297" s="279">
        <v>2890</v>
      </c>
      <c r="AJ297" s="279">
        <v>3020</v>
      </c>
      <c r="AQ297" s="317"/>
      <c r="AR297" s="317"/>
      <c r="AS297" s="317"/>
      <c r="AT297" s="317"/>
      <c r="AU297" s="317"/>
      <c r="AV297" s="317"/>
      <c r="AW297" s="317"/>
      <c r="AX297" s="317"/>
      <c r="AY297" s="317"/>
      <c r="AZ297" s="317"/>
      <c r="BA297" s="317"/>
      <c r="BB297" s="317"/>
      <c r="BC297" s="317"/>
      <c r="BD297" s="317"/>
      <c r="BE297" s="317"/>
      <c r="BG297" s="317"/>
      <c r="CE297" s="327"/>
      <c r="CF297" s="1765" t="s">
        <v>35</v>
      </c>
      <c r="CG297" s="1765"/>
      <c r="CH297" s="1765"/>
      <c r="CI297" s="283" t="s">
        <v>126</v>
      </c>
      <c r="CJ297" s="201" t="s">
        <v>731</v>
      </c>
      <c r="CK297" s="12"/>
      <c r="CL297" s="1766"/>
      <c r="CM297" s="1766"/>
      <c r="CN297" s="1766"/>
      <c r="CO297" s="1766"/>
      <c r="CP297" s="12"/>
      <c r="CQ297" s="12"/>
      <c r="CR297" s="1765" t="s">
        <v>868</v>
      </c>
      <c r="CS297" s="1765"/>
      <c r="CT297" s="1765"/>
      <c r="CU297" s="283" t="s">
        <v>126</v>
      </c>
      <c r="CV297" s="201" t="s">
        <v>731</v>
      </c>
      <c r="CW297" s="12"/>
      <c r="CX297" s="1780"/>
      <c r="CY297" s="1781"/>
      <c r="CZ297" s="1781"/>
      <c r="DA297" s="1782"/>
      <c r="DB297" s="12"/>
      <c r="DC297" s="12"/>
      <c r="DD297" s="1765" t="s">
        <v>5</v>
      </c>
      <c r="DE297" s="1765"/>
      <c r="DF297" s="1765"/>
      <c r="DG297" s="283" t="s">
        <v>126</v>
      </c>
      <c r="DH297" s="201" t="s">
        <v>731</v>
      </c>
      <c r="DI297" s="12"/>
      <c r="DJ297" s="1766"/>
      <c r="DK297" s="1766"/>
      <c r="DL297" s="1766"/>
      <c r="DM297" s="1766"/>
      <c r="DN297" s="208"/>
    </row>
    <row r="298" spans="2:142" ht="48.75" customHeight="1">
      <c r="B298" s="279">
        <v>2</v>
      </c>
      <c r="C298" s="279">
        <v>20700</v>
      </c>
      <c r="D298" s="279">
        <v>22600</v>
      </c>
      <c r="E298" s="279">
        <v>24400</v>
      </c>
      <c r="F298" s="279">
        <v>26300</v>
      </c>
      <c r="G298" s="279">
        <v>28100</v>
      </c>
      <c r="H298" s="279">
        <v>30000</v>
      </c>
      <c r="I298" s="279">
        <v>36000</v>
      </c>
      <c r="J298" s="279">
        <v>42000</v>
      </c>
      <c r="K298" s="279">
        <v>48000</v>
      </c>
      <c r="L298" s="279">
        <v>54000</v>
      </c>
      <c r="M298" s="286"/>
      <c r="N298" s="279">
        <v>2</v>
      </c>
      <c r="O298" s="279">
        <v>5770</v>
      </c>
      <c r="P298" s="279">
        <v>6000</v>
      </c>
      <c r="Q298" s="279">
        <v>6300</v>
      </c>
      <c r="R298" s="279">
        <v>6600</v>
      </c>
      <c r="S298" s="279">
        <v>7000</v>
      </c>
      <c r="T298" s="279">
        <v>7400</v>
      </c>
      <c r="U298" s="279">
        <v>7900</v>
      </c>
      <c r="V298" s="279">
        <v>8400</v>
      </c>
      <c r="W298" s="279">
        <v>9000</v>
      </c>
      <c r="X298" s="279">
        <v>9700</v>
      </c>
      <c r="Y298" s="286"/>
      <c r="Z298" s="279">
        <v>2</v>
      </c>
      <c r="AA298" s="279">
        <v>3150</v>
      </c>
      <c r="AB298" s="279">
        <v>3320</v>
      </c>
      <c r="AC298" s="279">
        <v>3500</v>
      </c>
      <c r="AD298" s="279">
        <v>3680</v>
      </c>
      <c r="AE298" s="279">
        <v>3860</v>
      </c>
      <c r="AF298" s="279">
        <v>4040</v>
      </c>
      <c r="AG298" s="279">
        <v>4260</v>
      </c>
      <c r="AH298" s="279">
        <v>4480</v>
      </c>
      <c r="AI298" s="279">
        <v>4700</v>
      </c>
      <c r="AJ298" s="279">
        <v>4920</v>
      </c>
      <c r="AQ298" s="317"/>
      <c r="AR298" s="317"/>
      <c r="AS298" s="317"/>
      <c r="AT298" s="317"/>
      <c r="AU298" s="317"/>
      <c r="AV298" s="317"/>
      <c r="AW298" s="317"/>
      <c r="AX298" s="317"/>
      <c r="AY298" s="317"/>
      <c r="AZ298" s="317"/>
      <c r="BF298" s="300"/>
      <c r="BG298" s="300"/>
      <c r="BH298" s="300"/>
      <c r="BI298" s="300"/>
      <c r="BJ298" s="300"/>
      <c r="BK298" s="300"/>
      <c r="BL298" s="300"/>
      <c r="BM298" s="300"/>
      <c r="BN298" s="300"/>
      <c r="BO298" s="300"/>
      <c r="BP298" s="300"/>
      <c r="BX298" s="300"/>
      <c r="BY298" s="300"/>
      <c r="BZ298" s="300"/>
      <c r="CA298" s="300"/>
      <c r="CB298" s="300"/>
      <c r="CC298" s="300"/>
      <c r="CE298" s="327"/>
      <c r="CF298" s="352" t="s">
        <v>1237</v>
      </c>
      <c r="CG298" s="1748" t="s">
        <v>1238</v>
      </c>
      <c r="CH298" s="1749"/>
      <c r="CI298" s="278"/>
      <c r="CJ298" s="275" t="s">
        <v>50</v>
      </c>
      <c r="CK298" s="12"/>
      <c r="CL298" s="1766"/>
      <c r="CM298" s="1766"/>
      <c r="CN298" s="1766"/>
      <c r="CO298" s="1766"/>
      <c r="CP298" s="12"/>
      <c r="CQ298" s="12"/>
      <c r="CR298" s="352" t="s">
        <v>1237</v>
      </c>
      <c r="CS298" s="1033" t="s">
        <v>104</v>
      </c>
      <c r="CT298" s="1033"/>
      <c r="CU298" s="278"/>
      <c r="CV298" s="275"/>
      <c r="CW298" s="12"/>
      <c r="CX298" s="1780"/>
      <c r="CY298" s="1781"/>
      <c r="CZ298" s="1781"/>
      <c r="DA298" s="1782"/>
      <c r="DB298" s="12"/>
      <c r="DC298" s="12"/>
      <c r="DD298" s="352" t="s">
        <v>1237</v>
      </c>
      <c r="DE298" s="1405" t="s">
        <v>104</v>
      </c>
      <c r="DF298" s="1407"/>
      <c r="DG298" s="10"/>
      <c r="DH298" s="10"/>
      <c r="DI298" s="12"/>
      <c r="DJ298" s="1766"/>
      <c r="DK298" s="1766"/>
      <c r="DL298" s="1766"/>
      <c r="DM298" s="1766"/>
      <c r="DN298" s="208"/>
    </row>
    <row r="299" spans="2:142" ht="48.75" customHeight="1">
      <c r="B299" s="279">
        <v>2.1</v>
      </c>
      <c r="C299" s="279">
        <v>60000</v>
      </c>
      <c r="D299" s="279">
        <v>67000</v>
      </c>
      <c r="E299" s="279">
        <v>74000</v>
      </c>
      <c r="F299" s="279">
        <v>81000</v>
      </c>
      <c r="G299" s="279">
        <v>88000</v>
      </c>
      <c r="H299" s="279">
        <v>95000</v>
      </c>
      <c r="I299" s="279">
        <v>102000</v>
      </c>
      <c r="J299" s="279">
        <v>109000</v>
      </c>
      <c r="K299" s="279">
        <v>116000</v>
      </c>
      <c r="L299" s="279">
        <v>123000</v>
      </c>
      <c r="M299" s="286"/>
      <c r="N299" s="587" t="s">
        <v>1756</v>
      </c>
      <c r="O299" s="739">
        <f>'Вывод расчетов'!$JF$77</f>
        <v>0.9805684428191489</v>
      </c>
      <c r="P299" s="739"/>
      <c r="Q299" s="92"/>
      <c r="R299" s="92"/>
      <c r="S299" s="92"/>
      <c r="T299" s="92"/>
      <c r="U299" s="92"/>
      <c r="V299" s="92"/>
      <c r="W299" s="92"/>
      <c r="X299" s="93"/>
      <c r="Y299" s="286"/>
      <c r="Z299" s="279">
        <v>2.1</v>
      </c>
      <c r="AA299" s="279">
        <v>5140</v>
      </c>
      <c r="AB299" s="279">
        <v>5440</v>
      </c>
      <c r="AC299" s="279">
        <v>5740</v>
      </c>
      <c r="AD299" s="279">
        <v>6050</v>
      </c>
      <c r="AE299" s="279">
        <v>6360</v>
      </c>
      <c r="AF299" s="279">
        <v>6670</v>
      </c>
      <c r="AG299" s="279">
        <v>7120</v>
      </c>
      <c r="AH299" s="279">
        <v>7570</v>
      </c>
      <c r="AI299" s="279">
        <v>8020</v>
      </c>
      <c r="AJ299" s="279">
        <v>8470</v>
      </c>
      <c r="AQ299" s="317"/>
      <c r="AR299" s="317"/>
      <c r="AS299" s="318"/>
      <c r="AT299" s="56"/>
      <c r="AU299" s="56"/>
      <c r="AV299" s="56"/>
      <c r="AW299" s="56"/>
      <c r="AX299" s="56"/>
      <c r="AY299" s="56"/>
      <c r="AZ299" s="330"/>
      <c r="BF299" s="300"/>
      <c r="BG299" s="300"/>
      <c r="BH299" s="300"/>
      <c r="BI299" s="300"/>
      <c r="BJ299" s="300"/>
      <c r="BK299" s="300"/>
      <c r="BL299" s="300"/>
      <c r="BM299" s="300"/>
      <c r="BN299" s="300"/>
      <c r="BO299" s="300"/>
      <c r="BP299" s="300"/>
      <c r="BX299" s="300"/>
      <c r="BY299" s="300"/>
      <c r="BZ299" s="300"/>
      <c r="CA299" s="300"/>
      <c r="CB299" s="300"/>
      <c r="CC299" s="300"/>
      <c r="CE299" s="327"/>
      <c r="CF299" s="352" t="s">
        <v>1237</v>
      </c>
      <c r="CG299" s="1748" t="s">
        <v>1239</v>
      </c>
      <c r="CH299" s="1749"/>
      <c r="CI299" s="278"/>
      <c r="CJ299" s="275" t="s">
        <v>50</v>
      </c>
      <c r="CK299" s="12"/>
      <c r="CL299" s="1766"/>
      <c r="CM299" s="1766"/>
      <c r="CN299" s="1766"/>
      <c r="CO299" s="1766"/>
      <c r="CP299" s="12"/>
      <c r="CQ299" s="12"/>
      <c r="CR299" s="352" t="s">
        <v>1237</v>
      </c>
      <c r="CS299" s="1033" t="s">
        <v>103</v>
      </c>
      <c r="CT299" s="1033"/>
      <c r="CU299" s="278"/>
      <c r="CV299" s="275"/>
      <c r="CW299" s="12"/>
      <c r="CX299" s="1780"/>
      <c r="CY299" s="1781"/>
      <c r="CZ299" s="1781"/>
      <c r="DA299" s="1782"/>
      <c r="DB299" s="12"/>
      <c r="DC299" s="12"/>
      <c r="DD299" s="352" t="s">
        <v>1237</v>
      </c>
      <c r="DE299" s="1405" t="s">
        <v>103</v>
      </c>
      <c r="DF299" s="1407"/>
      <c r="DG299" s="10"/>
      <c r="DH299" s="10"/>
      <c r="DI299" s="12"/>
      <c r="DJ299" s="1766"/>
      <c r="DK299" s="1766"/>
      <c r="DL299" s="1766"/>
      <c r="DM299" s="1766"/>
      <c r="DN299" s="208"/>
    </row>
    <row r="300" spans="2:142" ht="48.75" customHeight="1">
      <c r="B300" s="279">
        <v>2.2000000000000002</v>
      </c>
      <c r="C300" s="279">
        <v>130000</v>
      </c>
      <c r="D300" s="279">
        <v>138000</v>
      </c>
      <c r="E300" s="279">
        <v>146000</v>
      </c>
      <c r="F300" s="279">
        <v>154000</v>
      </c>
      <c r="G300" s="279">
        <v>162000</v>
      </c>
      <c r="H300" s="279">
        <v>170000</v>
      </c>
      <c r="I300" s="279">
        <v>178000</v>
      </c>
      <c r="J300" s="279">
        <v>186000</v>
      </c>
      <c r="K300" s="279">
        <v>194000</v>
      </c>
      <c r="L300" s="279">
        <v>202000</v>
      </c>
      <c r="M300" s="286"/>
      <c r="N300" s="663" t="s">
        <v>1222</v>
      </c>
      <c r="O300" s="677">
        <f>'Вывод расчетов'!$JF$37</f>
        <v>1.5000000000000002</v>
      </c>
      <c r="P300" s="677"/>
      <c r="Q300" s="194"/>
      <c r="R300" s="194"/>
      <c r="S300" s="194"/>
      <c r="T300" s="194"/>
      <c r="U300" s="194"/>
      <c r="V300" s="194"/>
      <c r="W300" s="194"/>
      <c r="X300" s="195"/>
      <c r="Y300" s="286"/>
      <c r="Z300" s="279">
        <v>2.2000000000000002</v>
      </c>
      <c r="AA300" s="279">
        <v>8920</v>
      </c>
      <c r="AB300" s="279">
        <v>9430</v>
      </c>
      <c r="AC300" s="279">
        <v>9940</v>
      </c>
      <c r="AD300" s="279">
        <v>10460</v>
      </c>
      <c r="AE300" s="279">
        <v>10980</v>
      </c>
      <c r="AF300" s="279">
        <v>11500</v>
      </c>
      <c r="AG300" s="279">
        <v>12000</v>
      </c>
      <c r="AH300" s="279">
        <v>12600</v>
      </c>
      <c r="AI300" s="279">
        <v>13200</v>
      </c>
      <c r="AJ300" s="279">
        <v>13800</v>
      </c>
      <c r="AQ300" s="317"/>
      <c r="AR300" s="317"/>
      <c r="AS300" s="318"/>
      <c r="AT300" s="331"/>
      <c r="AU300" s="331"/>
      <c r="AV300" s="331"/>
      <c r="AW300" s="331"/>
      <c r="AX300" s="331"/>
      <c r="AY300" s="331"/>
      <c r="AZ300" s="331"/>
      <c r="BE300" s="19"/>
      <c r="BF300" s="300"/>
      <c r="BG300" s="300"/>
      <c r="BH300" s="300"/>
      <c r="BI300" s="300"/>
      <c r="BJ300" s="300"/>
      <c r="BK300" s="300"/>
      <c r="BL300" s="300"/>
      <c r="BM300" s="300"/>
      <c r="BN300" s="300"/>
      <c r="BO300" s="300"/>
      <c r="BP300" s="300"/>
      <c r="BX300" s="300"/>
      <c r="BY300" s="300"/>
      <c r="BZ300" s="300"/>
      <c r="CA300" s="300"/>
      <c r="CB300" s="300"/>
      <c r="CC300" s="300"/>
      <c r="CE300" s="327"/>
      <c r="CF300" s="352" t="s">
        <v>1237</v>
      </c>
      <c r="CG300" s="1748" t="s">
        <v>1240</v>
      </c>
      <c r="CH300" s="1749"/>
      <c r="CI300" s="332"/>
      <c r="CJ300" s="275" t="s">
        <v>50</v>
      </c>
      <c r="CK300" s="12"/>
      <c r="CL300" s="1766"/>
      <c r="CM300" s="1766"/>
      <c r="CN300" s="1766"/>
      <c r="CO300" s="1766"/>
      <c r="CP300" s="12"/>
      <c r="CQ300" s="12"/>
      <c r="CR300" s="352" t="s">
        <v>1237</v>
      </c>
      <c r="CS300" s="1033" t="s">
        <v>100</v>
      </c>
      <c r="CT300" s="1033"/>
      <c r="CU300" s="278"/>
      <c r="CV300" s="275"/>
      <c r="CW300" s="12"/>
      <c r="CX300" s="1780"/>
      <c r="CY300" s="1781"/>
      <c r="CZ300" s="1781"/>
      <c r="DA300" s="1782"/>
      <c r="DB300" s="12"/>
      <c r="DC300" s="12"/>
      <c r="DD300" s="352" t="s">
        <v>1237</v>
      </c>
      <c r="DE300" s="1405" t="s">
        <v>100</v>
      </c>
      <c r="DF300" s="1407"/>
      <c r="DG300" s="10"/>
      <c r="DH300" s="10"/>
      <c r="DI300" s="12"/>
      <c r="DJ300" s="1766"/>
      <c r="DK300" s="1766"/>
      <c r="DL300" s="1766"/>
      <c r="DM300" s="1766"/>
      <c r="DN300" s="208"/>
    </row>
    <row r="301" spans="2:142" ht="48.75" customHeight="1">
      <c r="B301" s="279">
        <v>2.2999999999999998</v>
      </c>
      <c r="C301" s="279">
        <v>210000</v>
      </c>
      <c r="D301" s="279">
        <v>218000</v>
      </c>
      <c r="E301" s="279">
        <v>226000</v>
      </c>
      <c r="F301" s="279">
        <v>234000</v>
      </c>
      <c r="G301" s="279">
        <v>242000</v>
      </c>
      <c r="H301" s="279">
        <v>250000</v>
      </c>
      <c r="I301" s="279">
        <v>258000</v>
      </c>
      <c r="J301" s="279">
        <v>266000</v>
      </c>
      <c r="K301" s="279">
        <v>274000</v>
      </c>
      <c r="L301" s="279">
        <v>282000</v>
      </c>
      <c r="M301" s="286"/>
      <c r="N301" s="193"/>
      <c r="O301" s="194"/>
      <c r="P301" s="194"/>
      <c r="Q301" s="194"/>
      <c r="R301" s="194"/>
      <c r="S301" s="194"/>
      <c r="T301" s="194"/>
      <c r="U301" s="194"/>
      <c r="V301" s="194"/>
      <c r="W301" s="194"/>
      <c r="X301" s="195"/>
      <c r="Y301" s="286"/>
      <c r="Z301" s="279">
        <v>2.2999999999999998</v>
      </c>
      <c r="AA301" s="279">
        <v>14400</v>
      </c>
      <c r="AB301" s="279">
        <v>15100</v>
      </c>
      <c r="AC301" s="279">
        <v>15800</v>
      </c>
      <c r="AD301" s="279">
        <v>16500</v>
      </c>
      <c r="AE301" s="279">
        <v>17200</v>
      </c>
      <c r="AF301" s="279">
        <v>18000</v>
      </c>
      <c r="AG301" s="279">
        <v>18800</v>
      </c>
      <c r="AH301" s="279">
        <v>19600</v>
      </c>
      <c r="AI301" s="279">
        <v>20500</v>
      </c>
      <c r="AJ301" s="290">
        <v>21400</v>
      </c>
      <c r="AQ301" s="317"/>
      <c r="AR301" s="317"/>
      <c r="AS301" s="318"/>
      <c r="AT301" s="331"/>
      <c r="AU301" s="331"/>
      <c r="AV301" s="331"/>
      <c r="AW301" s="331"/>
      <c r="AX301" s="331"/>
      <c r="AY301" s="331"/>
      <c r="AZ301" s="331"/>
      <c r="BA301" s="331"/>
      <c r="BB301" s="331"/>
      <c r="BC301" s="331"/>
      <c r="BD301" s="331"/>
      <c r="BE301" s="19"/>
      <c r="BF301" s="17"/>
      <c r="BG301" s="1405" t="s">
        <v>1430</v>
      </c>
      <c r="BH301" s="1406"/>
      <c r="BI301" s="1406"/>
      <c r="BJ301" s="1406"/>
      <c r="BK301" s="1406"/>
      <c r="BL301" s="1406"/>
      <c r="BM301" s="1406"/>
      <c r="BN301" s="1406"/>
      <c r="BO301" s="1407"/>
      <c r="BP301" s="140"/>
      <c r="BX301" s="300"/>
      <c r="BY301" s="300"/>
      <c r="BZ301" s="300"/>
      <c r="CA301" s="300"/>
      <c r="CB301" s="300"/>
      <c r="CC301" s="300"/>
      <c r="CE301" s="327"/>
      <c r="CF301" s="352" t="s">
        <v>1237</v>
      </c>
      <c r="CG301" s="1748" t="s">
        <v>1241</v>
      </c>
      <c r="CH301" s="1749"/>
      <c r="CI301" s="278"/>
      <c r="CJ301" s="275" t="s">
        <v>50</v>
      </c>
      <c r="CK301" s="12"/>
      <c r="CL301" s="1766"/>
      <c r="CM301" s="1766"/>
      <c r="CN301" s="1766"/>
      <c r="CO301" s="1766"/>
      <c r="CP301" s="12"/>
      <c r="CQ301" s="12"/>
      <c r="CR301" s="352" t="s">
        <v>1237</v>
      </c>
      <c r="CS301" s="1033" t="s">
        <v>51</v>
      </c>
      <c r="CT301" s="1033"/>
      <c r="CU301" s="278"/>
      <c r="CV301" s="275"/>
      <c r="CW301" s="12"/>
      <c r="CX301" s="1780"/>
      <c r="CY301" s="1781"/>
      <c r="CZ301" s="1781"/>
      <c r="DA301" s="1782"/>
      <c r="DB301" s="12"/>
      <c r="DC301" s="12"/>
      <c r="DD301" s="352" t="s">
        <v>1237</v>
      </c>
      <c r="DE301" s="1405" t="s">
        <v>51</v>
      </c>
      <c r="DF301" s="1407"/>
      <c r="DG301" s="10"/>
      <c r="DH301" s="10"/>
      <c r="DI301" s="12"/>
      <c r="DJ301" s="1766"/>
      <c r="DK301" s="1766"/>
      <c r="DL301" s="1766"/>
      <c r="DM301" s="1766"/>
      <c r="DN301" s="208"/>
    </row>
    <row r="302" spans="2:142" ht="48.75" customHeight="1">
      <c r="B302" s="279">
        <v>2.4</v>
      </c>
      <c r="C302" s="279">
        <v>290000</v>
      </c>
      <c r="D302" s="279">
        <v>298000</v>
      </c>
      <c r="E302" s="279">
        <v>306000</v>
      </c>
      <c r="F302" s="279">
        <v>314000</v>
      </c>
      <c r="G302" s="279">
        <v>322000</v>
      </c>
      <c r="H302" s="279">
        <v>330000</v>
      </c>
      <c r="I302" s="279">
        <v>338000</v>
      </c>
      <c r="J302" s="279">
        <v>346000</v>
      </c>
      <c r="K302" s="279">
        <v>354000</v>
      </c>
      <c r="L302" s="279">
        <v>362000</v>
      </c>
      <c r="M302" s="282"/>
      <c r="N302" s="94"/>
      <c r="O302" s="95"/>
      <c r="P302" s="95"/>
      <c r="Q302" s="95"/>
      <c r="R302" s="95"/>
      <c r="S302" s="95"/>
      <c r="T302" s="95"/>
      <c r="U302" s="95"/>
      <c r="V302" s="95"/>
      <c r="W302" s="95"/>
      <c r="X302" s="96"/>
      <c r="Y302" s="282"/>
      <c r="Z302" s="585" t="s">
        <v>1794</v>
      </c>
      <c r="AA302" s="586">
        <f>'Вывод расчетов'!$JF$70</f>
        <v>1.8500000000000003</v>
      </c>
      <c r="AB302" s="593" t="s">
        <v>1221</v>
      </c>
      <c r="AC302" s="594">
        <f>'Вывод расчетов'!JF22</f>
        <v>1.8967534036424591</v>
      </c>
      <c r="AD302" s="284"/>
      <c r="AE302" s="284"/>
      <c r="AF302" s="284"/>
      <c r="AG302" s="284"/>
      <c r="AH302" s="284"/>
      <c r="AI302" s="284"/>
      <c r="AJ302" s="296"/>
      <c r="AT302" s="331"/>
      <c r="AU302" s="331"/>
      <c r="AV302" s="331"/>
      <c r="AW302" s="331"/>
      <c r="AX302" s="331"/>
      <c r="AY302" s="331"/>
      <c r="AZ302" s="331"/>
      <c r="BA302" s="331"/>
      <c r="BB302" s="331"/>
      <c r="BC302" s="331"/>
      <c r="BD302" s="331"/>
      <c r="BE302" s="19"/>
      <c r="BF302" s="17"/>
      <c r="BG302" s="1752"/>
      <c r="BH302" s="1746" t="s">
        <v>1556</v>
      </c>
      <c r="BI302" s="1746"/>
      <c r="BJ302" s="1746"/>
      <c r="BK302" s="1746"/>
      <c r="BL302" s="1746"/>
      <c r="BM302" s="1746"/>
      <c r="BN302" s="1746"/>
      <c r="BO302" s="1746"/>
      <c r="BP302" s="1752"/>
      <c r="BX302" s="300"/>
      <c r="BY302" s="300"/>
      <c r="BZ302" s="300"/>
      <c r="CA302" s="300"/>
      <c r="CB302" s="300"/>
      <c r="CC302" s="300"/>
      <c r="CE302" s="327"/>
      <c r="CF302" s="12"/>
      <c r="CG302" s="12"/>
      <c r="CH302" s="12"/>
      <c r="CI302" s="280"/>
      <c r="CJ302" s="16"/>
      <c r="CK302" s="12"/>
      <c r="CL302" s="1766"/>
      <c r="CM302" s="1766"/>
      <c r="CN302" s="1766"/>
      <c r="CO302" s="1766"/>
      <c r="CP302" s="12"/>
      <c r="CQ302" s="12"/>
      <c r="CR302" s="352" t="s">
        <v>1237</v>
      </c>
      <c r="CS302" s="1033" t="s">
        <v>98</v>
      </c>
      <c r="CT302" s="1033"/>
      <c r="CU302" s="278"/>
      <c r="CV302" s="275"/>
      <c r="CW302" s="12"/>
      <c r="CX302" s="1780"/>
      <c r="CY302" s="1781"/>
      <c r="CZ302" s="1781"/>
      <c r="DA302" s="1782"/>
      <c r="DB302" s="12"/>
      <c r="DC302" s="12"/>
      <c r="DD302" s="352" t="s">
        <v>1237</v>
      </c>
      <c r="DE302" s="1405" t="s">
        <v>98</v>
      </c>
      <c r="DF302" s="1407"/>
      <c r="DG302" s="10"/>
      <c r="DH302" s="10"/>
      <c r="DI302" s="12"/>
      <c r="DJ302" s="1766"/>
      <c r="DK302" s="1766"/>
      <c r="DL302" s="1766"/>
      <c r="DM302" s="1766"/>
      <c r="DN302" s="208"/>
      <c r="EF302" s="300"/>
      <c r="EG302" s="300"/>
      <c r="EH302" s="300"/>
      <c r="EI302" s="300"/>
      <c r="EJ302" s="300"/>
      <c r="EK302" s="300"/>
      <c r="EL302" s="300"/>
    </row>
    <row r="303" spans="2:142" ht="48.75" customHeight="1">
      <c r="B303" s="300"/>
      <c r="C303" s="300"/>
      <c r="D303" s="300"/>
      <c r="E303" s="300"/>
      <c r="F303" s="300"/>
      <c r="G303" s="300"/>
      <c r="H303" s="300"/>
      <c r="I303" s="300"/>
      <c r="J303" s="300"/>
      <c r="S303" s="12"/>
      <c r="T303" s="12"/>
      <c r="U303" s="12"/>
      <c r="AT303" s="331"/>
      <c r="AU303" s="331"/>
      <c r="AV303" s="331"/>
      <c r="AW303" s="331"/>
      <c r="AX303" s="331"/>
      <c r="AY303" s="331"/>
      <c r="AZ303" s="331"/>
      <c r="BA303" s="331"/>
      <c r="BB303" s="331"/>
      <c r="BC303" s="331"/>
      <c r="BD303" s="331"/>
      <c r="BG303" s="1752"/>
      <c r="BH303" s="1746"/>
      <c r="BI303" s="1746"/>
      <c r="BJ303" s="1746"/>
      <c r="BK303" s="1746"/>
      <c r="BL303" s="1746"/>
      <c r="BM303" s="1746"/>
      <c r="BN303" s="1746"/>
      <c r="BO303" s="1746"/>
      <c r="BP303" s="1752"/>
      <c r="BQ303" s="333"/>
      <c r="BR303" s="317"/>
      <c r="BV303" s="12"/>
      <c r="BW303" s="12"/>
      <c r="BX303" s="300"/>
      <c r="BY303" s="300"/>
      <c r="BZ303" s="300"/>
      <c r="CA303" s="300"/>
      <c r="CB303" s="300"/>
      <c r="CC303" s="300"/>
      <c r="CD303" s="12"/>
      <c r="CE303" s="327"/>
      <c r="CF303" s="12"/>
      <c r="CG303" s="12"/>
      <c r="CH303" s="12"/>
      <c r="CI303" s="280"/>
      <c r="CJ303" s="16"/>
      <c r="CK303" s="12"/>
      <c r="CL303" s="1766"/>
      <c r="CM303" s="1766"/>
      <c r="CN303" s="1766"/>
      <c r="CO303" s="1766"/>
      <c r="CP303" s="12"/>
      <c r="CQ303" s="12"/>
      <c r="CR303" s="352" t="s">
        <v>1237</v>
      </c>
      <c r="CS303" s="1033" t="s">
        <v>99</v>
      </c>
      <c r="CT303" s="1033"/>
      <c r="CU303" s="278"/>
      <c r="CV303" s="275"/>
      <c r="CW303" s="12"/>
      <c r="CX303" s="1780"/>
      <c r="CY303" s="1781"/>
      <c r="CZ303" s="1781"/>
      <c r="DA303" s="1782"/>
      <c r="DB303" s="12"/>
      <c r="DC303" s="12"/>
      <c r="DD303" s="352" t="s">
        <v>1237</v>
      </c>
      <c r="DE303" s="1405" t="s">
        <v>99</v>
      </c>
      <c r="DF303" s="1407"/>
      <c r="DG303" s="10"/>
      <c r="DH303" s="10"/>
      <c r="DI303" s="12"/>
      <c r="DJ303" s="1766"/>
      <c r="DK303" s="1766"/>
      <c r="DL303" s="1766"/>
      <c r="DM303" s="1766"/>
      <c r="DN303" s="208"/>
      <c r="EF303" s="300"/>
      <c r="EG303" s="300"/>
      <c r="EH303" s="300"/>
      <c r="EI303" s="300"/>
      <c r="EJ303" s="300"/>
      <c r="EK303" s="300"/>
      <c r="EL303" s="300"/>
    </row>
    <row r="304" spans="2:142" ht="48.75" customHeight="1">
      <c r="B304" s="300"/>
      <c r="C304" s="300"/>
      <c r="D304" s="300"/>
      <c r="E304" s="300"/>
      <c r="F304" s="300"/>
      <c r="G304" s="300"/>
      <c r="H304" s="300"/>
      <c r="I304" s="300"/>
      <c r="J304" s="300"/>
      <c r="S304" s="12"/>
      <c r="T304" s="12"/>
      <c r="U304" s="12"/>
      <c r="AA304" s="300"/>
      <c r="AB304" s="300"/>
      <c r="AC304" s="300"/>
      <c r="AT304" s="331"/>
      <c r="AU304" s="331"/>
      <c r="AV304" s="331"/>
      <c r="AW304" s="1741" t="s">
        <v>703</v>
      </c>
      <c r="AX304" s="1741"/>
      <c r="AY304" s="727" t="s">
        <v>1465</v>
      </c>
      <c r="AZ304" s="727"/>
      <c r="BA304" s="727"/>
      <c r="BB304" s="727"/>
      <c r="BC304" s="727"/>
      <c r="BD304" s="727"/>
      <c r="BE304" s="727"/>
      <c r="BG304" s="1752"/>
      <c r="BH304" s="1746"/>
      <c r="BI304" s="1746"/>
      <c r="BJ304" s="1746"/>
      <c r="BK304" s="1746"/>
      <c r="BL304" s="1746"/>
      <c r="BM304" s="1746"/>
      <c r="BN304" s="1746"/>
      <c r="BO304" s="1746"/>
      <c r="BP304" s="1752"/>
      <c r="BQ304" s="319"/>
      <c r="BR304" s="321"/>
      <c r="BU304" s="1748" t="s">
        <v>1242</v>
      </c>
      <c r="BV304" s="1749"/>
      <c r="BW304" s="1748" t="s">
        <v>1243</v>
      </c>
      <c r="BX304" s="1749"/>
      <c r="CC304" s="300"/>
      <c r="CD304" s="12"/>
      <c r="CE304" s="327"/>
      <c r="CF304" s="12"/>
      <c r="CG304" s="12"/>
      <c r="CH304" s="12"/>
      <c r="CI304" s="280"/>
      <c r="CJ304" s="16"/>
      <c r="CK304" s="12"/>
      <c r="CL304" s="1766"/>
      <c r="CM304" s="1766"/>
      <c r="CN304" s="1766"/>
      <c r="CO304" s="1766"/>
      <c r="CP304" s="12"/>
      <c r="CQ304" s="12"/>
      <c r="CR304" s="12"/>
      <c r="CS304" s="12"/>
      <c r="CT304" s="12"/>
      <c r="CU304" s="280"/>
      <c r="CV304" s="16"/>
      <c r="CW304" s="12"/>
      <c r="CX304" s="1780"/>
      <c r="CY304" s="1781"/>
      <c r="CZ304" s="1781"/>
      <c r="DA304" s="1782"/>
      <c r="DB304" s="12"/>
      <c r="DC304" s="12"/>
      <c r="DD304" s="12"/>
      <c r="DE304" s="12"/>
      <c r="DF304" s="12"/>
      <c r="DG304" s="209"/>
      <c r="DH304" s="12"/>
      <c r="DI304" s="12"/>
      <c r="DJ304" s="1766"/>
      <c r="DK304" s="1766"/>
      <c r="DL304" s="1766"/>
      <c r="DM304" s="1766"/>
      <c r="DN304" s="208"/>
      <c r="EF304" s="300"/>
      <c r="EG304" s="300"/>
      <c r="EH304" s="300"/>
      <c r="EI304" s="300"/>
      <c r="EJ304" s="300"/>
      <c r="EK304" s="300"/>
      <c r="EL304" s="300"/>
    </row>
    <row r="305" spans="2:118" ht="48.75" customHeight="1">
      <c r="B305" s="300"/>
      <c r="C305" s="300"/>
      <c r="D305" s="300"/>
      <c r="E305" s="300"/>
      <c r="F305" s="300"/>
      <c r="G305" s="300"/>
      <c r="H305" s="300"/>
      <c r="I305" s="300"/>
      <c r="J305" s="300"/>
      <c r="S305" s="12"/>
      <c r="T305" s="12"/>
      <c r="U305" s="12"/>
      <c r="AA305" s="300"/>
      <c r="AB305" s="300"/>
      <c r="AC305" s="300"/>
      <c r="AT305" s="331"/>
      <c r="AU305" s="331"/>
      <c r="AV305" s="331"/>
      <c r="AW305" s="1741"/>
      <c r="AX305" s="1741"/>
      <c r="AY305" s="727"/>
      <c r="AZ305" s="727"/>
      <c r="BA305" s="727"/>
      <c r="BB305" s="727"/>
      <c r="BC305" s="727"/>
      <c r="BD305" s="727"/>
      <c r="BE305" s="727"/>
      <c r="BG305" s="1752"/>
      <c r="BH305" s="1726"/>
      <c r="BI305" s="1726"/>
      <c r="BJ305" s="1726"/>
      <c r="BK305" s="1726"/>
      <c r="BL305" s="1726"/>
      <c r="BM305" s="1726"/>
      <c r="BN305" s="1726"/>
      <c r="BO305" s="1726"/>
      <c r="BP305" s="1752"/>
      <c r="BU305" s="1748" t="s">
        <v>1244</v>
      </c>
      <c r="BV305" s="1749"/>
      <c r="BW305" s="1748" t="s">
        <v>877</v>
      </c>
      <c r="BX305" s="1749"/>
      <c r="CC305" s="300"/>
      <c r="CD305" s="12"/>
      <c r="CE305" s="327"/>
      <c r="CF305" s="12"/>
      <c r="CG305" s="12"/>
      <c r="CH305" s="12"/>
      <c r="CI305" s="280"/>
      <c r="CJ305" s="16"/>
      <c r="CK305" s="12"/>
      <c r="CL305" s="1766"/>
      <c r="CM305" s="1766"/>
      <c r="CN305" s="1766"/>
      <c r="CO305" s="1766"/>
      <c r="CP305" s="12"/>
      <c r="CQ305" s="12"/>
      <c r="CR305" s="12"/>
      <c r="CS305" s="12"/>
      <c r="CT305" s="12"/>
      <c r="CU305" s="280"/>
      <c r="CV305" s="16"/>
      <c r="CW305" s="12"/>
      <c r="CX305" s="1780"/>
      <c r="CY305" s="1781"/>
      <c r="CZ305" s="1781"/>
      <c r="DA305" s="1782"/>
      <c r="DB305" s="12"/>
      <c r="DC305" s="12"/>
      <c r="DD305" s="12"/>
      <c r="DE305" s="12"/>
      <c r="DF305" s="12"/>
      <c r="DG305" s="209"/>
      <c r="DH305" s="12"/>
      <c r="DI305" s="12"/>
      <c r="DJ305" s="1766"/>
      <c r="DK305" s="1766"/>
      <c r="DL305" s="1766"/>
      <c r="DM305" s="1766"/>
      <c r="DN305" s="208"/>
    </row>
    <row r="306" spans="2:118" ht="48.75" customHeight="1">
      <c r="B306" s="1033" t="s">
        <v>661</v>
      </c>
      <c r="C306" s="1033"/>
      <c r="D306" s="1033"/>
      <c r="E306" s="1033"/>
      <c r="F306" s="1033"/>
      <c r="G306" s="1033"/>
      <c r="H306" s="1033"/>
      <c r="I306" s="1033"/>
      <c r="J306" s="281"/>
      <c r="U306" s="12"/>
      <c r="AA306" s="300"/>
      <c r="AB306" s="300"/>
      <c r="AC306" s="300"/>
      <c r="AT306" s="331"/>
      <c r="AU306" s="331"/>
      <c r="AV306" s="331"/>
      <c r="AW306" s="331"/>
      <c r="AX306" s="331"/>
      <c r="AY306" s="331"/>
      <c r="AZ306" s="331"/>
      <c r="BA306" s="331"/>
      <c r="BB306" s="331"/>
      <c r="BC306" s="331"/>
      <c r="BD306" s="331"/>
      <c r="BG306" s="696" t="s">
        <v>1463</v>
      </c>
      <c r="BH306" s="720"/>
      <c r="BI306" s="698">
        <f>'Вывод расчетов'!$MG$178</f>
        <v>0.24643559844364712</v>
      </c>
      <c r="BJ306" s="726"/>
      <c r="BK306" s="696" t="s">
        <v>1453</v>
      </c>
      <c r="BL306" s="720"/>
      <c r="BM306" s="594">
        <f>'Вывод расчетов'!$MJ$177</f>
        <v>2</v>
      </c>
      <c r="BN306" s="194"/>
      <c r="BO306" s="194"/>
      <c r="BP306" s="195"/>
      <c r="BU306" s="1748" t="s">
        <v>1245</v>
      </c>
      <c r="BV306" s="1749"/>
      <c r="BW306" s="300"/>
      <c r="BX306" s="300"/>
      <c r="CC306" s="300"/>
      <c r="CD306" s="12"/>
      <c r="CE306" s="327"/>
      <c r="CF306" s="12"/>
      <c r="CG306" s="12"/>
      <c r="CH306" s="12"/>
      <c r="CI306" s="280"/>
      <c r="CJ306" s="16"/>
      <c r="CK306" s="12"/>
      <c r="CL306" s="1766"/>
      <c r="CM306" s="1766"/>
      <c r="CN306" s="1766"/>
      <c r="CO306" s="1766"/>
      <c r="CP306" s="12"/>
      <c r="CQ306" s="12"/>
      <c r="CR306" s="12"/>
      <c r="CS306" s="12"/>
      <c r="CT306" s="12"/>
      <c r="CU306" s="280"/>
      <c r="CV306" s="16"/>
      <c r="CW306" s="12"/>
      <c r="CX306" s="1780"/>
      <c r="CY306" s="1781"/>
      <c r="CZ306" s="1781"/>
      <c r="DA306" s="1782"/>
      <c r="DB306" s="12"/>
      <c r="DC306" s="12"/>
      <c r="DD306" s="12"/>
      <c r="DE306" s="12"/>
      <c r="DF306" s="12"/>
      <c r="DG306" s="209"/>
      <c r="DH306" s="12"/>
      <c r="DI306" s="12"/>
      <c r="DJ306" s="1766"/>
      <c r="DK306" s="1766"/>
      <c r="DL306" s="1766"/>
      <c r="DM306" s="1766"/>
      <c r="DN306" s="208"/>
    </row>
    <row r="307" spans="2:118" ht="48.75" customHeight="1">
      <c r="B307" s="1385" t="s">
        <v>657</v>
      </c>
      <c r="C307" s="1385" t="s">
        <v>658</v>
      </c>
      <c r="D307" s="1385"/>
      <c r="E307" s="1385"/>
      <c r="F307" s="1385"/>
      <c r="G307" s="1385"/>
      <c r="H307" s="1385"/>
      <c r="I307" s="1385"/>
      <c r="J307" s="1385"/>
      <c r="K307" s="300"/>
      <c r="L307" s="300"/>
      <c r="M307" s="300"/>
      <c r="U307" s="12"/>
      <c r="AA307" s="300"/>
      <c r="AB307" s="300"/>
      <c r="AC307" s="300"/>
      <c r="AT307" s="331"/>
      <c r="AU307" s="331"/>
      <c r="AV307" s="331"/>
      <c r="AW307" s="331"/>
      <c r="AX307" s="331"/>
      <c r="AY307" s="331"/>
      <c r="AZ307" s="331"/>
      <c r="BA307" s="331"/>
      <c r="BB307" s="331"/>
      <c r="BD307" s="331"/>
      <c r="BG307" s="696" t="s">
        <v>1464</v>
      </c>
      <c r="BH307" s="720"/>
      <c r="BI307" s="698">
        <f>'Вывод расчетов'!$MG$179</f>
        <v>0.4435294313321807</v>
      </c>
      <c r="BJ307" s="726"/>
      <c r="BK307" s="194"/>
      <c r="BL307" s="194"/>
      <c r="BM307" s="194"/>
      <c r="BN307" s="194"/>
      <c r="BO307" s="194"/>
      <c r="BP307" s="195"/>
      <c r="BV307" s="12"/>
      <c r="BW307" s="12"/>
      <c r="BX307" s="12"/>
      <c r="CC307" s="12"/>
      <c r="CD307" s="12"/>
      <c r="CE307" s="327"/>
      <c r="CF307" s="12"/>
      <c r="CG307" s="12"/>
      <c r="CH307" s="12"/>
      <c r="CI307" s="280"/>
      <c r="CJ307" s="16"/>
      <c r="CK307" s="12"/>
      <c r="CL307" s="1766"/>
      <c r="CM307" s="1766"/>
      <c r="CN307" s="1766"/>
      <c r="CO307" s="1766"/>
      <c r="CP307" s="328"/>
      <c r="CQ307" s="328"/>
      <c r="CR307" s="12"/>
      <c r="CS307" s="12"/>
      <c r="CT307" s="12"/>
      <c r="CU307" s="280"/>
      <c r="CV307" s="16"/>
      <c r="CW307" s="12"/>
      <c r="CX307" s="1783"/>
      <c r="CY307" s="1784"/>
      <c r="CZ307" s="1784"/>
      <c r="DA307" s="1785"/>
      <c r="DB307" s="328"/>
      <c r="DC307" s="328"/>
      <c r="DD307" s="12"/>
      <c r="DE307" s="12"/>
      <c r="DF307" s="12"/>
      <c r="DG307" s="209"/>
      <c r="DH307" s="12"/>
      <c r="DI307" s="12"/>
      <c r="DJ307" s="1766"/>
      <c r="DK307" s="1766"/>
      <c r="DL307" s="1766"/>
      <c r="DM307" s="1766"/>
      <c r="DN307" s="208"/>
    </row>
    <row r="308" spans="2:118" ht="48.75" customHeight="1">
      <c r="B308" s="1385"/>
      <c r="C308" s="1385" t="s">
        <v>659</v>
      </c>
      <c r="D308" s="1385"/>
      <c r="E308" s="1385"/>
      <c r="F308" s="1385"/>
      <c r="G308" s="710" t="s">
        <v>660</v>
      </c>
      <c r="H308" s="1714"/>
      <c r="I308" s="1714"/>
      <c r="J308" s="711"/>
      <c r="K308" s="300"/>
      <c r="L308" s="300"/>
      <c r="M308" s="300"/>
      <c r="AA308" s="300"/>
      <c r="AB308" s="300"/>
      <c r="AC308" s="300"/>
      <c r="AD308" s="300"/>
      <c r="AT308" s="331"/>
      <c r="AU308" s="331"/>
      <c r="AV308" s="331"/>
      <c r="AW308" s="331"/>
      <c r="AX308" s="331"/>
      <c r="AY308" s="331"/>
      <c r="AZ308" s="331"/>
      <c r="BA308" s="331"/>
      <c r="BB308" s="331"/>
      <c r="BC308" s="331"/>
      <c r="BD308" s="331"/>
      <c r="BG308" s="193"/>
      <c r="BH308" s="194"/>
      <c r="BI308" s="194"/>
      <c r="BJ308" s="194"/>
      <c r="BK308" s="194"/>
      <c r="BL308" s="194"/>
      <c r="BM308" s="194"/>
      <c r="BN308" s="194"/>
      <c r="BO308" s="194"/>
      <c r="BP308" s="195"/>
      <c r="BQ308" s="12"/>
      <c r="BR308" s="12"/>
      <c r="BS308" s="12"/>
      <c r="BT308" s="12"/>
      <c r="BU308" s="12"/>
      <c r="BV308" s="12"/>
      <c r="BW308" s="12"/>
      <c r="BX308" s="12"/>
      <c r="CA308" s="12"/>
      <c r="CB308" s="12"/>
      <c r="CC308" s="12"/>
      <c r="CD308" s="12"/>
      <c r="CE308" s="327"/>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208"/>
    </row>
    <row r="309" spans="2:118" ht="48.75" customHeight="1">
      <c r="B309" s="1385"/>
      <c r="C309" s="1385" t="s">
        <v>690</v>
      </c>
      <c r="D309" s="1385"/>
      <c r="E309" s="1385" t="s">
        <v>771</v>
      </c>
      <c r="F309" s="1385"/>
      <c r="G309" s="1385" t="s">
        <v>690</v>
      </c>
      <c r="H309" s="1385"/>
      <c r="I309" s="710" t="s">
        <v>771</v>
      </c>
      <c r="J309" s="711"/>
      <c r="K309" s="300"/>
      <c r="L309" s="300"/>
      <c r="M309" s="1405" t="s">
        <v>756</v>
      </c>
      <c r="N309" s="1406"/>
      <c r="O309" s="1406"/>
      <c r="P309" s="1406"/>
      <c r="Q309" s="1406"/>
      <c r="R309" s="1406"/>
      <c r="S309" s="1406"/>
      <c r="T309" s="1406"/>
      <c r="U309" s="1406"/>
      <c r="V309" s="1407"/>
      <c r="W309" s="140"/>
      <c r="AA309" s="300"/>
      <c r="AB309" s="300"/>
      <c r="AC309" s="300"/>
      <c r="AD309" s="300"/>
      <c r="AT309" s="331"/>
      <c r="AU309" s="331"/>
      <c r="AV309" s="331"/>
      <c r="AW309" s="331"/>
      <c r="AX309" s="331"/>
      <c r="AY309" s="331"/>
      <c r="AZ309" s="331"/>
      <c r="BA309" s="331"/>
      <c r="BB309" s="331"/>
      <c r="BC309" s="331"/>
      <c r="BD309" s="331"/>
      <c r="BE309" s="331"/>
      <c r="BG309" s="193"/>
      <c r="BH309" s="194"/>
      <c r="BI309" s="194"/>
      <c r="BJ309" s="194"/>
      <c r="BK309" s="194"/>
      <c r="BL309" s="194"/>
      <c r="BM309" s="194"/>
      <c r="BN309" s="194"/>
      <c r="BO309" s="194"/>
      <c r="BP309" s="195"/>
      <c r="BQ309" s="12"/>
      <c r="BR309" s="12"/>
      <c r="BS309" s="12"/>
      <c r="BY309" s="12"/>
      <c r="BZ309" s="12"/>
      <c r="CA309" s="12"/>
      <c r="CB309" s="12"/>
      <c r="CC309" s="12"/>
      <c r="CD309" s="12"/>
      <c r="CE309" s="327"/>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208"/>
    </row>
    <row r="310" spans="2:118" ht="48.75" customHeight="1">
      <c r="B310" s="279">
        <v>2</v>
      </c>
      <c r="C310" s="1385">
        <v>1.2</v>
      </c>
      <c r="D310" s="1385"/>
      <c r="E310" s="1385">
        <v>0.26</v>
      </c>
      <c r="F310" s="1385"/>
      <c r="G310" s="1385">
        <v>1.45</v>
      </c>
      <c r="H310" s="1385"/>
      <c r="I310" s="710">
        <v>0.44</v>
      </c>
      <c r="J310" s="711"/>
      <c r="K310" s="300"/>
      <c r="L310" s="300"/>
      <c r="M310" s="1141"/>
      <c r="N310" s="1142"/>
      <c r="O310" s="1142"/>
      <c r="P310" s="1142"/>
      <c r="Q310" s="1142"/>
      <c r="R310" s="1142"/>
      <c r="S310" s="1142"/>
      <c r="T310" s="1142"/>
      <c r="U310" s="1142"/>
      <c r="V310" s="1142"/>
      <c r="W310" s="1143"/>
      <c r="AA310" s="300"/>
      <c r="AB310" s="300"/>
      <c r="AC310" s="300"/>
      <c r="AD310" s="300"/>
      <c r="AT310" s="331"/>
      <c r="AU310" s="331"/>
      <c r="AV310" s="331"/>
      <c r="AW310" s="331"/>
      <c r="BE310" s="331"/>
      <c r="BG310" s="193"/>
      <c r="BH310" s="194"/>
      <c r="BI310" s="194"/>
      <c r="BJ310" s="194"/>
      <c r="BK310" s="194"/>
      <c r="BL310" s="194"/>
      <c r="BM310" s="194"/>
      <c r="BN310" s="194"/>
      <c r="BO310" s="194"/>
      <c r="BP310" s="195"/>
      <c r="BQ310" s="12"/>
      <c r="BR310" s="12"/>
      <c r="BS310" s="12"/>
      <c r="BT310" s="1405" t="s">
        <v>875</v>
      </c>
      <c r="BU310" s="1406"/>
      <c r="BV310" s="1406"/>
      <c r="BW310" s="1406"/>
      <c r="BX310" s="1406"/>
      <c r="BY310" s="1407"/>
      <c r="BZ310" s="140"/>
      <c r="CA310" s="12"/>
      <c r="CB310" s="12"/>
      <c r="CC310" s="12"/>
      <c r="CD310" s="12"/>
      <c r="CE310" s="327"/>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208"/>
    </row>
    <row r="311" spans="2:118" ht="48.75" customHeight="1">
      <c r="B311" s="279">
        <v>4</v>
      </c>
      <c r="C311" s="1385">
        <v>1.3</v>
      </c>
      <c r="D311" s="1385"/>
      <c r="E311" s="1385">
        <v>0.4</v>
      </c>
      <c r="F311" s="1385"/>
      <c r="G311" s="1385">
        <v>1.55</v>
      </c>
      <c r="H311" s="1385"/>
      <c r="I311" s="710">
        <v>0.5</v>
      </c>
      <c r="J311" s="711"/>
      <c r="K311" s="300"/>
      <c r="L311" s="300"/>
      <c r="M311" s="1144"/>
      <c r="N311" s="1145"/>
      <c r="O311" s="1145"/>
      <c r="P311" s="1145"/>
      <c r="Q311" s="1145"/>
      <c r="R311" s="1145"/>
      <c r="S311" s="1145"/>
      <c r="T311" s="1145"/>
      <c r="U311" s="1145"/>
      <c r="V311" s="1145"/>
      <c r="W311" s="1146"/>
      <c r="AA311" s="300"/>
      <c r="AB311" s="300"/>
      <c r="AC311" s="300"/>
      <c r="AD311" s="300"/>
      <c r="AT311" s="331"/>
      <c r="AU311" s="331"/>
      <c r="AV311" s="331"/>
      <c r="AW311" s="331"/>
      <c r="BE311" s="331"/>
      <c r="BF311" s="16"/>
      <c r="BG311" s="193"/>
      <c r="BH311" s="194"/>
      <c r="BI311" s="194"/>
      <c r="BJ311" s="194"/>
      <c r="BK311" s="194"/>
      <c r="BL311" s="194"/>
      <c r="BM311" s="194"/>
      <c r="BN311" s="194"/>
      <c r="BO311" s="194"/>
      <c r="BP311" s="195"/>
      <c r="BQ311" s="12"/>
      <c r="BR311" s="12"/>
      <c r="BS311" s="12"/>
      <c r="BT311" s="352" t="s">
        <v>1237</v>
      </c>
      <c r="BU311" s="1761" t="s">
        <v>113</v>
      </c>
      <c r="BV311" s="1762"/>
      <c r="BW311" s="274">
        <f>'Вывод расчетов'!$EN$62</f>
        <v>10.323405894172806</v>
      </c>
      <c r="BX311" s="275" t="s">
        <v>50</v>
      </c>
      <c r="BY311" s="1748" t="s">
        <v>1243</v>
      </c>
      <c r="BZ311" s="1749"/>
      <c r="CA311" s="12"/>
      <c r="CB311" s="12"/>
      <c r="CC311" s="12"/>
      <c r="CD311" s="12"/>
      <c r="CE311" s="327"/>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208"/>
    </row>
    <row r="312" spans="2:118" ht="48.75" customHeight="1">
      <c r="B312" s="279">
        <v>6</v>
      </c>
      <c r="C312" s="1385">
        <v>1.4</v>
      </c>
      <c r="D312" s="1385"/>
      <c r="E312" s="1385">
        <v>0.5</v>
      </c>
      <c r="F312" s="1385"/>
      <c r="G312" s="1385">
        <v>1.75</v>
      </c>
      <c r="H312" s="1385"/>
      <c r="I312" s="710">
        <v>0.62</v>
      </c>
      <c r="J312" s="711"/>
      <c r="K312" s="300"/>
      <c r="L312" s="300"/>
      <c r="M312" s="1144"/>
      <c r="N312" s="1145"/>
      <c r="O312" s="1145"/>
      <c r="P312" s="1145"/>
      <c r="Q312" s="1145"/>
      <c r="R312" s="1145"/>
      <c r="S312" s="1145"/>
      <c r="T312" s="1145"/>
      <c r="U312" s="1145"/>
      <c r="V312" s="1145"/>
      <c r="W312" s="1146"/>
      <c r="AT312" s="331"/>
      <c r="AU312" s="331"/>
      <c r="AV312" s="331"/>
      <c r="AW312" s="331"/>
      <c r="AX312" s="331"/>
      <c r="AY312" s="331"/>
      <c r="AZ312" s="331"/>
      <c r="BB312" s="331"/>
      <c r="BC312" s="331"/>
      <c r="BD312" s="331"/>
      <c r="BE312" s="331"/>
      <c r="BF312" s="17"/>
      <c r="BG312" s="193"/>
      <c r="BH312" s="194"/>
      <c r="BI312" s="194"/>
      <c r="BJ312" s="194"/>
      <c r="BK312" s="194"/>
      <c r="BL312" s="194"/>
      <c r="BM312" s="194"/>
      <c r="BN312" s="194"/>
      <c r="BO312" s="194"/>
      <c r="BP312" s="195"/>
      <c r="BT312" s="352" t="s">
        <v>1237</v>
      </c>
      <c r="BU312" s="1761" t="s">
        <v>114</v>
      </c>
      <c r="BV312" s="1762"/>
      <c r="BW312" s="274">
        <f>'Вывод расчетов'!EN71</f>
        <v>14.621707563485572</v>
      </c>
      <c r="BX312" s="275" t="s">
        <v>50</v>
      </c>
      <c r="BY312" s="1748" t="s">
        <v>1246</v>
      </c>
      <c r="BZ312" s="1749"/>
      <c r="CE312" s="327"/>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208"/>
    </row>
    <row r="313" spans="2:118" ht="48.75" customHeight="1">
      <c r="B313" s="100" t="s">
        <v>691</v>
      </c>
      <c r="C313" s="1385">
        <v>1.5</v>
      </c>
      <c r="D313" s="1385"/>
      <c r="E313" s="1385">
        <v>0.5</v>
      </c>
      <c r="F313" s="1385"/>
      <c r="G313" s="1385">
        <v>1.9</v>
      </c>
      <c r="H313" s="1385"/>
      <c r="I313" s="710">
        <v>0.72</v>
      </c>
      <c r="J313" s="711"/>
      <c r="K313" s="300"/>
      <c r="L313" s="300"/>
      <c r="M313" s="1144"/>
      <c r="N313" s="1145"/>
      <c r="O313" s="1145"/>
      <c r="P313" s="1145"/>
      <c r="Q313" s="1145"/>
      <c r="R313" s="1145"/>
      <c r="S313" s="1145"/>
      <c r="T313" s="1145"/>
      <c r="U313" s="1145"/>
      <c r="V313" s="1145"/>
      <c r="W313" s="1146"/>
      <c r="AT313" s="331"/>
      <c r="AU313" s="331"/>
      <c r="AV313" s="331"/>
      <c r="AW313" s="331"/>
      <c r="AX313" s="331"/>
      <c r="AY313" s="331"/>
      <c r="AZ313" s="331"/>
      <c r="BA313" s="331"/>
      <c r="BB313" s="331"/>
      <c r="BC313" s="331"/>
      <c r="BD313" s="331"/>
      <c r="BE313" s="331"/>
      <c r="BF313" s="17"/>
      <c r="BG313" s="193"/>
      <c r="BH313" s="194"/>
      <c r="BI313" s="194"/>
      <c r="BJ313" s="194"/>
      <c r="BK313" s="194"/>
      <c r="BL313" s="194"/>
      <c r="BM313" s="194"/>
      <c r="BN313" s="194"/>
      <c r="BO313" s="194"/>
      <c r="BP313" s="195"/>
      <c r="BT313" s="352" t="s">
        <v>1237</v>
      </c>
      <c r="BU313" s="1761" t="s">
        <v>115</v>
      </c>
      <c r="BV313" s="1762"/>
      <c r="BW313" s="274">
        <f>'Вывод расчетов'!ER45</f>
        <v>4</v>
      </c>
      <c r="BX313" s="275" t="s">
        <v>50</v>
      </c>
      <c r="BY313" s="1748" t="s">
        <v>1247</v>
      </c>
      <c r="BZ313" s="1749"/>
      <c r="CE313" s="327"/>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208"/>
    </row>
    <row r="314" spans="2:118" ht="48.75" customHeight="1">
      <c r="B314" s="300"/>
      <c r="C314" s="300"/>
      <c r="D314" s="300"/>
      <c r="E314" s="300"/>
      <c r="F314" s="300"/>
      <c r="G314" s="300"/>
      <c r="H314" s="300"/>
      <c r="I314" s="300"/>
      <c r="J314" s="300"/>
      <c r="K314" s="300"/>
      <c r="L314" s="300"/>
      <c r="M314" s="1144"/>
      <c r="N314" s="1145"/>
      <c r="O314" s="1145"/>
      <c r="P314" s="1145"/>
      <c r="Q314" s="1145"/>
      <c r="R314" s="1145"/>
      <c r="S314" s="1145"/>
      <c r="T314" s="1145"/>
      <c r="U314" s="1145"/>
      <c r="V314" s="1145"/>
      <c r="W314" s="1146"/>
      <c r="AT314" s="331"/>
      <c r="AU314" s="331"/>
      <c r="AV314" s="331"/>
      <c r="AW314" s="331"/>
      <c r="AX314" s="331"/>
      <c r="AY314" s="331"/>
      <c r="AZ314" s="331"/>
      <c r="BA314" s="331"/>
      <c r="BB314" s="331"/>
      <c r="BC314" s="331"/>
      <c r="BD314" s="331"/>
      <c r="BE314" s="331"/>
      <c r="BF314" s="17"/>
      <c r="BG314" s="193"/>
      <c r="BH314" s="194"/>
      <c r="BI314" s="194"/>
      <c r="BJ314" s="194"/>
      <c r="BK314" s="194"/>
      <c r="BL314" s="194"/>
      <c r="BM314" s="194"/>
      <c r="BN314" s="194"/>
      <c r="BO314" s="194"/>
      <c r="BP314" s="195"/>
      <c r="BQ314" s="12"/>
      <c r="BR314" s="12"/>
      <c r="BS314" s="12"/>
      <c r="BT314" s="352" t="s">
        <v>1237</v>
      </c>
      <c r="BU314" s="1761" t="s">
        <v>116</v>
      </c>
      <c r="BV314" s="1762"/>
      <c r="BW314" s="274">
        <f>'Вывод расчетов'!EN82</f>
        <v>22.538160557818728</v>
      </c>
      <c r="BX314" s="275" t="s">
        <v>50</v>
      </c>
      <c r="BY314" s="1748" t="s">
        <v>1240</v>
      </c>
      <c r="BZ314" s="1749"/>
      <c r="CA314" s="12"/>
      <c r="CD314" s="12"/>
      <c r="CE314" s="327"/>
      <c r="CF314" s="12"/>
      <c r="CG314" s="12"/>
      <c r="CH314" s="12"/>
      <c r="CI314" s="209"/>
      <c r="CJ314" s="12"/>
      <c r="CK314" s="12"/>
      <c r="CL314" s="1766"/>
      <c r="CM314" s="1766"/>
      <c r="CN314" s="1766"/>
      <c r="CO314" s="1766"/>
      <c r="CP314" s="12"/>
      <c r="CQ314" s="12"/>
      <c r="CR314" s="12"/>
      <c r="CS314" s="12"/>
      <c r="CT314" s="12"/>
      <c r="CU314" s="12"/>
      <c r="CV314" s="273"/>
      <c r="CW314" s="297"/>
      <c r="CX314" s="1766"/>
      <c r="CY314" s="1766"/>
      <c r="CZ314" s="1766"/>
      <c r="DA314" s="1766"/>
      <c r="DB314" s="12"/>
      <c r="DC314" s="12"/>
      <c r="DD314" s="12"/>
      <c r="DE314" s="12"/>
      <c r="DF314" s="12"/>
      <c r="DG314" s="273"/>
      <c r="DH314" s="297"/>
      <c r="DI314" s="12"/>
      <c r="DJ314" s="1766"/>
      <c r="DK314" s="1766"/>
      <c r="DL314" s="1766"/>
      <c r="DM314" s="1766"/>
      <c r="DN314" s="208"/>
    </row>
    <row r="315" spans="2:118" ht="48.75" customHeight="1">
      <c r="B315" s="300"/>
      <c r="C315" s="300"/>
      <c r="D315" s="300"/>
      <c r="E315" s="300"/>
      <c r="F315" s="300"/>
      <c r="G315" s="300"/>
      <c r="H315" s="300"/>
      <c r="I315" s="300"/>
      <c r="J315" s="300"/>
      <c r="K315" s="300"/>
      <c r="L315" s="300"/>
      <c r="M315" s="1144"/>
      <c r="N315" s="1145"/>
      <c r="O315" s="1145"/>
      <c r="P315" s="1145"/>
      <c r="Q315" s="1145"/>
      <c r="R315" s="1145"/>
      <c r="S315" s="1145"/>
      <c r="T315" s="1145"/>
      <c r="U315" s="1145"/>
      <c r="V315" s="1145"/>
      <c r="W315" s="1146"/>
      <c r="AT315" s="331"/>
      <c r="AU315" s="331"/>
      <c r="AV315" s="331"/>
      <c r="AW315" s="331"/>
      <c r="AX315" s="331"/>
      <c r="AY315" s="331"/>
      <c r="AZ315" s="331"/>
      <c r="BA315" s="331"/>
      <c r="BB315" s="331"/>
      <c r="BC315" s="331"/>
      <c r="BD315" s="331"/>
      <c r="BE315" s="331"/>
      <c r="BF315" s="17"/>
      <c r="BG315" s="193"/>
      <c r="BH315" s="194"/>
      <c r="BI315" s="194"/>
      <c r="BJ315" s="194"/>
      <c r="BK315" s="194"/>
      <c r="BL315" s="194"/>
      <c r="BM315" s="194"/>
      <c r="BN315" s="194"/>
      <c r="BO315" s="194"/>
      <c r="BP315" s="195"/>
      <c r="BT315" s="352" t="s">
        <v>1237</v>
      </c>
      <c r="BU315" s="1761" t="s">
        <v>117</v>
      </c>
      <c r="BV315" s="1762"/>
      <c r="BW315" s="274">
        <f>'Вывод расчетов'!EN49</f>
        <v>26.688160557818726</v>
      </c>
      <c r="BX315" s="275" t="s">
        <v>50</v>
      </c>
      <c r="BY315" s="1748" t="s">
        <v>1248</v>
      </c>
      <c r="BZ315" s="1749"/>
      <c r="CE315" s="327"/>
      <c r="CF315" s="1765" t="s">
        <v>870</v>
      </c>
      <c r="CG315" s="1765"/>
      <c r="CH315" s="1765"/>
      <c r="CI315" s="283" t="s">
        <v>126</v>
      </c>
      <c r="CJ315" s="201" t="s">
        <v>731</v>
      </c>
      <c r="CK315" s="12"/>
      <c r="CL315" s="1766"/>
      <c r="CM315" s="1766"/>
      <c r="CN315" s="1766"/>
      <c r="CO315" s="1766"/>
      <c r="CP315" s="12"/>
      <c r="CQ315" s="12"/>
      <c r="CR315" s="1765" t="s">
        <v>866</v>
      </c>
      <c r="CS315" s="1765"/>
      <c r="CT315" s="1765"/>
      <c r="CU315" s="283" t="s">
        <v>126</v>
      </c>
      <c r="CV315" s="201" t="s">
        <v>731</v>
      </c>
      <c r="CW315" s="12"/>
      <c r="CX315" s="1766"/>
      <c r="CY315" s="1766"/>
      <c r="CZ315" s="1766"/>
      <c r="DA315" s="1766"/>
      <c r="DB315" s="12"/>
      <c r="DC315" s="12"/>
      <c r="DD315" s="1765" t="s">
        <v>869</v>
      </c>
      <c r="DE315" s="1765"/>
      <c r="DF315" s="1765"/>
      <c r="DG315" s="283" t="s">
        <v>126</v>
      </c>
      <c r="DH315" s="201" t="s">
        <v>731</v>
      </c>
      <c r="DI315" s="12"/>
      <c r="DJ315" s="1766"/>
      <c r="DK315" s="1766"/>
      <c r="DL315" s="1766"/>
      <c r="DM315" s="1766"/>
      <c r="DN315" s="208"/>
    </row>
    <row r="316" spans="2:118" ht="48.75" customHeight="1">
      <c r="B316" s="300"/>
      <c r="C316" s="300"/>
      <c r="D316" s="300"/>
      <c r="E316" s="300"/>
      <c r="F316" s="300"/>
      <c r="G316" s="300"/>
      <c r="H316" s="300"/>
      <c r="I316" s="300"/>
      <c r="J316" s="300"/>
      <c r="K316" s="300"/>
      <c r="L316" s="300"/>
      <c r="M316" s="1144"/>
      <c r="N316" s="1145"/>
      <c r="O316" s="1145"/>
      <c r="P316" s="1145"/>
      <c r="Q316" s="1145"/>
      <c r="R316" s="1145"/>
      <c r="S316" s="1145"/>
      <c r="T316" s="1145"/>
      <c r="U316" s="1145"/>
      <c r="V316" s="1145"/>
      <c r="W316" s="1146"/>
      <c r="AT316" s="331"/>
      <c r="AU316" s="331"/>
      <c r="AV316" s="331"/>
      <c r="AW316" s="331"/>
      <c r="AX316" s="331"/>
      <c r="AY316" s="331"/>
      <c r="AZ316" s="331"/>
      <c r="BA316" s="331"/>
      <c r="BB316" s="331"/>
      <c r="BC316" s="331"/>
      <c r="BD316" s="331"/>
      <c r="BE316" s="19"/>
      <c r="BF316" s="17"/>
      <c r="BG316" s="193"/>
      <c r="BH316" s="194"/>
      <c r="BI316" s="194"/>
      <c r="BJ316" s="194"/>
      <c r="BK316" s="194"/>
      <c r="BL316" s="194"/>
      <c r="BM316" s="194"/>
      <c r="BN316" s="194"/>
      <c r="BO316" s="194"/>
      <c r="BP316" s="195"/>
      <c r="BT316" s="352" t="s">
        <v>1237</v>
      </c>
      <c r="BU316" s="1763" t="s">
        <v>118</v>
      </c>
      <c r="BV316" s="1764"/>
      <c r="BW316" s="274">
        <f>'Вывод расчетов'!ER41</f>
        <v>1</v>
      </c>
      <c r="BX316" s="275" t="s">
        <v>50</v>
      </c>
      <c r="BY316" s="1748" t="s">
        <v>1249</v>
      </c>
      <c r="BZ316" s="1749"/>
      <c r="CE316" s="327"/>
      <c r="CF316" s="352" t="s">
        <v>1237</v>
      </c>
      <c r="CG316" s="1033" t="s">
        <v>119</v>
      </c>
      <c r="CH316" s="1033"/>
      <c r="CI316" s="9"/>
      <c r="CJ316" s="10"/>
      <c r="CK316" s="12"/>
      <c r="CL316" s="1766"/>
      <c r="CM316" s="1766"/>
      <c r="CN316" s="1766"/>
      <c r="CO316" s="1766"/>
      <c r="CP316" s="12"/>
      <c r="CQ316" s="12"/>
      <c r="CR316" s="352" t="s">
        <v>1237</v>
      </c>
      <c r="CS316" s="1748" t="s">
        <v>877</v>
      </c>
      <c r="CT316" s="1767"/>
      <c r="CU316" s="292"/>
      <c r="CV316" s="10"/>
      <c r="CW316" s="12"/>
      <c r="CX316" s="1766"/>
      <c r="CY316" s="1766"/>
      <c r="CZ316" s="1766"/>
      <c r="DA316" s="1766"/>
      <c r="DB316" s="12"/>
      <c r="DC316" s="12"/>
      <c r="DD316" s="352" t="s">
        <v>1237</v>
      </c>
      <c r="DE316" s="1748" t="s">
        <v>1245</v>
      </c>
      <c r="DF316" s="1749"/>
      <c r="DG316" s="292"/>
      <c r="DH316" s="292"/>
      <c r="DI316" s="12"/>
      <c r="DJ316" s="1766"/>
      <c r="DK316" s="1766"/>
      <c r="DL316" s="1766"/>
      <c r="DM316" s="1766"/>
      <c r="DN316" s="208"/>
    </row>
    <row r="317" spans="2:118" ht="48.75" customHeight="1">
      <c r="B317" s="300"/>
      <c r="C317" s="300"/>
      <c r="D317" s="300"/>
      <c r="E317" s="300"/>
      <c r="F317" s="300"/>
      <c r="G317" s="300"/>
      <c r="H317" s="300"/>
      <c r="I317" s="300"/>
      <c r="J317" s="300"/>
      <c r="K317" s="300"/>
      <c r="L317" s="300"/>
      <c r="M317" s="1144"/>
      <c r="N317" s="1145"/>
      <c r="O317" s="1145"/>
      <c r="P317" s="1145"/>
      <c r="Q317" s="1145"/>
      <c r="R317" s="1145"/>
      <c r="S317" s="1145"/>
      <c r="T317" s="1145"/>
      <c r="U317" s="1145"/>
      <c r="V317" s="1145"/>
      <c r="W317" s="1146"/>
      <c r="AT317" s="331"/>
      <c r="AU317" s="331"/>
      <c r="AV317" s="331"/>
      <c r="AW317" s="331"/>
      <c r="AX317" s="331"/>
      <c r="AY317" s="331"/>
      <c r="AZ317" s="331"/>
      <c r="BA317" s="331"/>
      <c r="BB317" s="331"/>
      <c r="BC317" s="331"/>
      <c r="BD317" s="331"/>
      <c r="BE317" s="19"/>
      <c r="BF317" s="17"/>
      <c r="BG317" s="193"/>
      <c r="BH317" s="194"/>
      <c r="BI317" s="194"/>
      <c r="BJ317" s="194"/>
      <c r="BK317" s="194"/>
      <c r="BL317" s="194"/>
      <c r="BM317" s="194"/>
      <c r="BN317" s="194"/>
      <c r="BO317" s="194"/>
      <c r="BP317" s="195"/>
      <c r="CE317" s="327"/>
      <c r="CF317" s="352" t="s">
        <v>1237</v>
      </c>
      <c r="CG317" s="1033" t="s">
        <v>102</v>
      </c>
      <c r="CH317" s="1033"/>
      <c r="CI317" s="9"/>
      <c r="CJ317" s="10"/>
      <c r="CK317" s="12"/>
      <c r="CL317" s="1766"/>
      <c r="CM317" s="1766"/>
      <c r="CN317" s="1766"/>
      <c r="CO317" s="1766"/>
      <c r="CP317" s="12"/>
      <c r="CQ317" s="12"/>
      <c r="CR317" s="352" t="s">
        <v>1237</v>
      </c>
      <c r="CS317" s="1748" t="s">
        <v>1247</v>
      </c>
      <c r="CT317" s="1767"/>
      <c r="CU317" s="292"/>
      <c r="CV317" s="10"/>
      <c r="CW317" s="12"/>
      <c r="CX317" s="1766"/>
      <c r="CY317" s="1766"/>
      <c r="CZ317" s="1766"/>
      <c r="DA317" s="1766"/>
      <c r="DB317" s="12"/>
      <c r="DC317" s="12"/>
      <c r="DD317" s="352" t="s">
        <v>1237</v>
      </c>
      <c r="DE317" s="1748" t="s">
        <v>877</v>
      </c>
      <c r="DF317" s="1749"/>
      <c r="DG317" s="292"/>
      <c r="DH317" s="292"/>
      <c r="DI317" s="12"/>
      <c r="DJ317" s="1766"/>
      <c r="DK317" s="1766"/>
      <c r="DL317" s="1766"/>
      <c r="DM317" s="1766"/>
      <c r="DN317" s="208"/>
    </row>
    <row r="318" spans="2:118" ht="48.75" customHeight="1">
      <c r="B318" s="300"/>
      <c r="C318" s="300"/>
      <c r="D318" s="300"/>
      <c r="E318" s="300"/>
      <c r="F318" s="300"/>
      <c r="G318" s="300"/>
      <c r="H318" s="300"/>
      <c r="I318" s="300"/>
      <c r="J318" s="300"/>
      <c r="K318" s="300"/>
      <c r="L318" s="300"/>
      <c r="M318" s="1144"/>
      <c r="N318" s="1145"/>
      <c r="O318" s="1145"/>
      <c r="P318" s="1145"/>
      <c r="Q318" s="1145"/>
      <c r="R318" s="1145"/>
      <c r="S318" s="1145"/>
      <c r="T318" s="1145"/>
      <c r="U318" s="1145"/>
      <c r="V318" s="1145"/>
      <c r="W318" s="1146"/>
      <c r="AT318" s="331"/>
      <c r="AU318" s="331"/>
      <c r="AV318" s="331"/>
      <c r="AW318" s="331"/>
      <c r="AX318" s="331"/>
      <c r="AY318" s="331"/>
      <c r="AZ318" s="331"/>
      <c r="BA318" s="331"/>
      <c r="BB318" s="331"/>
      <c r="BC318" s="331"/>
      <c r="BD318" s="331"/>
      <c r="BE318" s="19"/>
      <c r="BF318" s="17"/>
      <c r="BG318" s="193"/>
      <c r="BH318" s="194"/>
      <c r="BI318" s="194"/>
      <c r="BJ318" s="194"/>
      <c r="BK318" s="194"/>
      <c r="BL318" s="194"/>
      <c r="BM318" s="194"/>
      <c r="BN318" s="194"/>
      <c r="BO318" s="194"/>
      <c r="BP318" s="195"/>
      <c r="CE318" s="327"/>
      <c r="CF318" s="352" t="s">
        <v>1237</v>
      </c>
      <c r="CG318" s="1033" t="s">
        <v>103</v>
      </c>
      <c r="CH318" s="1033"/>
      <c r="CI318" s="9"/>
      <c r="CJ318" s="10"/>
      <c r="CK318" s="12"/>
      <c r="CL318" s="1766"/>
      <c r="CM318" s="1766"/>
      <c r="CN318" s="1766"/>
      <c r="CO318" s="1766"/>
      <c r="CP318" s="12"/>
      <c r="CQ318" s="12"/>
      <c r="CR318" s="352" t="s">
        <v>1237</v>
      </c>
      <c r="CS318" s="1748" t="s">
        <v>1240</v>
      </c>
      <c r="CT318" s="1767"/>
      <c r="CU318" s="292"/>
      <c r="CV318" s="10"/>
      <c r="CW318" s="12"/>
      <c r="CX318" s="1766"/>
      <c r="CY318" s="1766"/>
      <c r="CZ318" s="1766"/>
      <c r="DA318" s="1766"/>
      <c r="DB318" s="12"/>
      <c r="DC318" s="12"/>
      <c r="DD318" s="352" t="s">
        <v>1237</v>
      </c>
      <c r="DE318" s="1748" t="s">
        <v>1247</v>
      </c>
      <c r="DF318" s="1767"/>
      <c r="DG318" s="292"/>
      <c r="DH318" s="292"/>
      <c r="DI318" s="12"/>
      <c r="DJ318" s="1766"/>
      <c r="DK318" s="1766"/>
      <c r="DL318" s="1766"/>
      <c r="DM318" s="1766"/>
      <c r="DN318" s="208"/>
    </row>
    <row r="319" spans="2:118" ht="48.75" customHeight="1">
      <c r="B319" s="300"/>
      <c r="C319" s="300"/>
      <c r="D319" s="300"/>
      <c r="E319" s="300"/>
      <c r="F319" s="300"/>
      <c r="G319" s="300"/>
      <c r="H319" s="300"/>
      <c r="I319" s="300"/>
      <c r="J319" s="300"/>
      <c r="K319" s="300"/>
      <c r="L319" s="300"/>
      <c r="M319" s="1144"/>
      <c r="N319" s="1145"/>
      <c r="O319" s="1145"/>
      <c r="P319" s="1145"/>
      <c r="Q319" s="1145"/>
      <c r="R319" s="1145"/>
      <c r="S319" s="1145"/>
      <c r="T319" s="1145"/>
      <c r="U319" s="1145"/>
      <c r="V319" s="1145"/>
      <c r="W319" s="1146"/>
      <c r="AT319" s="331"/>
      <c r="AU319" s="331"/>
      <c r="AV319" s="331"/>
      <c r="AW319" s="331"/>
      <c r="AX319" s="331"/>
      <c r="AY319" s="331"/>
      <c r="AZ319" s="331"/>
      <c r="BA319" s="331"/>
      <c r="BB319" s="331"/>
      <c r="BC319" s="331"/>
      <c r="BD319" s="331"/>
      <c r="BE319" s="19"/>
      <c r="BF319" s="17"/>
      <c r="BG319" s="193"/>
      <c r="BH319" s="194"/>
      <c r="BI319" s="194"/>
      <c r="BJ319" s="194"/>
      <c r="BK319" s="194"/>
      <c r="BL319" s="194"/>
      <c r="BM319" s="194"/>
      <c r="BN319" s="194"/>
      <c r="BO319" s="194"/>
      <c r="BP319" s="195"/>
      <c r="CE319" s="327"/>
      <c r="CF319" s="352" t="s">
        <v>1237</v>
      </c>
      <c r="CG319" s="1033" t="s">
        <v>51</v>
      </c>
      <c r="CH319" s="1033"/>
      <c r="CI319" s="9"/>
      <c r="CJ319" s="10"/>
      <c r="CK319" s="12"/>
      <c r="CL319" s="1766"/>
      <c r="CM319" s="1766"/>
      <c r="CN319" s="1766"/>
      <c r="CO319" s="1766"/>
      <c r="CP319" s="12"/>
      <c r="CQ319" s="12"/>
      <c r="CR319" s="352" t="s">
        <v>1237</v>
      </c>
      <c r="CS319" s="1748" t="s">
        <v>1242</v>
      </c>
      <c r="CT319" s="1767"/>
      <c r="CU319" s="292"/>
      <c r="CV319" s="10"/>
      <c r="CW319" s="12"/>
      <c r="CX319" s="1766"/>
      <c r="CY319" s="1766"/>
      <c r="CZ319" s="1766"/>
      <c r="DA319" s="1766"/>
      <c r="DB319" s="12"/>
      <c r="DC319" s="12"/>
      <c r="DD319" s="352" t="s">
        <v>1237</v>
      </c>
      <c r="DE319" s="1748" t="s">
        <v>1240</v>
      </c>
      <c r="DF319" s="1767"/>
      <c r="DG319" s="292"/>
      <c r="DH319" s="292"/>
      <c r="DI319" s="12"/>
      <c r="DJ319" s="1766"/>
      <c r="DK319" s="1766"/>
      <c r="DL319" s="1766"/>
      <c r="DM319" s="1766"/>
      <c r="DN319" s="208"/>
    </row>
    <row r="320" spans="2:118" ht="48.75" customHeight="1">
      <c r="B320" s="300"/>
      <c r="C320" s="300"/>
      <c r="D320" s="300"/>
      <c r="E320" s="300"/>
      <c r="F320" s="300"/>
      <c r="G320" s="300"/>
      <c r="H320" s="300"/>
      <c r="I320" s="300"/>
      <c r="J320" s="300"/>
      <c r="K320" s="300"/>
      <c r="L320" s="300"/>
      <c r="M320" s="1144"/>
      <c r="N320" s="1145"/>
      <c r="O320" s="1145"/>
      <c r="P320" s="1145"/>
      <c r="Q320" s="1145"/>
      <c r="R320" s="1145"/>
      <c r="S320" s="1145"/>
      <c r="T320" s="1145"/>
      <c r="U320" s="1145"/>
      <c r="V320" s="1145"/>
      <c r="W320" s="1146"/>
      <c r="AT320" s="331"/>
      <c r="AU320" s="331"/>
      <c r="AV320" s="331"/>
      <c r="AW320" s="331"/>
      <c r="AX320" s="331"/>
      <c r="AY320" s="331"/>
      <c r="AZ320" s="331"/>
      <c r="BA320" s="331"/>
      <c r="BB320" s="331"/>
      <c r="BC320" s="331"/>
      <c r="BD320" s="331"/>
      <c r="BE320" s="19"/>
      <c r="BF320" s="17"/>
      <c r="BG320" s="193"/>
      <c r="BH320" s="194"/>
      <c r="BI320" s="194"/>
      <c r="BJ320" s="194"/>
      <c r="BK320" s="194"/>
      <c r="BL320" s="194"/>
      <c r="BM320" s="194"/>
      <c r="BN320" s="194"/>
      <c r="BO320" s="194"/>
      <c r="BP320" s="195"/>
      <c r="CE320" s="327"/>
      <c r="CF320" s="352" t="s">
        <v>1237</v>
      </c>
      <c r="CG320" s="1033" t="s">
        <v>98</v>
      </c>
      <c r="CH320" s="1033"/>
      <c r="CI320" s="9"/>
      <c r="CJ320" s="10"/>
      <c r="CK320" s="12"/>
      <c r="CL320" s="1766"/>
      <c r="CM320" s="1766"/>
      <c r="CN320" s="1766"/>
      <c r="CO320" s="1766"/>
      <c r="CP320" s="12"/>
      <c r="CQ320" s="12"/>
      <c r="CR320" s="352" t="s">
        <v>1237</v>
      </c>
      <c r="CS320" s="1748" t="s">
        <v>1244</v>
      </c>
      <c r="CT320" s="1767"/>
      <c r="CU320" s="292"/>
      <c r="CV320" s="10"/>
      <c r="CW320" s="12"/>
      <c r="CX320" s="1766"/>
      <c r="CY320" s="1766"/>
      <c r="CZ320" s="1766"/>
      <c r="DA320" s="1766"/>
      <c r="DB320" s="12"/>
      <c r="DC320" s="12"/>
      <c r="DD320" s="352" t="s">
        <v>1237</v>
      </c>
      <c r="DE320" s="1748" t="s">
        <v>1242</v>
      </c>
      <c r="DF320" s="1767"/>
      <c r="DG320" s="292"/>
      <c r="DH320" s="292"/>
      <c r="DI320" s="12"/>
      <c r="DJ320" s="1766"/>
      <c r="DK320" s="1766"/>
      <c r="DL320" s="1766"/>
      <c r="DM320" s="1766"/>
      <c r="DN320" s="208"/>
    </row>
    <row r="321" spans="2:118" ht="48.75" customHeight="1">
      <c r="B321" s="300"/>
      <c r="C321" s="300"/>
      <c r="D321" s="300"/>
      <c r="E321" s="300"/>
      <c r="F321" s="300"/>
      <c r="G321" s="300"/>
      <c r="H321" s="300"/>
      <c r="I321" s="300"/>
      <c r="J321" s="300"/>
      <c r="K321" s="300"/>
      <c r="L321" s="300"/>
      <c r="M321" s="1144"/>
      <c r="N321" s="1145"/>
      <c r="O321" s="1145"/>
      <c r="P321" s="1145"/>
      <c r="Q321" s="1145"/>
      <c r="R321" s="1145"/>
      <c r="S321" s="1145"/>
      <c r="T321" s="1145"/>
      <c r="U321" s="1145"/>
      <c r="V321" s="1145"/>
      <c r="W321" s="1146"/>
      <c r="AT321" s="331"/>
      <c r="AU321" s="331"/>
      <c r="AV321" s="331"/>
      <c r="AW321" s="331"/>
      <c r="AX321" s="331"/>
      <c r="AY321" s="331"/>
      <c r="AZ321" s="331"/>
      <c r="BA321" s="331"/>
      <c r="BB321" s="331"/>
      <c r="BC321" s="331"/>
      <c r="BD321" s="331"/>
      <c r="BE321" s="19"/>
      <c r="BF321" s="17"/>
      <c r="BG321" s="193"/>
      <c r="BH321" s="194"/>
      <c r="BI321" s="194"/>
      <c r="BJ321" s="194"/>
      <c r="BK321" s="194"/>
      <c r="BL321" s="194"/>
      <c r="BM321" s="194"/>
      <c r="BN321" s="194"/>
      <c r="BO321" s="194"/>
      <c r="BP321" s="195"/>
      <c r="CE321" s="327"/>
      <c r="CF321" s="352" t="s">
        <v>1237</v>
      </c>
      <c r="CG321" s="1033" t="s">
        <v>99</v>
      </c>
      <c r="CH321" s="1033"/>
      <c r="CI321" s="9"/>
      <c r="CJ321" s="10"/>
      <c r="CK321" s="12"/>
      <c r="CL321" s="1766"/>
      <c r="CM321" s="1766"/>
      <c r="CN321" s="1766"/>
      <c r="CO321" s="1766"/>
      <c r="CP321" s="12"/>
      <c r="CQ321" s="12"/>
      <c r="CR321" s="352" t="s">
        <v>1237</v>
      </c>
      <c r="CS321" s="1748" t="s">
        <v>1249</v>
      </c>
      <c r="CT321" s="1767"/>
      <c r="CU321" s="292"/>
      <c r="CV321" s="10"/>
      <c r="CW321" s="12"/>
      <c r="CX321" s="1766"/>
      <c r="CY321" s="1766"/>
      <c r="CZ321" s="1766"/>
      <c r="DA321" s="1766"/>
      <c r="DB321" s="12"/>
      <c r="DC321" s="12"/>
      <c r="DD321" s="352" t="s">
        <v>1237</v>
      </c>
      <c r="DE321" s="1748" t="s">
        <v>1244</v>
      </c>
      <c r="DF321" s="1767"/>
      <c r="DG321" s="292"/>
      <c r="DH321" s="292"/>
      <c r="DI321" s="12"/>
      <c r="DJ321" s="1766"/>
      <c r="DK321" s="1766"/>
      <c r="DL321" s="1766"/>
      <c r="DM321" s="1766"/>
      <c r="DN321" s="208"/>
    </row>
    <row r="322" spans="2:118" ht="48.75" customHeight="1">
      <c r="B322" s="300"/>
      <c r="C322" s="300"/>
      <c r="D322" s="300"/>
      <c r="E322" s="300"/>
      <c r="F322" s="300"/>
      <c r="G322" s="300"/>
      <c r="H322" s="300"/>
      <c r="I322" s="300"/>
      <c r="J322" s="300"/>
      <c r="K322" s="300"/>
      <c r="L322" s="300"/>
      <c r="M322" s="1144"/>
      <c r="N322" s="1145"/>
      <c r="O322" s="1145"/>
      <c r="P322" s="1145"/>
      <c r="Q322" s="1145"/>
      <c r="R322" s="1145"/>
      <c r="S322" s="1145"/>
      <c r="T322" s="1145"/>
      <c r="U322" s="1145"/>
      <c r="V322" s="1145"/>
      <c r="W322" s="1146"/>
      <c r="BE322" s="19"/>
      <c r="BF322" s="17"/>
      <c r="BG322" s="193"/>
      <c r="BH322" s="194"/>
      <c r="BI322" s="194"/>
      <c r="BJ322" s="194"/>
      <c r="BK322" s="194"/>
      <c r="BL322" s="194"/>
      <c r="BM322" s="194"/>
      <c r="BN322" s="194"/>
      <c r="BO322" s="194"/>
      <c r="BP322" s="195"/>
      <c r="CE322" s="327"/>
      <c r="CF322" s="352" t="s">
        <v>1237</v>
      </c>
      <c r="CG322" s="1033" t="s">
        <v>101</v>
      </c>
      <c r="CH322" s="1033"/>
      <c r="CI322" s="9"/>
      <c r="CJ322" s="10"/>
      <c r="CK322" s="12"/>
      <c r="CL322" s="1766"/>
      <c r="CM322" s="1766"/>
      <c r="CN322" s="1766"/>
      <c r="CO322" s="1766"/>
      <c r="CP322" s="12"/>
      <c r="CQ322" s="12"/>
      <c r="CR322" s="12"/>
      <c r="CS322" s="12"/>
      <c r="CT322" s="12"/>
      <c r="CU322" s="12"/>
      <c r="CV322" s="273"/>
      <c r="CW322" s="297"/>
      <c r="CX322" s="1766"/>
      <c r="CY322" s="1766"/>
      <c r="CZ322" s="1766"/>
      <c r="DA322" s="1766"/>
      <c r="DB322" s="12"/>
      <c r="DC322" s="12"/>
      <c r="DD322" s="352" t="s">
        <v>1237</v>
      </c>
      <c r="DE322" s="1748" t="s">
        <v>1249</v>
      </c>
      <c r="DF322" s="1767"/>
      <c r="DG322" s="292"/>
      <c r="DH322" s="292"/>
      <c r="DI322" s="12"/>
      <c r="DJ322" s="1766"/>
      <c r="DK322" s="1766"/>
      <c r="DL322" s="1766"/>
      <c r="DM322" s="1766"/>
      <c r="DN322" s="208"/>
    </row>
    <row r="323" spans="2:118" ht="48.75" customHeight="1">
      <c r="B323" s="300"/>
      <c r="C323" s="300"/>
      <c r="D323" s="300"/>
      <c r="E323" s="300"/>
      <c r="F323" s="300"/>
      <c r="G323" s="300"/>
      <c r="H323" s="300"/>
      <c r="I323" s="300"/>
      <c r="J323" s="300"/>
      <c r="K323" s="300"/>
      <c r="L323" s="300"/>
      <c r="M323" s="1147"/>
      <c r="N323" s="1148"/>
      <c r="O323" s="1148"/>
      <c r="P323" s="1148"/>
      <c r="Q323" s="1148"/>
      <c r="R323" s="1148"/>
      <c r="S323" s="1148"/>
      <c r="T323" s="1148"/>
      <c r="U323" s="1148"/>
      <c r="V323" s="1148"/>
      <c r="W323" s="1149"/>
      <c r="BE323" s="19"/>
      <c r="BF323" s="17"/>
      <c r="BG323" s="193"/>
      <c r="BH323" s="194"/>
      <c r="BI323" s="194"/>
      <c r="BJ323" s="194"/>
      <c r="BK323" s="194"/>
      <c r="BL323" s="194"/>
      <c r="BM323" s="194"/>
      <c r="BN323" s="194"/>
      <c r="BO323" s="194"/>
      <c r="BP323" s="195"/>
      <c r="CE323" s="327"/>
      <c r="CF323" s="12"/>
      <c r="CG323" s="12"/>
      <c r="CH323" s="12"/>
      <c r="CI323" s="209"/>
      <c r="CJ323" s="12"/>
      <c r="CK323" s="12"/>
      <c r="CL323" s="1766"/>
      <c r="CM323" s="1766"/>
      <c r="CN323" s="1766"/>
      <c r="CO323" s="1766"/>
      <c r="CP323" s="12"/>
      <c r="CQ323" s="12"/>
      <c r="CR323" s="12"/>
      <c r="CS323" s="12"/>
      <c r="CT323" s="12"/>
      <c r="CU323" s="12"/>
      <c r="CV323" s="273"/>
      <c r="CW323" s="297"/>
      <c r="CX323" s="1766"/>
      <c r="CY323" s="1766"/>
      <c r="CZ323" s="1766"/>
      <c r="DA323" s="1766"/>
      <c r="DB323" s="12"/>
      <c r="DC323" s="12"/>
      <c r="DD323" s="12"/>
      <c r="DE323" s="12"/>
      <c r="DF323" s="12"/>
      <c r="DG323" s="273"/>
      <c r="DH323" s="297"/>
      <c r="DI323" s="12"/>
      <c r="DJ323" s="1766"/>
      <c r="DK323" s="1766"/>
      <c r="DL323" s="1766"/>
      <c r="DM323" s="1766"/>
      <c r="DN323" s="208"/>
    </row>
    <row r="324" spans="2:118" ht="48.75" customHeight="1">
      <c r="B324" s="300"/>
      <c r="C324" s="300"/>
      <c r="D324" s="300"/>
      <c r="E324" s="300"/>
      <c r="F324" s="300"/>
      <c r="G324" s="300"/>
      <c r="H324" s="300"/>
      <c r="I324" s="300"/>
      <c r="J324" s="300"/>
      <c r="K324" s="300"/>
      <c r="L324" s="300"/>
      <c r="BE324" s="19"/>
      <c r="BF324" s="17"/>
      <c r="BG324" s="193"/>
      <c r="BH324" s="194"/>
      <c r="BI324" s="194"/>
      <c r="BJ324" s="194"/>
      <c r="BK324" s="194"/>
      <c r="BL324" s="194"/>
      <c r="BM324" s="194"/>
      <c r="BN324" s="591" t="s">
        <v>1800</v>
      </c>
      <c r="BO324" s="594">
        <f>'Вывод расчетов'!$MQ$170</f>
        <v>1.5</v>
      </c>
      <c r="BP324" s="195"/>
      <c r="CE324" s="327"/>
      <c r="CF324" s="12"/>
      <c r="CG324" s="12"/>
      <c r="CH324" s="12"/>
      <c r="CI324" s="209"/>
      <c r="CJ324" s="12"/>
      <c r="CK324" s="12"/>
      <c r="CL324" s="1766"/>
      <c r="CM324" s="1766"/>
      <c r="CN324" s="1766"/>
      <c r="CO324" s="1766"/>
      <c r="CP324" s="12"/>
      <c r="CQ324" s="12"/>
      <c r="CR324" s="12"/>
      <c r="CS324" s="12"/>
      <c r="CT324" s="12"/>
      <c r="CU324" s="12"/>
      <c r="CV324" s="273"/>
      <c r="CW324" s="297"/>
      <c r="CX324" s="1766"/>
      <c r="CY324" s="1766"/>
      <c r="CZ324" s="1766"/>
      <c r="DA324" s="1766"/>
      <c r="DB324" s="12"/>
      <c r="DC324" s="12"/>
      <c r="DD324" s="12"/>
      <c r="DE324" s="12"/>
      <c r="DF324" s="12"/>
      <c r="DG324" s="12"/>
      <c r="DH324" s="297"/>
      <c r="DI324" s="12"/>
      <c r="DJ324" s="1766"/>
      <c r="DK324" s="1766"/>
      <c r="DL324" s="1766"/>
      <c r="DM324" s="1766"/>
      <c r="DN324" s="208"/>
    </row>
    <row r="325" spans="2:118" ht="48.75" customHeight="1">
      <c r="B325" s="300"/>
      <c r="C325" s="300"/>
      <c r="D325" s="300"/>
      <c r="E325" s="300"/>
      <c r="F325" s="300"/>
      <c r="G325" s="300"/>
      <c r="H325" s="300"/>
      <c r="I325" s="300"/>
      <c r="J325" s="300"/>
      <c r="K325" s="300"/>
      <c r="L325" s="300"/>
      <c r="M325" s="300"/>
      <c r="V325" s="317"/>
      <c r="W325" s="317"/>
      <c r="X325" s="317"/>
      <c r="Y325" s="317"/>
      <c r="AC325" s="12"/>
      <c r="AD325" s="334"/>
      <c r="BE325" s="19"/>
      <c r="BF325" s="17"/>
      <c r="BG325" s="193"/>
      <c r="BH325" s="194"/>
      <c r="BI325" s="194"/>
      <c r="BJ325" s="194"/>
      <c r="BK325" s="194"/>
      <c r="BL325" s="194"/>
      <c r="BM325" s="194"/>
      <c r="BN325" s="593" t="s">
        <v>1437</v>
      </c>
      <c r="BO325" s="590">
        <f>'Вывод расчетов'!$MF$174</f>
        <v>0.55562400380839561</v>
      </c>
      <c r="BP325" s="195"/>
      <c r="CE325" s="327"/>
      <c r="CF325" s="12"/>
      <c r="CG325" s="12"/>
      <c r="CH325" s="12"/>
      <c r="CI325" s="209"/>
      <c r="CJ325" s="12"/>
      <c r="CK325" s="12"/>
      <c r="CL325" s="1766"/>
      <c r="CM325" s="1766"/>
      <c r="CN325" s="1766"/>
      <c r="CO325" s="1766"/>
      <c r="CP325" s="12"/>
      <c r="CQ325" s="12"/>
      <c r="CR325" s="12"/>
      <c r="CS325" s="12"/>
      <c r="CT325" s="12"/>
      <c r="CU325" s="12"/>
      <c r="CV325" s="12"/>
      <c r="CW325" s="12"/>
      <c r="CX325" s="12"/>
      <c r="CY325" s="12"/>
      <c r="CZ325" s="12"/>
      <c r="DA325" s="12"/>
      <c r="DB325" s="12"/>
      <c r="DC325" s="12"/>
      <c r="DD325" s="12"/>
      <c r="DE325" s="12"/>
      <c r="DF325" s="12"/>
      <c r="DG325" s="273"/>
      <c r="DH325" s="297"/>
      <c r="DI325" s="12"/>
      <c r="DJ325" s="1766"/>
      <c r="DK325" s="1766"/>
      <c r="DL325" s="1766"/>
      <c r="DM325" s="1766"/>
      <c r="DN325" s="208"/>
    </row>
    <row r="326" spans="2:118" ht="48.75" customHeight="1">
      <c r="B326" s="300"/>
      <c r="C326" s="300"/>
      <c r="D326" s="300"/>
      <c r="E326" s="300"/>
      <c r="F326" s="300"/>
      <c r="G326" s="300"/>
      <c r="H326" s="300"/>
      <c r="I326" s="300"/>
      <c r="J326" s="300"/>
      <c r="K326" s="300"/>
      <c r="L326" s="300"/>
      <c r="M326" s="300"/>
      <c r="V326" s="317"/>
      <c r="W326" s="317"/>
      <c r="X326" s="317"/>
      <c r="Y326" s="317"/>
      <c r="AC326" s="12"/>
      <c r="AD326" s="334"/>
      <c r="AK326" s="1405" t="s">
        <v>755</v>
      </c>
      <c r="AL326" s="1406"/>
      <c r="AM326" s="1406"/>
      <c r="AN326" s="1406"/>
      <c r="AO326" s="1406"/>
      <c r="AP326" s="1407"/>
      <c r="AQ326" s="140"/>
      <c r="BE326" s="19"/>
      <c r="BF326" s="17"/>
      <c r="BG326" s="193"/>
      <c r="BH326" s="194"/>
      <c r="BI326" s="194"/>
      <c r="BJ326" s="194"/>
      <c r="BK326" s="194"/>
      <c r="BL326" s="194"/>
      <c r="BM326" s="194"/>
      <c r="BN326" s="194"/>
      <c r="BO326" s="194"/>
      <c r="BP326" s="195"/>
      <c r="CE326" s="327"/>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208"/>
    </row>
    <row r="327" spans="2:118" ht="48.75" customHeight="1">
      <c r="B327" s="1728" t="s">
        <v>685</v>
      </c>
      <c r="C327" s="1724"/>
      <c r="D327" s="1724"/>
      <c r="E327" s="1724"/>
      <c r="F327" s="1724"/>
      <c r="G327" s="1724"/>
      <c r="H327" s="1724"/>
      <c r="I327" s="1724"/>
      <c r="J327" s="1073"/>
      <c r="M327" s="1728" t="s">
        <v>686</v>
      </c>
      <c r="N327" s="1724"/>
      <c r="O327" s="1724"/>
      <c r="P327" s="1724"/>
      <c r="Q327" s="1724"/>
      <c r="R327" s="1724"/>
      <c r="S327" s="1073"/>
      <c r="U327" s="317"/>
      <c r="V327" s="317"/>
      <c r="X327" s="1728" t="s">
        <v>684</v>
      </c>
      <c r="Y327" s="1724"/>
      <c r="Z327" s="1724"/>
      <c r="AA327" s="1724"/>
      <c r="AB327" s="1725"/>
      <c r="AC327" s="114"/>
      <c r="AD327" s="334"/>
      <c r="AK327" s="1141"/>
      <c r="AL327" s="1142"/>
      <c r="AM327" s="1142"/>
      <c r="AN327" s="1142"/>
      <c r="AO327" s="1142"/>
      <c r="AP327" s="1142"/>
      <c r="AQ327" s="1143"/>
      <c r="BE327" s="19"/>
      <c r="BF327" s="17"/>
      <c r="BG327" s="193"/>
      <c r="BH327" s="194"/>
      <c r="BI327" s="194"/>
      <c r="BJ327" s="194"/>
      <c r="BK327" s="194"/>
      <c r="BL327" s="194"/>
      <c r="BM327" s="194"/>
      <c r="BN327" s="194"/>
      <c r="BO327" s="194"/>
      <c r="BP327" s="195"/>
      <c r="CE327" s="327"/>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208"/>
    </row>
    <row r="328" spans="2:118" ht="48.75" customHeight="1">
      <c r="B328" s="1729"/>
      <c r="C328" s="1726"/>
      <c r="D328" s="1726"/>
      <c r="E328" s="1726"/>
      <c r="F328" s="1726"/>
      <c r="G328" s="1726"/>
      <c r="H328" s="1726"/>
      <c r="I328" s="1726"/>
      <c r="J328" s="1072"/>
      <c r="M328" s="1729"/>
      <c r="N328" s="1726"/>
      <c r="O328" s="1726"/>
      <c r="P328" s="1726"/>
      <c r="Q328" s="1726"/>
      <c r="R328" s="1726"/>
      <c r="S328" s="1798"/>
      <c r="U328" s="317"/>
      <c r="V328" s="317"/>
      <c r="X328" s="1745"/>
      <c r="Y328" s="1746"/>
      <c r="Z328" s="1746"/>
      <c r="AA328" s="1746"/>
      <c r="AB328" s="1747"/>
      <c r="AC328" s="111"/>
      <c r="AD328" s="334"/>
      <c r="AK328" s="1144"/>
      <c r="AL328" s="1145"/>
      <c r="AM328" s="1145"/>
      <c r="AN328" s="1145"/>
      <c r="AO328" s="1145"/>
      <c r="AP328" s="1145"/>
      <c r="AQ328" s="1146"/>
      <c r="BE328" s="19"/>
      <c r="BF328" s="17"/>
      <c r="BG328" s="193"/>
      <c r="BH328" s="194"/>
      <c r="BI328" s="194"/>
      <c r="BJ328" s="194"/>
      <c r="BK328" s="194"/>
      <c r="BL328" s="194"/>
      <c r="BM328" s="194"/>
      <c r="BN328" s="194"/>
      <c r="BO328" s="194"/>
      <c r="BP328" s="195"/>
      <c r="CE328" s="327"/>
      <c r="CF328" s="12"/>
      <c r="CG328" s="12"/>
      <c r="CH328" s="12"/>
      <c r="CI328" s="12"/>
      <c r="CJ328" s="12"/>
      <c r="CK328" s="12"/>
      <c r="CL328" s="12"/>
      <c r="CM328" s="12"/>
      <c r="CN328" s="12"/>
      <c r="CO328" s="12"/>
      <c r="CP328" s="328"/>
      <c r="CQ328" s="328"/>
      <c r="CR328" s="12"/>
      <c r="CS328" s="12"/>
      <c r="CT328" s="12"/>
      <c r="CU328" s="12"/>
      <c r="CV328" s="12"/>
      <c r="CW328" s="12"/>
      <c r="CX328" s="12"/>
      <c r="CY328" s="12"/>
      <c r="CZ328" s="12"/>
      <c r="DA328" s="12"/>
      <c r="DB328" s="328"/>
      <c r="DC328" s="328"/>
      <c r="DD328" s="12"/>
      <c r="DE328" s="12"/>
      <c r="DF328" s="12"/>
      <c r="DG328" s="12"/>
      <c r="DH328" s="12"/>
      <c r="DI328" s="12"/>
      <c r="DJ328" s="12"/>
      <c r="DK328" s="12"/>
      <c r="DL328" s="12"/>
      <c r="DM328" s="12"/>
      <c r="DN328" s="208"/>
    </row>
    <row r="329" spans="2:118" ht="48.75" customHeight="1">
      <c r="B329" s="1386"/>
      <c r="C329" s="1386"/>
      <c r="D329" s="1386"/>
      <c r="E329" s="1386"/>
      <c r="F329" s="1386"/>
      <c r="G329" s="1386"/>
      <c r="H329" s="1386"/>
      <c r="I329" s="1386"/>
      <c r="J329" s="1386"/>
      <c r="M329" s="1141"/>
      <c r="N329" s="1142"/>
      <c r="O329" s="1142"/>
      <c r="P329" s="1142"/>
      <c r="Q329" s="1142"/>
      <c r="R329" s="1142"/>
      <c r="S329" s="1143"/>
      <c r="U329" s="317"/>
      <c r="V329" s="317"/>
      <c r="X329" s="1729"/>
      <c r="Y329" s="1726"/>
      <c r="Z329" s="1726"/>
      <c r="AA329" s="1726"/>
      <c r="AB329" s="1727"/>
      <c r="AC329" s="115"/>
      <c r="AD329" s="334"/>
      <c r="AK329" s="1144"/>
      <c r="AL329" s="1145"/>
      <c r="AM329" s="1145"/>
      <c r="AN329" s="1145"/>
      <c r="AO329" s="1145"/>
      <c r="AP329" s="1145"/>
      <c r="AQ329" s="1146"/>
      <c r="BE329" s="19"/>
      <c r="BF329" s="17"/>
      <c r="BG329" s="193"/>
      <c r="BH329" s="194"/>
      <c r="BI329" s="194"/>
      <c r="BJ329" s="194"/>
      <c r="BK329" s="194"/>
      <c r="BL329" s="194"/>
      <c r="BM329" s="194"/>
      <c r="BN329" s="194"/>
      <c r="BO329" s="194"/>
      <c r="BP329" s="195"/>
      <c r="CE329" s="327"/>
      <c r="CF329" s="328"/>
      <c r="CG329" s="328"/>
      <c r="CH329" s="328"/>
      <c r="CI329" s="12"/>
      <c r="CJ329" s="12"/>
      <c r="CK329" s="12"/>
      <c r="CL329" s="12"/>
      <c r="CM329" s="12"/>
      <c r="CN329" s="12"/>
      <c r="CO329" s="12"/>
      <c r="CP329" s="328"/>
      <c r="CQ329" s="328"/>
      <c r="CR329" s="12"/>
      <c r="CS329" s="12"/>
      <c r="CT329" s="12"/>
      <c r="CU329" s="12"/>
      <c r="CV329" s="12"/>
      <c r="CW329" s="12"/>
      <c r="CX329" s="12"/>
      <c r="CY329" s="12"/>
      <c r="CZ329" s="12"/>
      <c r="DA329" s="12"/>
      <c r="DB329" s="328"/>
      <c r="DC329" s="328"/>
      <c r="DD329" s="12"/>
      <c r="DE329" s="12"/>
      <c r="DF329" s="12"/>
      <c r="DG329" s="12"/>
      <c r="DH329" s="12"/>
      <c r="DI329" s="12"/>
      <c r="DJ329" s="12"/>
      <c r="DK329" s="12"/>
      <c r="DL329" s="12"/>
      <c r="DM329" s="12"/>
      <c r="DN329" s="208"/>
    </row>
    <row r="330" spans="2:118" ht="48.75" customHeight="1">
      <c r="B330" s="1386"/>
      <c r="C330" s="1386"/>
      <c r="D330" s="1386"/>
      <c r="E330" s="1386"/>
      <c r="F330" s="1386"/>
      <c r="G330" s="1386"/>
      <c r="H330" s="1386"/>
      <c r="I330" s="1386"/>
      <c r="J330" s="1386"/>
      <c r="M330" s="1144"/>
      <c r="N330" s="1145"/>
      <c r="O330" s="1145"/>
      <c r="P330" s="1145"/>
      <c r="Q330" s="1145"/>
      <c r="R330" s="1145"/>
      <c r="S330" s="1146"/>
      <c r="U330" s="317"/>
      <c r="V330" s="317"/>
      <c r="X330" s="1141"/>
      <c r="Y330" s="1142"/>
      <c r="Z330" s="1142"/>
      <c r="AA330" s="1142"/>
      <c r="AB330" s="1142"/>
      <c r="AC330" s="1143"/>
      <c r="AD330" s="334"/>
      <c r="AK330" s="1144"/>
      <c r="AL330" s="1145"/>
      <c r="AM330" s="1145"/>
      <c r="AN330" s="1145"/>
      <c r="AO330" s="1145"/>
      <c r="AP330" s="1145"/>
      <c r="AQ330" s="1146"/>
      <c r="BE330" s="19"/>
      <c r="BF330" s="17"/>
      <c r="BG330" s="193"/>
      <c r="BH330" s="194"/>
      <c r="BI330" s="194"/>
      <c r="BJ330" s="194"/>
      <c r="BK330" s="194"/>
      <c r="BL330" s="194"/>
      <c r="BM330" s="194"/>
      <c r="BN330" s="194"/>
      <c r="BO330" s="194"/>
      <c r="BP330" s="195"/>
      <c r="CE330" s="327"/>
      <c r="CF330" s="328"/>
      <c r="CG330" s="12"/>
      <c r="CH330" s="12"/>
      <c r="CI330" s="273"/>
      <c r="CJ330" s="297"/>
      <c r="CK330" s="12"/>
      <c r="CL330" s="1768"/>
      <c r="CM330" s="1769"/>
      <c r="CN330" s="1769"/>
      <c r="CO330" s="1770"/>
      <c r="CP330" s="328"/>
      <c r="CQ330" s="12"/>
      <c r="CR330" s="12"/>
      <c r="CS330" s="12"/>
      <c r="CT330" s="12"/>
      <c r="CU330" s="12"/>
      <c r="CV330" s="12"/>
      <c r="CW330" s="12"/>
      <c r="CX330" s="1777"/>
      <c r="CY330" s="1778"/>
      <c r="CZ330" s="1778"/>
      <c r="DA330" s="1779"/>
      <c r="DB330" s="12"/>
      <c r="DC330" s="12"/>
      <c r="DD330" s="12"/>
      <c r="DE330" s="12"/>
      <c r="DF330" s="12"/>
      <c r="DG330" s="12"/>
      <c r="DH330" s="12"/>
      <c r="DI330" s="12"/>
      <c r="DJ330" s="1777"/>
      <c r="DK330" s="1778"/>
      <c r="DL330" s="1778"/>
      <c r="DM330" s="1779"/>
      <c r="DN330" s="208"/>
    </row>
    <row r="331" spans="2:118" ht="48.75" customHeight="1">
      <c r="B331" s="1386"/>
      <c r="C331" s="1386"/>
      <c r="D331" s="1386"/>
      <c r="E331" s="1386"/>
      <c r="F331" s="1386"/>
      <c r="G331" s="1386"/>
      <c r="H331" s="1386"/>
      <c r="I331" s="1386"/>
      <c r="J331" s="1386"/>
      <c r="M331" s="1144"/>
      <c r="N331" s="1145"/>
      <c r="O331" s="1145"/>
      <c r="P331" s="1145"/>
      <c r="Q331" s="1145"/>
      <c r="R331" s="1145"/>
      <c r="S331" s="1146"/>
      <c r="U331" s="317"/>
      <c r="V331" s="317"/>
      <c r="X331" s="1144"/>
      <c r="Y331" s="1145"/>
      <c r="Z331" s="1145"/>
      <c r="AA331" s="1145"/>
      <c r="AB331" s="1145"/>
      <c r="AC331" s="1146"/>
      <c r="AD331" s="334"/>
      <c r="AK331" s="1144"/>
      <c r="AL331" s="1145"/>
      <c r="AM331" s="1145"/>
      <c r="AN331" s="1145"/>
      <c r="AO331" s="1145"/>
      <c r="AP331" s="1145"/>
      <c r="AQ331" s="1146"/>
      <c r="BE331" s="19"/>
      <c r="BF331" s="17"/>
      <c r="BG331" s="193"/>
      <c r="BH331" s="194"/>
      <c r="BI331" s="194"/>
      <c r="BJ331" s="194"/>
      <c r="BK331" s="194"/>
      <c r="BL331" s="194"/>
      <c r="BM331" s="194"/>
      <c r="BN331" s="194"/>
      <c r="BO331" s="194"/>
      <c r="BP331" s="195"/>
      <c r="CE331" s="327"/>
      <c r="CF331" s="1765" t="s">
        <v>871</v>
      </c>
      <c r="CG331" s="1765"/>
      <c r="CH331" s="1765"/>
      <c r="CI331" s="283" t="s">
        <v>126</v>
      </c>
      <c r="CJ331" s="201" t="s">
        <v>731</v>
      </c>
      <c r="CK331" s="12"/>
      <c r="CL331" s="1771"/>
      <c r="CM331" s="1772"/>
      <c r="CN331" s="1772"/>
      <c r="CO331" s="1773"/>
      <c r="CP331" s="328"/>
      <c r="CQ331" s="12"/>
      <c r="CR331" s="1765" t="s">
        <v>867</v>
      </c>
      <c r="CS331" s="1765"/>
      <c r="CT331" s="1765"/>
      <c r="CU331" s="283" t="s">
        <v>126</v>
      </c>
      <c r="CV331" s="201" t="s">
        <v>731</v>
      </c>
      <c r="CW331" s="12"/>
      <c r="CX331" s="1780"/>
      <c r="CY331" s="1781"/>
      <c r="CZ331" s="1781"/>
      <c r="DA331" s="1782"/>
      <c r="DB331" s="12"/>
      <c r="DC331" s="12"/>
      <c r="DD331" s="1765" t="s">
        <v>872</v>
      </c>
      <c r="DE331" s="1765"/>
      <c r="DF331" s="1765"/>
      <c r="DG331" s="283" t="s">
        <v>126</v>
      </c>
      <c r="DH331" s="201" t="s">
        <v>731</v>
      </c>
      <c r="DI331" s="12"/>
      <c r="DJ331" s="1780"/>
      <c r="DK331" s="1781"/>
      <c r="DL331" s="1781"/>
      <c r="DM331" s="1782"/>
      <c r="DN331" s="208"/>
    </row>
    <row r="332" spans="2:118" ht="48.75" customHeight="1">
      <c r="B332" s="1386"/>
      <c r="C332" s="1386"/>
      <c r="D332" s="1386"/>
      <c r="E332" s="1386"/>
      <c r="F332" s="1386"/>
      <c r="G332" s="1386"/>
      <c r="H332" s="1386"/>
      <c r="I332" s="1386"/>
      <c r="J332" s="1386"/>
      <c r="M332" s="1144"/>
      <c r="N332" s="1145"/>
      <c r="O332" s="1145"/>
      <c r="P332" s="1145"/>
      <c r="Q332" s="1145"/>
      <c r="R332" s="1145"/>
      <c r="S332" s="1146"/>
      <c r="U332" s="317"/>
      <c r="V332" s="317"/>
      <c r="X332" s="1144"/>
      <c r="Y332" s="1145"/>
      <c r="Z332" s="1145"/>
      <c r="AA332" s="1145"/>
      <c r="AB332" s="1145"/>
      <c r="AC332" s="1146"/>
      <c r="AD332" s="334"/>
      <c r="AF332" s="300"/>
      <c r="AG332" s="300"/>
      <c r="AH332" s="300"/>
      <c r="AK332" s="1144"/>
      <c r="AL332" s="1145"/>
      <c r="AM332" s="1145"/>
      <c r="AN332" s="1145"/>
      <c r="AO332" s="1145"/>
      <c r="AP332" s="1145"/>
      <c r="AQ332" s="1146"/>
      <c r="BE332" s="19"/>
      <c r="BF332" s="17"/>
      <c r="BG332" s="193"/>
      <c r="BH332" s="194"/>
      <c r="BI332" s="194"/>
      <c r="BJ332" s="194"/>
      <c r="BK332" s="194"/>
      <c r="BL332" s="194"/>
      <c r="BM332" s="194"/>
      <c r="BN332" s="194"/>
      <c r="BO332" s="194"/>
      <c r="BP332" s="195"/>
      <c r="CE332" s="327"/>
      <c r="CF332" s="352" t="s">
        <v>1237</v>
      </c>
      <c r="CG332" s="1033" t="s">
        <v>102</v>
      </c>
      <c r="CH332" s="1033"/>
      <c r="CI332" s="276">
        <f>BW312</f>
        <v>14.621707563485572</v>
      </c>
      <c r="CJ332" s="275" t="s">
        <v>50</v>
      </c>
      <c r="CK332" s="12"/>
      <c r="CL332" s="1771"/>
      <c r="CM332" s="1772"/>
      <c r="CN332" s="1772"/>
      <c r="CO332" s="1773"/>
      <c r="CP332" s="328"/>
      <c r="CQ332" s="12"/>
      <c r="CR332" s="352" t="s">
        <v>1237</v>
      </c>
      <c r="CS332" s="1033" t="s">
        <v>102</v>
      </c>
      <c r="CT332" s="1033"/>
      <c r="CU332" s="10"/>
      <c r="CV332" s="10"/>
      <c r="CW332" s="12"/>
      <c r="CX332" s="1780"/>
      <c r="CY332" s="1781"/>
      <c r="CZ332" s="1781"/>
      <c r="DA332" s="1782"/>
      <c r="DB332" s="12"/>
      <c r="DC332" s="12"/>
      <c r="DD332" s="352" t="s">
        <v>1237</v>
      </c>
      <c r="DE332" s="1033" t="s">
        <v>102</v>
      </c>
      <c r="DF332" s="1033"/>
      <c r="DG332" s="10"/>
      <c r="DH332" s="10"/>
      <c r="DI332" s="12"/>
      <c r="DJ332" s="1780"/>
      <c r="DK332" s="1781"/>
      <c r="DL332" s="1781"/>
      <c r="DM332" s="1782"/>
      <c r="DN332" s="208"/>
    </row>
    <row r="333" spans="2:118" ht="48.75" customHeight="1">
      <c r="B333" s="1386"/>
      <c r="C333" s="1386"/>
      <c r="D333" s="1386"/>
      <c r="E333" s="1386"/>
      <c r="F333" s="1386"/>
      <c r="G333" s="1386"/>
      <c r="H333" s="1386"/>
      <c r="I333" s="1386"/>
      <c r="J333" s="1386"/>
      <c r="M333" s="1144"/>
      <c r="N333" s="1145"/>
      <c r="O333" s="1145"/>
      <c r="P333" s="1145"/>
      <c r="Q333" s="1145"/>
      <c r="R333" s="1145"/>
      <c r="S333" s="1146"/>
      <c r="U333" s="317"/>
      <c r="V333" s="317"/>
      <c r="X333" s="1144"/>
      <c r="Y333" s="1145"/>
      <c r="Z333" s="1145"/>
      <c r="AA333" s="1145"/>
      <c r="AB333" s="1145"/>
      <c r="AC333" s="1146"/>
      <c r="AD333" s="334"/>
      <c r="AF333" s="300"/>
      <c r="AG333" s="300"/>
      <c r="AH333" s="300"/>
      <c r="AK333" s="1144"/>
      <c r="AL333" s="1145"/>
      <c r="AM333" s="1145"/>
      <c r="AN333" s="1145"/>
      <c r="AO333" s="1145"/>
      <c r="AP333" s="1145"/>
      <c r="AQ333" s="1146"/>
      <c r="BE333" s="19"/>
      <c r="BF333" s="17"/>
      <c r="BG333" s="193"/>
      <c r="BH333" s="194"/>
      <c r="BI333" s="194"/>
      <c r="BJ333" s="194"/>
      <c r="BK333" s="194"/>
      <c r="BL333" s="194"/>
      <c r="BM333" s="194"/>
      <c r="BN333" s="194"/>
      <c r="BO333" s="194"/>
      <c r="BP333" s="195"/>
      <c r="CE333" s="327"/>
      <c r="CF333" s="352" t="s">
        <v>1237</v>
      </c>
      <c r="CG333" s="1033" t="s">
        <v>103</v>
      </c>
      <c r="CH333" s="1033"/>
      <c r="CI333" s="276">
        <f>BW313</f>
        <v>4</v>
      </c>
      <c r="CJ333" s="275" t="s">
        <v>50</v>
      </c>
      <c r="CK333" s="12"/>
      <c r="CL333" s="1771"/>
      <c r="CM333" s="1772"/>
      <c r="CN333" s="1772"/>
      <c r="CO333" s="1773"/>
      <c r="CP333" s="328"/>
      <c r="CQ333" s="12"/>
      <c r="CR333" s="352" t="s">
        <v>1237</v>
      </c>
      <c r="CS333" s="1033" t="s">
        <v>103</v>
      </c>
      <c r="CT333" s="1033"/>
      <c r="CU333" s="10"/>
      <c r="CV333" s="10"/>
      <c r="CW333" s="12"/>
      <c r="CX333" s="1780"/>
      <c r="CY333" s="1781"/>
      <c r="CZ333" s="1781"/>
      <c r="DA333" s="1782"/>
      <c r="DB333" s="12"/>
      <c r="DC333" s="12"/>
      <c r="DD333" s="352" t="s">
        <v>1237</v>
      </c>
      <c r="DE333" s="1033" t="s">
        <v>103</v>
      </c>
      <c r="DF333" s="1033"/>
      <c r="DG333" s="10"/>
      <c r="DH333" s="10"/>
      <c r="DI333" s="12"/>
      <c r="DJ333" s="1780"/>
      <c r="DK333" s="1781"/>
      <c r="DL333" s="1781"/>
      <c r="DM333" s="1782"/>
      <c r="DN333" s="208"/>
    </row>
    <row r="334" spans="2:118" ht="48.75" customHeight="1">
      <c r="B334" s="1386"/>
      <c r="C334" s="1386"/>
      <c r="D334" s="1386"/>
      <c r="E334" s="1386"/>
      <c r="F334" s="1386"/>
      <c r="G334" s="1386"/>
      <c r="H334" s="1386"/>
      <c r="I334" s="1386"/>
      <c r="J334" s="1386"/>
      <c r="M334" s="1144"/>
      <c r="N334" s="1145"/>
      <c r="O334" s="1145"/>
      <c r="P334" s="1145"/>
      <c r="Q334" s="1145"/>
      <c r="R334" s="1145"/>
      <c r="S334" s="1146"/>
      <c r="U334" s="317"/>
      <c r="V334" s="317"/>
      <c r="X334" s="1144"/>
      <c r="Y334" s="1145"/>
      <c r="Z334" s="1145"/>
      <c r="AA334" s="1145"/>
      <c r="AB334" s="1145"/>
      <c r="AC334" s="1146"/>
      <c r="AD334" s="334"/>
      <c r="AF334" s="300"/>
      <c r="AG334" s="300"/>
      <c r="AH334" s="300"/>
      <c r="AK334" s="1144"/>
      <c r="AL334" s="1145"/>
      <c r="AM334" s="1145"/>
      <c r="AN334" s="1145"/>
      <c r="AO334" s="1145"/>
      <c r="AP334" s="1145"/>
      <c r="AQ334" s="1146"/>
      <c r="BE334" s="19"/>
      <c r="BF334" s="17"/>
      <c r="BG334" s="193"/>
      <c r="BH334" s="194"/>
      <c r="BI334" s="194"/>
      <c r="BJ334" s="194"/>
      <c r="BK334" s="194"/>
      <c r="BL334" s="194"/>
      <c r="BM334" s="194"/>
      <c r="BN334" s="194"/>
      <c r="BO334" s="194"/>
      <c r="BP334" s="195"/>
      <c r="CE334" s="327"/>
      <c r="CF334" s="352" t="s">
        <v>1237</v>
      </c>
      <c r="CG334" s="1033" t="s">
        <v>51</v>
      </c>
      <c r="CH334" s="1033"/>
      <c r="CI334" s="276">
        <f>0.4*BW312</f>
        <v>5.8486830253942292</v>
      </c>
      <c r="CJ334" s="275" t="s">
        <v>50</v>
      </c>
      <c r="CK334" s="12"/>
      <c r="CL334" s="1771"/>
      <c r="CM334" s="1772"/>
      <c r="CN334" s="1772"/>
      <c r="CO334" s="1773"/>
      <c r="CP334" s="328"/>
      <c r="CQ334" s="12"/>
      <c r="CR334" s="352" t="s">
        <v>1237</v>
      </c>
      <c r="CS334" s="1033" t="s">
        <v>51</v>
      </c>
      <c r="CT334" s="1033"/>
      <c r="CU334" s="10"/>
      <c r="CV334" s="10"/>
      <c r="CW334" s="12"/>
      <c r="CX334" s="1780"/>
      <c r="CY334" s="1781"/>
      <c r="CZ334" s="1781"/>
      <c r="DA334" s="1782"/>
      <c r="DB334" s="12"/>
      <c r="DC334" s="12"/>
      <c r="DD334" s="352" t="s">
        <v>1237</v>
      </c>
      <c r="DE334" s="1033" t="s">
        <v>51</v>
      </c>
      <c r="DF334" s="1033"/>
      <c r="DG334" s="10"/>
      <c r="DH334" s="10"/>
      <c r="DI334" s="12"/>
      <c r="DJ334" s="1780"/>
      <c r="DK334" s="1781"/>
      <c r="DL334" s="1781"/>
      <c r="DM334" s="1782"/>
      <c r="DN334" s="208"/>
    </row>
    <row r="335" spans="2:118" ht="48.75" customHeight="1">
      <c r="B335" s="1386"/>
      <c r="C335" s="1386"/>
      <c r="D335" s="1386"/>
      <c r="E335" s="1386"/>
      <c r="F335" s="1386"/>
      <c r="G335" s="1386"/>
      <c r="H335" s="1386"/>
      <c r="I335" s="1386"/>
      <c r="J335" s="1386"/>
      <c r="M335" s="1144"/>
      <c r="N335" s="1145"/>
      <c r="O335" s="1145"/>
      <c r="P335" s="1145"/>
      <c r="Q335" s="1145"/>
      <c r="R335" s="1145"/>
      <c r="S335" s="1146"/>
      <c r="U335" s="317"/>
      <c r="V335" s="317"/>
      <c r="X335" s="1144"/>
      <c r="Y335" s="1145"/>
      <c r="Z335" s="1145"/>
      <c r="AA335" s="1145"/>
      <c r="AB335" s="1145"/>
      <c r="AC335" s="1146"/>
      <c r="AD335" s="334"/>
      <c r="AF335" s="300"/>
      <c r="AG335" s="300"/>
      <c r="AH335" s="300"/>
      <c r="AK335" s="1144"/>
      <c r="AL335" s="1145"/>
      <c r="AM335" s="1145"/>
      <c r="AN335" s="1145"/>
      <c r="AO335" s="1145"/>
      <c r="AP335" s="1145"/>
      <c r="AQ335" s="1146"/>
      <c r="BE335" s="19"/>
      <c r="BF335" s="17"/>
      <c r="BG335" s="193"/>
      <c r="BH335" s="194"/>
      <c r="BI335" s="194"/>
      <c r="BJ335" s="194"/>
      <c r="BK335" s="194"/>
      <c r="BL335" s="194"/>
      <c r="BM335" s="194"/>
      <c r="BN335" s="194"/>
      <c r="BO335" s="194"/>
      <c r="BP335" s="195"/>
      <c r="CE335" s="327"/>
      <c r="CF335" s="352" t="s">
        <v>1237</v>
      </c>
      <c r="CG335" s="1033" t="s">
        <v>98</v>
      </c>
      <c r="CH335" s="1033"/>
      <c r="CI335" s="276">
        <f>0.16*BW312</f>
        <v>2.3394732101576916</v>
      </c>
      <c r="CJ335" s="275" t="s">
        <v>50</v>
      </c>
      <c r="CK335" s="12"/>
      <c r="CL335" s="1771"/>
      <c r="CM335" s="1772"/>
      <c r="CN335" s="1772"/>
      <c r="CO335" s="1773"/>
      <c r="CP335" s="328"/>
      <c r="CQ335" s="12"/>
      <c r="CR335" s="352" t="s">
        <v>1237</v>
      </c>
      <c r="CS335" s="1033" t="s">
        <v>98</v>
      </c>
      <c r="CT335" s="1033"/>
      <c r="CU335" s="10"/>
      <c r="CV335" s="10"/>
      <c r="CW335" s="12"/>
      <c r="CX335" s="1780"/>
      <c r="CY335" s="1781"/>
      <c r="CZ335" s="1781"/>
      <c r="DA335" s="1782"/>
      <c r="DB335" s="12"/>
      <c r="DC335" s="12"/>
      <c r="DD335" s="352" t="s">
        <v>1237</v>
      </c>
      <c r="DE335" s="1033" t="s">
        <v>98</v>
      </c>
      <c r="DF335" s="1033"/>
      <c r="DG335" s="10"/>
      <c r="DH335" s="10"/>
      <c r="DI335" s="12"/>
      <c r="DJ335" s="1780"/>
      <c r="DK335" s="1781"/>
      <c r="DL335" s="1781"/>
      <c r="DM335" s="1782"/>
      <c r="DN335" s="208"/>
    </row>
    <row r="336" spans="2:118" ht="48.75" customHeight="1">
      <c r="B336" s="1386"/>
      <c r="C336" s="1386"/>
      <c r="D336" s="1386"/>
      <c r="E336" s="1386"/>
      <c r="F336" s="1386"/>
      <c r="G336" s="1386"/>
      <c r="H336" s="1386"/>
      <c r="I336" s="1386"/>
      <c r="J336" s="1386"/>
      <c r="M336" s="1144"/>
      <c r="N336" s="1145"/>
      <c r="O336" s="1145"/>
      <c r="P336" s="1145"/>
      <c r="Q336" s="1145"/>
      <c r="R336" s="1145"/>
      <c r="S336" s="1146"/>
      <c r="U336" s="317"/>
      <c r="V336" s="317"/>
      <c r="X336" s="1144"/>
      <c r="Y336" s="1145"/>
      <c r="Z336" s="1145"/>
      <c r="AA336" s="1145"/>
      <c r="AB336" s="1145"/>
      <c r="AC336" s="1146"/>
      <c r="AD336" s="334"/>
      <c r="AF336" s="300"/>
      <c r="AG336" s="300"/>
      <c r="AH336" s="300"/>
      <c r="AK336" s="1144"/>
      <c r="AL336" s="1145"/>
      <c r="AM336" s="1145"/>
      <c r="AN336" s="1145"/>
      <c r="AO336" s="1145"/>
      <c r="AP336" s="1145"/>
      <c r="AQ336" s="1146"/>
      <c r="AU336" s="1082" t="s">
        <v>994</v>
      </c>
      <c r="AV336" s="1082"/>
      <c r="AW336" s="1082"/>
      <c r="AX336" s="1082"/>
      <c r="AY336" s="1082"/>
      <c r="BE336" s="19"/>
      <c r="BF336" s="17"/>
      <c r="BG336" s="193"/>
      <c r="BH336" s="194"/>
      <c r="BI336" s="194"/>
      <c r="BJ336" s="194"/>
      <c r="BK336" s="194"/>
      <c r="BL336" s="194"/>
      <c r="BM336" s="194"/>
      <c r="BN336" s="194"/>
      <c r="BO336" s="194"/>
      <c r="BP336" s="195"/>
      <c r="CE336" s="327"/>
      <c r="CF336" s="352" t="s">
        <v>1237</v>
      </c>
      <c r="CG336" s="1033" t="s">
        <v>99</v>
      </c>
      <c r="CH336" s="1033"/>
      <c r="CI336" s="276">
        <f>2.2*BW312</f>
        <v>32.167756639668262</v>
      </c>
      <c r="CJ336" s="275" t="s">
        <v>50</v>
      </c>
      <c r="CK336" s="12"/>
      <c r="CL336" s="1771"/>
      <c r="CM336" s="1772"/>
      <c r="CN336" s="1772"/>
      <c r="CO336" s="1773"/>
      <c r="CP336" s="328"/>
      <c r="CQ336" s="12"/>
      <c r="CR336" s="352" t="s">
        <v>1237</v>
      </c>
      <c r="CS336" s="1033" t="s">
        <v>99</v>
      </c>
      <c r="CT336" s="1033"/>
      <c r="CU336" s="10"/>
      <c r="CV336" s="10"/>
      <c r="CW336" s="12"/>
      <c r="CX336" s="1780"/>
      <c r="CY336" s="1781"/>
      <c r="CZ336" s="1781"/>
      <c r="DA336" s="1782"/>
      <c r="DB336" s="12"/>
      <c r="DC336" s="12"/>
      <c r="DD336" s="352" t="s">
        <v>1237</v>
      </c>
      <c r="DE336" s="1033" t="s">
        <v>99</v>
      </c>
      <c r="DF336" s="1033"/>
      <c r="DG336" s="10"/>
      <c r="DH336" s="10"/>
      <c r="DI336" s="12"/>
      <c r="DJ336" s="1780"/>
      <c r="DK336" s="1781"/>
      <c r="DL336" s="1781"/>
      <c r="DM336" s="1782"/>
      <c r="DN336" s="208"/>
    </row>
    <row r="337" spans="2:120" ht="48.75" customHeight="1">
      <c r="B337" s="1386"/>
      <c r="C337" s="1386"/>
      <c r="D337" s="1386"/>
      <c r="E337" s="1386"/>
      <c r="F337" s="1386"/>
      <c r="G337" s="1386"/>
      <c r="H337" s="1386"/>
      <c r="I337" s="1386"/>
      <c r="J337" s="1386"/>
      <c r="M337" s="1144"/>
      <c r="N337" s="1145"/>
      <c r="O337" s="1145"/>
      <c r="P337" s="1145"/>
      <c r="Q337" s="1145"/>
      <c r="R337" s="1145"/>
      <c r="S337" s="1146"/>
      <c r="U337" s="317"/>
      <c r="V337" s="317"/>
      <c r="X337" s="1144"/>
      <c r="Y337" s="1145"/>
      <c r="Z337" s="1145"/>
      <c r="AA337" s="1145"/>
      <c r="AB337" s="1145"/>
      <c r="AC337" s="1146"/>
      <c r="AD337" s="334"/>
      <c r="AF337" s="300"/>
      <c r="AG337" s="300"/>
      <c r="AH337" s="300"/>
      <c r="AK337" s="1144"/>
      <c r="AL337" s="1145"/>
      <c r="AM337" s="1145"/>
      <c r="AN337" s="1145"/>
      <c r="AO337" s="1145"/>
      <c r="AP337" s="1145"/>
      <c r="AQ337" s="1146"/>
      <c r="AU337" s="1385"/>
      <c r="AV337" s="1385"/>
      <c r="AW337" s="1385"/>
      <c r="AX337" s="1385"/>
      <c r="AY337" s="1385"/>
      <c r="AZ337" s="1385"/>
      <c r="BA337" s="1385"/>
      <c r="BB337" s="1385"/>
      <c r="BC337" s="1385"/>
      <c r="BD337" s="1385"/>
      <c r="BE337" s="19"/>
      <c r="BF337" s="17"/>
      <c r="BG337" s="94"/>
      <c r="BH337" s="95"/>
      <c r="BI337" s="95"/>
      <c r="BJ337" s="95"/>
      <c r="BK337" s="95"/>
      <c r="BL337" s="95"/>
      <c r="BM337" s="95"/>
      <c r="BN337" s="95"/>
      <c r="BO337" s="95"/>
      <c r="BP337" s="96"/>
      <c r="CE337" s="327"/>
      <c r="CF337" s="352" t="s">
        <v>1237</v>
      </c>
      <c r="CG337" s="1033" t="s">
        <v>101</v>
      </c>
      <c r="CH337" s="1033"/>
      <c r="CI337" s="276">
        <f>0.12*BW312</f>
        <v>1.7546049076182686</v>
      </c>
      <c r="CJ337" s="275" t="s">
        <v>50</v>
      </c>
      <c r="CK337" s="12"/>
      <c r="CL337" s="1771"/>
      <c r="CM337" s="1772"/>
      <c r="CN337" s="1772"/>
      <c r="CO337" s="1773"/>
      <c r="CP337" s="328"/>
      <c r="CQ337" s="12"/>
      <c r="CR337" s="352" t="s">
        <v>1237</v>
      </c>
      <c r="CS337" s="1033" t="s">
        <v>101</v>
      </c>
      <c r="CT337" s="1033"/>
      <c r="CU337" s="10"/>
      <c r="CV337" s="10"/>
      <c r="CW337" s="12"/>
      <c r="CX337" s="1780"/>
      <c r="CY337" s="1781"/>
      <c r="CZ337" s="1781"/>
      <c r="DA337" s="1782"/>
      <c r="DB337" s="12"/>
      <c r="DC337" s="12"/>
      <c r="DD337" s="352" t="s">
        <v>1237</v>
      </c>
      <c r="DE337" s="1033" t="s">
        <v>101</v>
      </c>
      <c r="DF337" s="1033"/>
      <c r="DG337" s="10"/>
      <c r="DH337" s="10"/>
      <c r="DI337" s="12"/>
      <c r="DJ337" s="1780"/>
      <c r="DK337" s="1781"/>
      <c r="DL337" s="1781"/>
      <c r="DM337" s="1782"/>
      <c r="DN337" s="208"/>
    </row>
    <row r="338" spans="2:120" ht="48.75" customHeight="1">
      <c r="B338" s="1386"/>
      <c r="C338" s="1386"/>
      <c r="D338" s="1386"/>
      <c r="E338" s="1386"/>
      <c r="F338" s="1386"/>
      <c r="G338" s="1386"/>
      <c r="H338" s="1386"/>
      <c r="I338" s="1386"/>
      <c r="J338" s="1386"/>
      <c r="M338" s="1147"/>
      <c r="N338" s="1148"/>
      <c r="O338" s="1148"/>
      <c r="P338" s="1148"/>
      <c r="Q338" s="1148"/>
      <c r="R338" s="1148"/>
      <c r="S338" s="1149"/>
      <c r="U338" s="317"/>
      <c r="V338" s="317"/>
      <c r="X338" s="1144"/>
      <c r="Y338" s="1145"/>
      <c r="Z338" s="1145"/>
      <c r="AA338" s="1145"/>
      <c r="AB338" s="1145"/>
      <c r="AC338" s="1146"/>
      <c r="AD338" s="334"/>
      <c r="AF338" s="300"/>
      <c r="AG338" s="300"/>
      <c r="AH338" s="300"/>
      <c r="AK338" s="1147"/>
      <c r="AL338" s="1148"/>
      <c r="AM338" s="1148"/>
      <c r="AN338" s="1148"/>
      <c r="AO338" s="1148"/>
      <c r="AP338" s="1148"/>
      <c r="AQ338" s="1149"/>
      <c r="AU338" s="1385"/>
      <c r="AV338" s="1385"/>
      <c r="AW338" s="1385"/>
      <c r="AX338" s="1385"/>
      <c r="AY338" s="1385"/>
      <c r="AZ338" s="1385"/>
      <c r="BA338" s="1385"/>
      <c r="BB338" s="1385"/>
      <c r="BC338" s="1385"/>
      <c r="BD338" s="1385"/>
      <c r="BE338" s="19"/>
      <c r="BF338" s="17"/>
      <c r="BI338" s="11"/>
      <c r="CE338" s="327"/>
      <c r="CF338" s="328"/>
      <c r="CG338" s="12"/>
      <c r="CH338" s="12"/>
      <c r="CI338" s="273"/>
      <c r="CJ338" s="297"/>
      <c r="CK338" s="12"/>
      <c r="CL338" s="1771"/>
      <c r="CM338" s="1772"/>
      <c r="CN338" s="1772"/>
      <c r="CO338" s="1773"/>
      <c r="CP338" s="328"/>
      <c r="CQ338" s="12"/>
      <c r="CR338" s="12"/>
      <c r="CS338" s="12"/>
      <c r="CT338" s="12"/>
      <c r="CU338" s="12"/>
      <c r="CV338" s="12"/>
      <c r="CW338" s="12"/>
      <c r="CX338" s="1780"/>
      <c r="CY338" s="1781"/>
      <c r="CZ338" s="1781"/>
      <c r="DA338" s="1782"/>
      <c r="DB338" s="12"/>
      <c r="DC338" s="12"/>
      <c r="DD338" s="12"/>
      <c r="DE338" s="12"/>
      <c r="DF338" s="12"/>
      <c r="DG338" s="12"/>
      <c r="DH338" s="12"/>
      <c r="DI338" s="12"/>
      <c r="DJ338" s="1780"/>
      <c r="DK338" s="1781"/>
      <c r="DL338" s="1781"/>
      <c r="DM338" s="1782"/>
      <c r="DN338" s="208"/>
    </row>
    <row r="339" spans="2:120" ht="48.75" customHeight="1">
      <c r="B339" s="1386"/>
      <c r="C339" s="1386"/>
      <c r="D339" s="1386"/>
      <c r="E339" s="1386"/>
      <c r="F339" s="1386"/>
      <c r="G339" s="1386"/>
      <c r="H339" s="1386"/>
      <c r="I339" s="1386"/>
      <c r="J339" s="1386"/>
      <c r="M339" s="317"/>
      <c r="U339" s="317"/>
      <c r="V339" s="317"/>
      <c r="X339" s="1144"/>
      <c r="Y339" s="1145"/>
      <c r="Z339" s="1145"/>
      <c r="AA339" s="1145"/>
      <c r="AB339" s="1145"/>
      <c r="AC339" s="1146"/>
      <c r="AD339" s="334"/>
      <c r="AU339" s="1385"/>
      <c r="AV339" s="1385"/>
      <c r="AW339" s="1385"/>
      <c r="AX339" s="1385"/>
      <c r="AY339" s="1385"/>
      <c r="AZ339" s="1385"/>
      <c r="BA339" s="1385"/>
      <c r="BB339" s="1385"/>
      <c r="BC339" s="1385"/>
      <c r="BD339" s="1385"/>
      <c r="BE339" s="19"/>
      <c r="BF339" s="17"/>
      <c r="BI339" s="11"/>
      <c r="CE339" s="327"/>
      <c r="CF339" s="328"/>
      <c r="CG339" s="12"/>
      <c r="CH339" s="12"/>
      <c r="CI339" s="273"/>
      <c r="CJ339" s="297"/>
      <c r="CK339" s="12"/>
      <c r="CL339" s="1771"/>
      <c r="CM339" s="1772"/>
      <c r="CN339" s="1772"/>
      <c r="CO339" s="1773"/>
      <c r="CP339" s="328"/>
      <c r="CQ339" s="12"/>
      <c r="CR339" s="12"/>
      <c r="CS339" s="12"/>
      <c r="CT339" s="12"/>
      <c r="CU339" s="12"/>
      <c r="CV339" s="12"/>
      <c r="CW339" s="12"/>
      <c r="CX339" s="1780"/>
      <c r="CY339" s="1781"/>
      <c r="CZ339" s="1781"/>
      <c r="DA339" s="1782"/>
      <c r="DB339" s="12"/>
      <c r="DC339" s="12"/>
      <c r="DD339" s="12"/>
      <c r="DE339" s="12"/>
      <c r="DF339" s="12"/>
      <c r="DG339" s="12"/>
      <c r="DH339" s="12"/>
      <c r="DI339" s="12"/>
      <c r="DJ339" s="1780"/>
      <c r="DK339" s="1781"/>
      <c r="DL339" s="1781"/>
      <c r="DM339" s="1782"/>
      <c r="DN339" s="208"/>
    </row>
    <row r="340" spans="2:120" ht="48.75" customHeight="1">
      <c r="U340" s="317"/>
      <c r="V340" s="317"/>
      <c r="X340" s="1144"/>
      <c r="Y340" s="1145"/>
      <c r="Z340" s="1145"/>
      <c r="AA340" s="1145"/>
      <c r="AB340" s="1145"/>
      <c r="AC340" s="1146"/>
      <c r="AD340" s="334"/>
      <c r="AU340" s="1385"/>
      <c r="AV340" s="1385"/>
      <c r="AW340" s="1385"/>
      <c r="AX340" s="1385"/>
      <c r="AY340" s="1385"/>
      <c r="BE340" s="19"/>
      <c r="BF340" s="17"/>
      <c r="BI340" s="11"/>
      <c r="CE340" s="327"/>
      <c r="CF340" s="328"/>
      <c r="CG340" s="12"/>
      <c r="CH340" s="12"/>
      <c r="CI340" s="273"/>
      <c r="CJ340" s="297"/>
      <c r="CK340" s="12"/>
      <c r="CL340" s="1771"/>
      <c r="CM340" s="1772"/>
      <c r="CN340" s="1772"/>
      <c r="CO340" s="1773"/>
      <c r="CP340" s="328"/>
      <c r="CQ340" s="12"/>
      <c r="CR340" s="12"/>
      <c r="CS340" s="12"/>
      <c r="CT340" s="12"/>
      <c r="CU340" s="12"/>
      <c r="CV340" s="12"/>
      <c r="CW340" s="12"/>
      <c r="CX340" s="1780"/>
      <c r="CY340" s="1781"/>
      <c r="CZ340" s="1781"/>
      <c r="DA340" s="1782"/>
      <c r="DB340" s="12"/>
      <c r="DC340" s="12"/>
      <c r="DD340" s="12"/>
      <c r="DE340" s="12"/>
      <c r="DF340" s="12"/>
      <c r="DG340" s="12"/>
      <c r="DH340" s="12"/>
      <c r="DI340" s="12"/>
      <c r="DJ340" s="1780"/>
      <c r="DK340" s="1781"/>
      <c r="DL340" s="1781"/>
      <c r="DM340" s="1782"/>
      <c r="DN340" s="208"/>
    </row>
    <row r="341" spans="2:120" ht="48.75" customHeight="1">
      <c r="X341" s="1144"/>
      <c r="Y341" s="1145"/>
      <c r="Z341" s="1145"/>
      <c r="AA341" s="1145"/>
      <c r="AB341" s="1145"/>
      <c r="AC341" s="1146"/>
      <c r="AD341" s="334"/>
      <c r="AU341" s="1385"/>
      <c r="AV341" s="1385"/>
      <c r="AW341" s="1385"/>
      <c r="AX341" s="1385"/>
      <c r="AY341" s="1385"/>
      <c r="BE341" s="19"/>
      <c r="BF341" s="17"/>
      <c r="BI341" s="11"/>
      <c r="CE341" s="327"/>
      <c r="CF341" s="328"/>
      <c r="CG341" s="12"/>
      <c r="CH341" s="12"/>
      <c r="CI341" s="273"/>
      <c r="CJ341" s="297"/>
      <c r="CK341" s="12"/>
      <c r="CL341" s="1774"/>
      <c r="CM341" s="1775"/>
      <c r="CN341" s="1775"/>
      <c r="CO341" s="1776"/>
      <c r="CP341" s="328"/>
      <c r="CQ341" s="12"/>
      <c r="CR341" s="12"/>
      <c r="CS341" s="12"/>
      <c r="CT341" s="12"/>
      <c r="CU341" s="12"/>
      <c r="CV341" s="12"/>
      <c r="CW341" s="12"/>
      <c r="CX341" s="1783"/>
      <c r="CY341" s="1784"/>
      <c r="CZ341" s="1784"/>
      <c r="DA341" s="1785"/>
      <c r="DB341" s="12"/>
      <c r="DC341" s="12"/>
      <c r="DD341" s="12"/>
      <c r="DE341" s="12"/>
      <c r="DF341" s="12"/>
      <c r="DG341" s="12"/>
      <c r="DH341" s="12"/>
      <c r="DI341" s="12"/>
      <c r="DJ341" s="1783"/>
      <c r="DK341" s="1784"/>
      <c r="DL341" s="1784"/>
      <c r="DM341" s="1785"/>
      <c r="DN341" s="208"/>
    </row>
    <row r="342" spans="2:120" ht="48.75" customHeight="1">
      <c r="X342" s="1147"/>
      <c r="Y342" s="1148"/>
      <c r="Z342" s="1148"/>
      <c r="AA342" s="1148"/>
      <c r="AB342" s="1148"/>
      <c r="AC342" s="1149"/>
      <c r="AD342" s="334"/>
      <c r="AU342" s="1385"/>
      <c r="AV342" s="1385"/>
      <c r="AW342" s="1385"/>
      <c r="AX342" s="1385"/>
      <c r="AY342" s="1385"/>
      <c r="BE342" s="19"/>
      <c r="BF342" s="17"/>
      <c r="BI342" s="11"/>
      <c r="CE342" s="327"/>
      <c r="CF342" s="12"/>
      <c r="CG342" s="12"/>
      <c r="CH342" s="12"/>
      <c r="CI342" s="12"/>
      <c r="CJ342" s="12"/>
      <c r="CK342" s="12"/>
      <c r="CL342" s="12"/>
      <c r="CM342" s="12"/>
      <c r="CN342" s="12"/>
      <c r="CO342" s="12"/>
      <c r="CP342" s="328"/>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208"/>
    </row>
    <row r="343" spans="2:120" ht="48.75" customHeight="1" thickBot="1">
      <c r="B343" s="300"/>
      <c r="C343" s="300"/>
      <c r="D343" s="300"/>
      <c r="E343" s="300"/>
      <c r="F343" s="300"/>
      <c r="G343" s="300"/>
      <c r="H343" s="300"/>
      <c r="I343" s="300"/>
      <c r="J343" s="300"/>
      <c r="K343" s="300"/>
      <c r="L343" s="300"/>
      <c r="M343" s="300"/>
      <c r="V343" s="317"/>
      <c r="W343" s="317"/>
      <c r="X343" s="317"/>
      <c r="Y343" s="317"/>
      <c r="AC343" s="12"/>
      <c r="AD343" s="334"/>
      <c r="AI343" s="300"/>
      <c r="AJ343" s="300"/>
      <c r="AK343" s="300"/>
      <c r="AL343" s="300"/>
      <c r="AM343" s="300"/>
      <c r="AN343" s="300"/>
      <c r="AO343" s="300"/>
      <c r="AP343" s="300"/>
      <c r="AQ343" s="300"/>
      <c r="AR343" s="300"/>
      <c r="AS343" s="300"/>
      <c r="AT343" s="300"/>
      <c r="AU343" s="300"/>
      <c r="AV343" s="300"/>
      <c r="AW343" s="300"/>
      <c r="AX343" s="300"/>
      <c r="AY343" s="300"/>
      <c r="BE343" s="19"/>
      <c r="BF343" s="17"/>
      <c r="BI343" s="11"/>
      <c r="CE343" s="335"/>
      <c r="CF343" s="210"/>
      <c r="CG343" s="210"/>
      <c r="CH343" s="210"/>
      <c r="CI343" s="277"/>
      <c r="CJ343" s="211"/>
      <c r="CK343" s="210"/>
      <c r="CL343" s="210"/>
      <c r="CM343" s="210"/>
      <c r="CN343" s="336"/>
      <c r="CO343" s="336"/>
      <c r="CP343" s="336"/>
      <c r="CQ343" s="336"/>
      <c r="CR343" s="210"/>
      <c r="CS343" s="210"/>
      <c r="CT343" s="210"/>
      <c r="CU343" s="210"/>
      <c r="CV343" s="210"/>
      <c r="CW343" s="210"/>
      <c r="CX343" s="210"/>
      <c r="CY343" s="210"/>
      <c r="CZ343" s="210"/>
      <c r="DA343" s="210"/>
      <c r="DB343" s="210"/>
      <c r="DC343" s="210"/>
      <c r="DD343" s="210"/>
      <c r="DE343" s="210"/>
      <c r="DF343" s="336"/>
      <c r="DG343" s="336"/>
      <c r="DH343" s="336"/>
      <c r="DI343" s="336"/>
      <c r="DJ343" s="336"/>
      <c r="DK343" s="210"/>
      <c r="DL343" s="210"/>
      <c r="DM343" s="210"/>
      <c r="DN343" s="212"/>
    </row>
    <row r="344" spans="2:120" ht="48.75" customHeight="1">
      <c r="B344" s="300"/>
      <c r="C344" s="300"/>
      <c r="D344" s="300"/>
      <c r="E344" s="300"/>
      <c r="F344" s="300"/>
      <c r="G344" s="300"/>
      <c r="H344" s="300"/>
      <c r="I344" s="300"/>
      <c r="J344" s="300"/>
      <c r="K344" s="300"/>
      <c r="L344" s="300"/>
      <c r="M344" s="300"/>
      <c r="P344" s="12"/>
      <c r="Q344" s="12"/>
      <c r="R344" s="12"/>
      <c r="S344" s="12"/>
      <c r="T344" s="12"/>
      <c r="U344" s="12"/>
      <c r="AB344" s="300"/>
      <c r="AC344" s="300"/>
      <c r="AD344" s="300"/>
      <c r="AE344" s="300"/>
      <c r="AF344" s="300"/>
      <c r="AG344" s="300"/>
      <c r="AI344" s="300"/>
      <c r="AJ344" s="300"/>
      <c r="AK344" s="300"/>
      <c r="AL344" s="300"/>
      <c r="AM344" s="300"/>
      <c r="AN344" s="300"/>
      <c r="AO344" s="300"/>
      <c r="AP344" s="300"/>
      <c r="AQ344" s="300"/>
      <c r="AR344" s="300"/>
      <c r="AS344" s="300"/>
      <c r="AT344" s="300"/>
      <c r="AU344" s="300"/>
      <c r="AV344" s="300"/>
      <c r="AW344" s="300"/>
      <c r="AX344" s="300"/>
      <c r="AY344" s="300"/>
      <c r="BE344" s="19"/>
      <c r="BF344" s="17"/>
      <c r="BI344" s="11"/>
      <c r="CI344" s="19"/>
      <c r="CJ344" s="17"/>
      <c r="CN344" s="300"/>
      <c r="CO344" s="300"/>
      <c r="CP344" s="300"/>
      <c r="CQ344" s="300"/>
      <c r="CR344" s="300"/>
      <c r="CS344" s="300"/>
      <c r="DF344" s="300"/>
      <c r="DG344" s="300"/>
      <c r="DH344" s="300"/>
      <c r="DI344" s="300"/>
      <c r="DJ344" s="300"/>
    </row>
    <row r="345" spans="2:120" ht="48.75" customHeight="1" thickBot="1">
      <c r="B345" s="1753" t="s">
        <v>677</v>
      </c>
      <c r="C345" s="1754"/>
      <c r="D345" s="1754"/>
      <c r="E345" s="1754"/>
      <c r="F345" s="1754"/>
      <c r="G345" s="1754"/>
      <c r="H345" s="1754"/>
      <c r="I345" s="1754"/>
      <c r="J345" s="1755"/>
      <c r="K345" s="1073"/>
      <c r="N345" s="1702" t="s">
        <v>1481</v>
      </c>
      <c r="O345" s="1702"/>
      <c r="P345" s="936" t="s">
        <v>994</v>
      </c>
      <c r="Q345" s="1728" t="s">
        <v>1761</v>
      </c>
      <c r="R345" s="1724"/>
      <c r="S345" s="1724"/>
      <c r="T345" s="1724"/>
      <c r="U345" s="1725"/>
      <c r="V345" s="1724" t="s">
        <v>687</v>
      </c>
      <c r="W345" s="1724"/>
      <c r="X345" s="1724"/>
      <c r="Y345" s="1724"/>
      <c r="Z345" s="1724"/>
      <c r="AA345" s="1724"/>
      <c r="AB345" s="1724"/>
      <c r="AC345" s="1724"/>
      <c r="AD345" s="1724"/>
      <c r="AE345" s="1724"/>
      <c r="AF345" s="1725"/>
      <c r="AG345" s="1049"/>
      <c r="AI345" s="300"/>
      <c r="AJ345" s="300"/>
      <c r="AK345" s="300"/>
      <c r="AL345" s="300"/>
      <c r="AM345" s="300"/>
      <c r="AN345" s="300"/>
      <c r="AO345" s="300"/>
      <c r="AP345" s="300"/>
      <c r="AQ345" s="300"/>
      <c r="AR345" s="300"/>
      <c r="AS345" s="300"/>
      <c r="AT345" s="300"/>
      <c r="AU345" s="300"/>
      <c r="AV345" s="300"/>
      <c r="AW345" s="300"/>
      <c r="AX345" s="300"/>
      <c r="AY345" s="300"/>
      <c r="BE345" s="19"/>
      <c r="BF345" s="17"/>
      <c r="BI345" s="11"/>
      <c r="CI345" s="19"/>
      <c r="CJ345" s="17"/>
      <c r="DF345" s="300"/>
      <c r="DG345" s="300"/>
      <c r="DH345" s="300"/>
      <c r="DI345" s="300"/>
      <c r="DJ345" s="300"/>
    </row>
    <row r="346" spans="2:120" ht="48.75" customHeight="1">
      <c r="B346" s="1756"/>
      <c r="C346" s="1757"/>
      <c r="D346" s="1757"/>
      <c r="E346" s="1757"/>
      <c r="F346" s="1757"/>
      <c r="G346" s="1757"/>
      <c r="H346" s="1757"/>
      <c r="I346" s="1757"/>
      <c r="J346" s="1758"/>
      <c r="K346" s="1072"/>
      <c r="N346" s="1702"/>
      <c r="O346" s="1702"/>
      <c r="P346" s="938"/>
      <c r="Q346" s="1729"/>
      <c r="R346" s="1726"/>
      <c r="S346" s="1726"/>
      <c r="T346" s="1726"/>
      <c r="U346" s="1727"/>
      <c r="V346" s="1726"/>
      <c r="W346" s="1726"/>
      <c r="X346" s="1726"/>
      <c r="Y346" s="1726"/>
      <c r="Z346" s="1726"/>
      <c r="AA346" s="1726"/>
      <c r="AB346" s="1726"/>
      <c r="AC346" s="1726"/>
      <c r="AD346" s="1726"/>
      <c r="AE346" s="1726"/>
      <c r="AF346" s="1727"/>
      <c r="AG346" s="1073"/>
      <c r="AI346" s="300"/>
      <c r="AJ346" s="300"/>
      <c r="AK346" s="300"/>
      <c r="AL346" s="300"/>
      <c r="AM346" s="300"/>
      <c r="AN346" s="300"/>
      <c r="AO346" s="300"/>
      <c r="AP346" s="300"/>
      <c r="AQ346" s="300"/>
      <c r="AR346" s="300"/>
      <c r="AS346" s="300"/>
      <c r="AT346" s="300"/>
      <c r="AU346" s="300"/>
      <c r="AV346" s="300"/>
      <c r="AW346" s="300"/>
      <c r="AX346" s="300"/>
      <c r="AY346" s="300"/>
      <c r="BE346" s="19"/>
      <c r="BF346" s="17"/>
      <c r="BI346" s="11"/>
      <c r="CE346" s="337"/>
      <c r="CF346" s="325"/>
      <c r="CG346" s="325"/>
      <c r="CH346" s="325"/>
      <c r="CI346" s="325"/>
      <c r="CJ346" s="325"/>
      <c r="CK346" s="325"/>
      <c r="CL346" s="325"/>
      <c r="CM346" s="325"/>
      <c r="CN346" s="325"/>
      <c r="CO346" s="325"/>
      <c r="CP346" s="325"/>
      <c r="CQ346" s="325"/>
      <c r="CR346" s="325"/>
      <c r="CS346" s="325"/>
      <c r="CT346" s="325"/>
      <c r="CU346" s="325"/>
      <c r="CV346" s="325"/>
      <c r="CW346" s="325"/>
      <c r="CX346" s="325"/>
      <c r="CY346" s="325"/>
      <c r="CZ346" s="325"/>
      <c r="DA346" s="325"/>
      <c r="DB346" s="325"/>
      <c r="DC346" s="325"/>
      <c r="DD346" s="325"/>
      <c r="DE346" s="325"/>
      <c r="DF346" s="325"/>
      <c r="DG346" s="325"/>
      <c r="DH346" s="325"/>
      <c r="DI346" s="325"/>
      <c r="DJ346" s="325"/>
      <c r="DK346" s="325"/>
      <c r="DL346" s="325"/>
      <c r="DM346" s="325"/>
      <c r="DN346" s="325"/>
      <c r="DO346" s="325"/>
      <c r="DP346" s="338"/>
    </row>
    <row r="347" spans="2:120" ht="48.75" customHeight="1">
      <c r="B347" s="1385" t="s">
        <v>556</v>
      </c>
      <c r="C347" s="1385" t="s">
        <v>557</v>
      </c>
      <c r="D347" s="1385"/>
      <c r="E347" s="1728" t="s">
        <v>663</v>
      </c>
      <c r="F347" s="1724"/>
      <c r="G347" s="1724"/>
      <c r="H347" s="1724"/>
      <c r="I347" s="1724"/>
      <c r="J347" s="1724"/>
      <c r="K347" s="1725"/>
      <c r="N347" s="428" t="s">
        <v>436</v>
      </c>
      <c r="O347" s="1385" t="s">
        <v>1482</v>
      </c>
      <c r="P347" s="1385"/>
      <c r="Q347" s="1385"/>
      <c r="R347" s="1385"/>
      <c r="S347" s="1385"/>
      <c r="T347" s="1716" t="s">
        <v>663</v>
      </c>
      <c r="U347" s="1717"/>
      <c r="V347" s="1717"/>
      <c r="W347" s="1717"/>
      <c r="X347" s="1717"/>
      <c r="Y347" s="1717"/>
      <c r="Z347" s="1717"/>
      <c r="AA347" s="1717"/>
      <c r="AB347" s="429" t="s">
        <v>556</v>
      </c>
      <c r="AC347" s="1681"/>
      <c r="AD347" s="1681"/>
      <c r="AE347" s="1681"/>
      <c r="AF347" s="427" t="s">
        <v>126</v>
      </c>
      <c r="AG347" s="201" t="s">
        <v>731</v>
      </c>
      <c r="AI347" s="300"/>
      <c r="AJ347" s="300"/>
      <c r="AK347" s="300"/>
      <c r="AL347" s="300"/>
      <c r="AM347" s="300"/>
      <c r="AN347" s="300"/>
      <c r="AO347" s="300"/>
      <c r="AP347" s="300"/>
      <c r="AQ347" s="300"/>
      <c r="AR347" s="300"/>
      <c r="AS347" s="300"/>
      <c r="AT347" s="300"/>
      <c r="AU347" s="300"/>
      <c r="AV347" s="300"/>
      <c r="AW347" s="300"/>
      <c r="AX347" s="300"/>
      <c r="AY347" s="300"/>
      <c r="BE347" s="19"/>
      <c r="BF347" s="17"/>
      <c r="BI347" s="11"/>
      <c r="CE347" s="339"/>
      <c r="CF347" s="328"/>
      <c r="CG347" s="328"/>
      <c r="CH347" s="328"/>
      <c r="CI347" s="328"/>
      <c r="CJ347" s="328"/>
      <c r="CK347" s="328"/>
      <c r="CL347" s="328"/>
      <c r="CM347" s="328"/>
      <c r="CN347" s="328"/>
      <c r="CO347" s="328"/>
      <c r="CP347" s="328"/>
      <c r="CQ347" s="328"/>
      <c r="CR347" s="328"/>
      <c r="CS347" s="328"/>
      <c r="CT347" s="328"/>
      <c r="CU347" s="328"/>
      <c r="CV347" s="328"/>
      <c r="CW347" s="328"/>
      <c r="CX347" s="328"/>
      <c r="CY347" s="328"/>
      <c r="CZ347" s="328"/>
      <c r="DA347" s="328"/>
      <c r="DB347" s="328"/>
      <c r="DC347" s="328"/>
      <c r="DD347" s="328"/>
      <c r="DE347" s="328"/>
      <c r="DF347" s="328"/>
      <c r="DG347" s="328"/>
      <c r="DH347" s="328"/>
      <c r="DI347" s="328"/>
      <c r="DJ347" s="328"/>
      <c r="DK347" s="328"/>
      <c r="DL347" s="328"/>
      <c r="DM347" s="328"/>
      <c r="DN347" s="328"/>
      <c r="DO347" s="328"/>
      <c r="DP347" s="340"/>
    </row>
    <row r="348" spans="2:120" ht="48.75" customHeight="1">
      <c r="B348" s="1385"/>
      <c r="C348" s="1385"/>
      <c r="D348" s="1385"/>
      <c r="E348" s="1729"/>
      <c r="F348" s="1726"/>
      <c r="G348" s="1726"/>
      <c r="H348" s="1726"/>
      <c r="I348" s="1726"/>
      <c r="J348" s="1726"/>
      <c r="K348" s="1727"/>
      <c r="N348" s="1697">
        <v>1</v>
      </c>
      <c r="O348" s="697" t="s">
        <v>1477</v>
      </c>
      <c r="P348" s="863"/>
      <c r="Q348" s="425">
        <f>'Вывод расчетов'!$GT$106</f>
        <v>37.311671496815286</v>
      </c>
      <c r="R348" s="422" t="s">
        <v>1760</v>
      </c>
      <c r="S348" s="423">
        <f>'Вывод расчетов'!$MN$209</f>
        <v>6.3199999999999994</v>
      </c>
      <c r="T348" s="1718"/>
      <c r="U348" s="1719"/>
      <c r="V348" s="1719"/>
      <c r="W348" s="1719"/>
      <c r="X348" s="1719"/>
      <c r="Y348" s="1719"/>
      <c r="Z348" s="1719"/>
      <c r="AA348" s="1719"/>
      <c r="AB348" s="1681" t="s">
        <v>679</v>
      </c>
      <c r="AC348" s="1681"/>
      <c r="AD348" s="1681"/>
      <c r="AE348" s="1681"/>
      <c r="AF348" s="1682">
        <f>(S348/(3*Q353))*(1-((3.14*Q353^2)/(8*Q349)))^2+0.66-(Q351/(2*Q353))*S349+Q352/Q351+1.12*Q350*1000/S350</f>
        <v>4.8197321291167521</v>
      </c>
      <c r="AG348" s="1070" t="s">
        <v>762</v>
      </c>
      <c r="AI348" s="300"/>
      <c r="AJ348" s="300"/>
      <c r="AK348" s="300"/>
      <c r="AL348" s="300"/>
      <c r="AM348" s="300"/>
      <c r="AN348" s="300"/>
      <c r="AO348" s="300"/>
      <c r="AP348" s="300"/>
      <c r="AQ348" s="300"/>
      <c r="AR348" s="300"/>
      <c r="AS348" s="300"/>
      <c r="AT348" s="300"/>
      <c r="AU348" s="300"/>
      <c r="AV348" s="300"/>
      <c r="AW348" s="300"/>
      <c r="AX348" s="300"/>
      <c r="AY348" s="300"/>
      <c r="BE348" s="19"/>
      <c r="BF348" s="17"/>
      <c r="BI348" s="11"/>
      <c r="CE348" s="327"/>
      <c r="CF348" s="12"/>
      <c r="CG348" s="12"/>
      <c r="CH348" s="12"/>
      <c r="CI348" s="280"/>
      <c r="CJ348" s="16"/>
      <c r="CK348" s="12"/>
      <c r="CL348" s="1768"/>
      <c r="CM348" s="1769"/>
      <c r="CN348" s="1769"/>
      <c r="CO348" s="1770"/>
      <c r="CP348" s="12"/>
      <c r="CQ348" s="12"/>
      <c r="CR348" s="12"/>
      <c r="CS348" s="12"/>
      <c r="CT348" s="12"/>
      <c r="CU348" s="12"/>
      <c r="CV348" s="12"/>
      <c r="CW348" s="12"/>
      <c r="CX348" s="198"/>
      <c r="CY348" s="199"/>
      <c r="CZ348" s="203"/>
      <c r="DA348" s="12"/>
      <c r="DB348" s="12"/>
      <c r="DC348" s="12"/>
      <c r="DD348" s="12"/>
      <c r="DE348" s="12"/>
      <c r="DF348" s="12"/>
      <c r="DG348" s="12"/>
      <c r="DH348" s="273"/>
      <c r="DI348" s="297"/>
      <c r="DJ348" s="12"/>
      <c r="DK348" s="1766"/>
      <c r="DL348" s="1766"/>
      <c r="DM348" s="1766"/>
      <c r="DN348" s="1766"/>
      <c r="DO348" s="12"/>
      <c r="DP348" s="208"/>
    </row>
    <row r="349" spans="2:120" ht="48.75" customHeight="1">
      <c r="B349" s="1385" t="s">
        <v>664</v>
      </c>
      <c r="C349" s="1385" t="s">
        <v>575</v>
      </c>
      <c r="D349" s="1385"/>
      <c r="E349" s="1732"/>
      <c r="F349" s="1733"/>
      <c r="G349" s="1733"/>
      <c r="H349" s="1733"/>
      <c r="I349" s="1733"/>
      <c r="J349" s="1733"/>
      <c r="K349" s="1734"/>
      <c r="N349" s="1712"/>
      <c r="O349" s="697" t="s">
        <v>1476</v>
      </c>
      <c r="P349" s="863"/>
      <c r="Q349" s="425">
        <f>'Вывод расчетов'!$GT$60</f>
        <v>37.535919540229884</v>
      </c>
      <c r="R349" s="426" t="s">
        <v>1480</v>
      </c>
      <c r="S349" s="423">
        <v>1</v>
      </c>
      <c r="T349" s="1720"/>
      <c r="U349" s="1721"/>
      <c r="V349" s="1721"/>
      <c r="W349" s="1721"/>
      <c r="X349" s="1721"/>
      <c r="Y349" s="1721"/>
      <c r="Z349" s="1721"/>
      <c r="AA349" s="1721"/>
      <c r="AB349" s="1681"/>
      <c r="AC349" s="1681"/>
      <c r="AD349" s="1681"/>
      <c r="AE349" s="1681"/>
      <c r="AF349" s="1682"/>
      <c r="AG349" s="1070"/>
      <c r="AI349" s="300"/>
      <c r="AJ349" s="300"/>
      <c r="AK349" s="300"/>
      <c r="AL349" s="300"/>
      <c r="AM349" s="300"/>
      <c r="AN349" s="300"/>
      <c r="AO349" s="300"/>
      <c r="AP349" s="300"/>
      <c r="AQ349" s="300"/>
      <c r="AR349" s="300"/>
      <c r="AS349" s="300"/>
      <c r="AT349" s="300"/>
      <c r="AU349" s="300"/>
      <c r="AV349" s="300"/>
      <c r="AW349" s="300"/>
      <c r="AX349" s="300"/>
      <c r="AY349" s="300"/>
      <c r="BE349" s="19"/>
      <c r="BF349" s="17"/>
      <c r="BI349" s="11"/>
      <c r="CE349" s="327"/>
      <c r="CF349" s="1765" t="s">
        <v>35</v>
      </c>
      <c r="CG349" s="1765"/>
      <c r="CH349" s="1765"/>
      <c r="CI349" s="283" t="s">
        <v>126</v>
      </c>
      <c r="CJ349" s="201" t="s">
        <v>731</v>
      </c>
      <c r="CK349" s="12"/>
      <c r="CL349" s="1771"/>
      <c r="CM349" s="1772"/>
      <c r="CN349" s="1772"/>
      <c r="CO349" s="1773"/>
      <c r="CP349" s="12"/>
      <c r="CQ349" s="12"/>
      <c r="CR349" s="1765" t="s">
        <v>870</v>
      </c>
      <c r="CS349" s="1765"/>
      <c r="CT349" s="1765"/>
      <c r="CU349" s="283" t="s">
        <v>126</v>
      </c>
      <c r="CV349" s="201" t="s">
        <v>731</v>
      </c>
      <c r="CW349" s="12"/>
      <c r="CX349" s="200"/>
      <c r="CY349" s="197"/>
      <c r="CZ349" s="204"/>
      <c r="DA349" s="12"/>
      <c r="DB349" s="12"/>
      <c r="DC349" s="12"/>
      <c r="DD349" s="1765" t="s">
        <v>871</v>
      </c>
      <c r="DE349" s="1765"/>
      <c r="DF349" s="1765"/>
      <c r="DG349" s="283" t="s">
        <v>126</v>
      </c>
      <c r="DH349" s="201" t="s">
        <v>731</v>
      </c>
      <c r="DI349" s="297"/>
      <c r="DJ349" s="12"/>
      <c r="DK349" s="1766"/>
      <c r="DL349" s="1766"/>
      <c r="DM349" s="1766"/>
      <c r="DN349" s="1766"/>
      <c r="DO349" s="12"/>
      <c r="DP349" s="208"/>
    </row>
    <row r="350" spans="2:120" ht="48.75" customHeight="1">
      <c r="B350" s="1385"/>
      <c r="C350" s="1385"/>
      <c r="D350" s="1385"/>
      <c r="E350" s="1735"/>
      <c r="F350" s="1736"/>
      <c r="G350" s="1736"/>
      <c r="H350" s="1736"/>
      <c r="I350" s="1736"/>
      <c r="J350" s="1736"/>
      <c r="K350" s="1737"/>
      <c r="N350" s="1712"/>
      <c r="O350" s="1700" t="s">
        <v>1192</v>
      </c>
      <c r="P350" s="1701"/>
      <c r="Q350" s="424">
        <f>'Вывод расчетов'!$GW$77</f>
        <v>1</v>
      </c>
      <c r="R350" s="421" t="s">
        <v>1364</v>
      </c>
      <c r="S350" s="423">
        <f>'Вывод расчетов'!$GT$48</f>
        <v>300.28735632183907</v>
      </c>
      <c r="T350" s="1720"/>
      <c r="U350" s="1721"/>
      <c r="V350" s="1721"/>
      <c r="W350" s="1721"/>
      <c r="X350" s="1721"/>
      <c r="Y350" s="1721"/>
      <c r="Z350" s="1721"/>
      <c r="AA350" s="1721"/>
      <c r="AB350" s="1681"/>
      <c r="AC350" s="1681"/>
      <c r="AD350" s="1681"/>
      <c r="AE350" s="1681"/>
      <c r="AF350" s="1386"/>
      <c r="AG350" s="1386"/>
      <c r="AI350" s="300"/>
      <c r="AJ350" s="300"/>
      <c r="AK350" s="300"/>
      <c r="AL350" s="300"/>
      <c r="AM350" s="300"/>
      <c r="AN350" s="300"/>
      <c r="AO350" s="300"/>
      <c r="AP350" s="300"/>
      <c r="AQ350" s="300"/>
      <c r="AR350" s="300"/>
      <c r="AS350" s="300"/>
      <c r="AT350" s="300"/>
      <c r="AU350" s="300"/>
      <c r="AV350" s="300"/>
      <c r="AW350" s="300"/>
      <c r="AX350" s="300"/>
      <c r="AY350" s="300"/>
      <c r="BE350" s="19"/>
      <c r="BF350" s="17"/>
      <c r="BI350" s="11"/>
      <c r="CE350" s="327"/>
      <c r="CF350" s="352" t="s">
        <v>1237</v>
      </c>
      <c r="CG350" s="1033" t="s">
        <v>119</v>
      </c>
      <c r="CH350" s="1033"/>
      <c r="CI350" s="278">
        <f>BX367</f>
        <v>4.293824372341704</v>
      </c>
      <c r="CJ350" s="275" t="s">
        <v>50</v>
      </c>
      <c r="CK350" s="12"/>
      <c r="CL350" s="1771"/>
      <c r="CM350" s="1772"/>
      <c r="CN350" s="1772"/>
      <c r="CO350" s="1773"/>
      <c r="CP350" s="12"/>
      <c r="CQ350" s="12"/>
      <c r="CR350" s="352" t="s">
        <v>1237</v>
      </c>
      <c r="CS350" s="1033" t="s">
        <v>126</v>
      </c>
      <c r="CT350" s="1033"/>
      <c r="CU350" s="9"/>
      <c r="CV350" s="10"/>
      <c r="CW350" s="12"/>
      <c r="CX350" s="200"/>
      <c r="CY350" s="197"/>
      <c r="CZ350" s="204"/>
      <c r="DA350" s="12"/>
      <c r="DB350" s="12"/>
      <c r="DC350" s="12"/>
      <c r="DD350" s="352" t="s">
        <v>1237</v>
      </c>
      <c r="DE350" s="1033" t="s">
        <v>126</v>
      </c>
      <c r="DF350" s="1033"/>
      <c r="DG350" s="276"/>
      <c r="DH350" s="292"/>
      <c r="DI350" s="12"/>
      <c r="DJ350" s="12"/>
      <c r="DK350" s="1766"/>
      <c r="DL350" s="1766"/>
      <c r="DM350" s="1766"/>
      <c r="DN350" s="1766"/>
      <c r="DO350" s="12"/>
      <c r="DP350" s="208"/>
    </row>
    <row r="351" spans="2:120" ht="48.75" customHeight="1">
      <c r="B351" s="1385"/>
      <c r="C351" s="1385"/>
      <c r="D351" s="1385"/>
      <c r="E351" s="1759"/>
      <c r="F351" s="1760"/>
      <c r="G351" s="1760"/>
      <c r="H351" s="1760"/>
      <c r="I351" s="1760"/>
      <c r="J351" s="1760"/>
      <c r="K351" s="1799"/>
      <c r="N351" s="1712"/>
      <c r="O351" s="1700" t="s">
        <v>1478</v>
      </c>
      <c r="P351" s="1701"/>
      <c r="Q351" s="424">
        <f>'Вывод расчетов'!$GW$69</f>
        <v>1.5</v>
      </c>
      <c r="R351" s="696" t="s">
        <v>1762</v>
      </c>
      <c r="S351" s="697"/>
      <c r="T351" s="1720"/>
      <c r="U351" s="1721"/>
      <c r="V351" s="1721"/>
      <c r="W351" s="1721"/>
      <c r="X351" s="1721"/>
      <c r="Y351" s="1721"/>
      <c r="Z351" s="1721"/>
      <c r="AA351" s="1721"/>
      <c r="AB351" s="1681"/>
      <c r="AC351" s="1681"/>
      <c r="AD351" s="1681"/>
      <c r="AE351" s="1681"/>
      <c r="AF351" s="1386"/>
      <c r="AG351" s="1386"/>
      <c r="AI351" s="300"/>
      <c r="AJ351" s="300"/>
      <c r="AK351" s="300"/>
      <c r="AL351" s="300"/>
      <c r="AM351" s="300"/>
      <c r="AN351" s="300"/>
      <c r="AO351" s="300"/>
      <c r="AP351" s="300"/>
      <c r="AQ351" s="300"/>
      <c r="AR351" s="300"/>
      <c r="AS351" s="300"/>
      <c r="AT351" s="300"/>
      <c r="AU351" s="300"/>
      <c r="AV351" s="300"/>
      <c r="AW351" s="300"/>
      <c r="AX351" s="300"/>
      <c r="AY351" s="300"/>
      <c r="BE351" s="19"/>
      <c r="BF351" s="17"/>
      <c r="BI351" s="11"/>
      <c r="CE351" s="327"/>
      <c r="CF351" s="352" t="s">
        <v>1237</v>
      </c>
      <c r="CG351" s="1033" t="s">
        <v>102</v>
      </c>
      <c r="CH351" s="1033"/>
      <c r="CI351" s="278">
        <f>BX366</f>
        <v>4.7805818145735266</v>
      </c>
      <c r="CJ351" s="275" t="s">
        <v>50</v>
      </c>
      <c r="CK351" s="12"/>
      <c r="CL351" s="1771"/>
      <c r="CM351" s="1772"/>
      <c r="CN351" s="1772"/>
      <c r="CO351" s="1773"/>
      <c r="CP351" s="12"/>
      <c r="CQ351" s="12"/>
      <c r="CR351" s="352" t="s">
        <v>1237</v>
      </c>
      <c r="CS351" s="1033" t="s">
        <v>126</v>
      </c>
      <c r="CT351" s="1033"/>
      <c r="CU351" s="9"/>
      <c r="CV351" s="10"/>
      <c r="CW351" s="12"/>
      <c r="CX351" s="200"/>
      <c r="CY351" s="197"/>
      <c r="CZ351" s="204"/>
      <c r="DA351" s="12"/>
      <c r="DB351" s="12"/>
      <c r="DC351" s="12"/>
      <c r="DD351" s="352" t="s">
        <v>1237</v>
      </c>
      <c r="DE351" s="1033" t="s">
        <v>126</v>
      </c>
      <c r="DF351" s="1033"/>
      <c r="DG351" s="276"/>
      <c r="DH351" s="292"/>
      <c r="DI351" s="12"/>
      <c r="DJ351" s="12"/>
      <c r="DK351" s="1766"/>
      <c r="DL351" s="1766"/>
      <c r="DM351" s="1766"/>
      <c r="DN351" s="1766"/>
      <c r="DO351" s="12"/>
      <c r="DP351" s="208"/>
    </row>
    <row r="352" spans="2:120" ht="48.75" customHeight="1">
      <c r="B352" s="1385"/>
      <c r="C352" s="1385" t="s">
        <v>568</v>
      </c>
      <c r="D352" s="1385"/>
      <c r="E352" s="1732"/>
      <c r="F352" s="1733"/>
      <c r="G352" s="1733"/>
      <c r="H352" s="1733"/>
      <c r="I352" s="1733"/>
      <c r="J352" s="1733"/>
      <c r="K352" s="1734"/>
      <c r="N352" s="1712"/>
      <c r="O352" s="1700" t="s">
        <v>1191</v>
      </c>
      <c r="P352" s="1701"/>
      <c r="Q352" s="424">
        <f>'Вывод расчетов'!$GW$73</f>
        <v>0.5</v>
      </c>
      <c r="R352" s="193"/>
      <c r="S352" s="195"/>
      <c r="T352" s="1720"/>
      <c r="U352" s="1721"/>
      <c r="V352" s="1721"/>
      <c r="W352" s="1721"/>
      <c r="X352" s="1721"/>
      <c r="Y352" s="1721"/>
      <c r="Z352" s="1721"/>
      <c r="AA352" s="1721"/>
      <c r="AB352" s="1681"/>
      <c r="AC352" s="1681"/>
      <c r="AD352" s="1681"/>
      <c r="AE352" s="1681"/>
      <c r="AF352" s="1386"/>
      <c r="AG352" s="1386"/>
      <c r="AI352" s="300"/>
      <c r="AJ352" s="300"/>
      <c r="AK352" s="300"/>
      <c r="AL352" s="300"/>
      <c r="AM352" s="300"/>
      <c r="AN352" s="300"/>
      <c r="AO352" s="300"/>
      <c r="AP352" s="300"/>
      <c r="AQ352" s="300"/>
      <c r="AR352" s="300"/>
      <c r="AS352" s="300"/>
      <c r="AT352" s="300"/>
      <c r="AU352" s="300"/>
      <c r="AV352" s="300"/>
      <c r="AW352" s="300"/>
      <c r="AX352" s="300"/>
      <c r="AY352" s="300"/>
      <c r="BE352" s="19"/>
      <c r="BF352" s="17"/>
      <c r="BI352" s="11"/>
      <c r="CE352" s="327"/>
      <c r="CF352" s="352" t="s">
        <v>1237</v>
      </c>
      <c r="CG352" s="1033" t="s">
        <v>103</v>
      </c>
      <c r="CH352" s="1033"/>
      <c r="CI352" s="278">
        <f>BX368</f>
        <v>1.5</v>
      </c>
      <c r="CJ352" s="275" t="s">
        <v>50</v>
      </c>
      <c r="CK352" s="12"/>
      <c r="CL352" s="1771"/>
      <c r="CM352" s="1772"/>
      <c r="CN352" s="1772"/>
      <c r="CO352" s="1773"/>
      <c r="CP352" s="12"/>
      <c r="CQ352" s="12"/>
      <c r="CR352" s="352" t="s">
        <v>1237</v>
      </c>
      <c r="CS352" s="1033" t="s">
        <v>126</v>
      </c>
      <c r="CT352" s="1033"/>
      <c r="CU352" s="9"/>
      <c r="CV352" s="10"/>
      <c r="CW352" s="12"/>
      <c r="CX352" s="200"/>
      <c r="CY352" s="197"/>
      <c r="CZ352" s="204"/>
      <c r="DA352" s="12"/>
      <c r="DB352" s="12"/>
      <c r="DC352" s="12"/>
      <c r="DD352" s="352" t="s">
        <v>1237</v>
      </c>
      <c r="DE352" s="1033" t="s">
        <v>126</v>
      </c>
      <c r="DF352" s="1033"/>
      <c r="DG352" s="276"/>
      <c r="DH352" s="292"/>
      <c r="DI352" s="12"/>
      <c r="DJ352" s="12"/>
      <c r="DK352" s="1766"/>
      <c r="DL352" s="1766"/>
      <c r="DM352" s="1766"/>
      <c r="DN352" s="1766"/>
      <c r="DO352" s="12"/>
      <c r="DP352" s="208"/>
    </row>
    <row r="353" spans="1:120" ht="48.75" customHeight="1">
      <c r="B353" s="1385"/>
      <c r="C353" s="1385"/>
      <c r="D353" s="1385"/>
      <c r="E353" s="1735"/>
      <c r="F353" s="1736"/>
      <c r="G353" s="1736"/>
      <c r="H353" s="1736"/>
      <c r="I353" s="1736"/>
      <c r="J353" s="1736"/>
      <c r="K353" s="1737"/>
      <c r="N353" s="1713"/>
      <c r="O353" s="863" t="s">
        <v>1185</v>
      </c>
      <c r="P353" s="863"/>
      <c r="Q353" s="425">
        <f>'Вывод расчетов'!$IH$88</f>
        <v>4.8</v>
      </c>
      <c r="R353" s="94"/>
      <c r="S353" s="96"/>
      <c r="T353" s="1722"/>
      <c r="U353" s="1723"/>
      <c r="V353" s="1723"/>
      <c r="W353" s="1723"/>
      <c r="X353" s="1723"/>
      <c r="Y353" s="1723"/>
      <c r="Z353" s="1723"/>
      <c r="AA353" s="1723"/>
      <c r="AB353" s="1681"/>
      <c r="AC353" s="1681"/>
      <c r="AD353" s="1681"/>
      <c r="AE353" s="1681"/>
      <c r="AF353" s="1386"/>
      <c r="AG353" s="1386"/>
      <c r="AI353" s="300"/>
      <c r="AJ353" s="300"/>
      <c r="AK353" s="300"/>
      <c r="AL353" s="300"/>
      <c r="AM353" s="300"/>
      <c r="AN353" s="300"/>
      <c r="AO353" s="300"/>
      <c r="AP353" s="300"/>
      <c r="AQ353" s="300"/>
      <c r="AR353" s="300"/>
      <c r="AS353" s="300"/>
      <c r="AT353" s="300"/>
      <c r="AU353" s="300"/>
      <c r="AV353" s="300"/>
      <c r="AW353" s="300"/>
      <c r="AX353" s="300"/>
      <c r="AY353" s="300"/>
      <c r="BE353" s="19"/>
      <c r="BF353" s="17"/>
      <c r="BI353" s="11"/>
      <c r="CE353" s="327"/>
      <c r="CF353" s="352" t="s">
        <v>1237</v>
      </c>
      <c r="CG353" s="1033" t="s">
        <v>51</v>
      </c>
      <c r="CH353" s="1033"/>
      <c r="CI353" s="278">
        <f>BX369</f>
        <v>4.6178343949044587</v>
      </c>
      <c r="CJ353" s="275" t="s">
        <v>50</v>
      </c>
      <c r="CK353" s="12"/>
      <c r="CL353" s="1771"/>
      <c r="CM353" s="1772"/>
      <c r="CN353" s="1772"/>
      <c r="CO353" s="1773"/>
      <c r="CP353" s="12"/>
      <c r="CQ353" s="12"/>
      <c r="CR353" s="352" t="s">
        <v>1237</v>
      </c>
      <c r="CS353" s="1033" t="s">
        <v>126</v>
      </c>
      <c r="CT353" s="1033"/>
      <c r="CU353" s="9"/>
      <c r="CV353" s="10"/>
      <c r="CW353" s="12"/>
      <c r="CX353" s="200"/>
      <c r="CY353" s="197"/>
      <c r="CZ353" s="204"/>
      <c r="DA353" s="12"/>
      <c r="DB353" s="12"/>
      <c r="DC353" s="12"/>
      <c r="DD353" s="12"/>
      <c r="DE353" s="12"/>
      <c r="DF353" s="12"/>
      <c r="DG353" s="12"/>
      <c r="DH353" s="12"/>
      <c r="DI353" s="12"/>
      <c r="DJ353" s="12"/>
      <c r="DK353" s="1766"/>
      <c r="DL353" s="1766"/>
      <c r="DM353" s="1766"/>
      <c r="DN353" s="1766"/>
      <c r="DO353" s="12"/>
      <c r="DP353" s="208"/>
    </row>
    <row r="354" spans="1:120" ht="48.75" customHeight="1">
      <c r="A354" s="12"/>
      <c r="B354" s="1385"/>
      <c r="C354" s="1385"/>
      <c r="D354" s="1385"/>
      <c r="E354" s="1759"/>
      <c r="F354" s="1760"/>
      <c r="G354" s="1760"/>
      <c r="H354" s="1760"/>
      <c r="I354" s="1760"/>
      <c r="J354" s="1760"/>
      <c r="K354" s="1799"/>
      <c r="N354" s="1683">
        <v>2</v>
      </c>
      <c r="O354" s="91"/>
      <c r="P354" s="92"/>
      <c r="Q354" s="92"/>
      <c r="R354" s="92"/>
      <c r="S354" s="93"/>
      <c r="T354" s="1696"/>
      <c r="U354" s="1696"/>
      <c r="V354" s="1696"/>
      <c r="W354" s="1696"/>
      <c r="X354" s="1696"/>
      <c r="Y354" s="1696"/>
      <c r="Z354" s="1696"/>
      <c r="AA354" s="1696"/>
      <c r="AB354" s="1033" t="s">
        <v>679</v>
      </c>
      <c r="AC354" s="1681"/>
      <c r="AD354" s="1681"/>
      <c r="AE354" s="1681"/>
      <c r="AF354" s="427" t="s">
        <v>126</v>
      </c>
      <c r="AG354" s="201" t="s">
        <v>731</v>
      </c>
      <c r="AI354" s="300"/>
      <c r="AJ354" s="300"/>
      <c r="AK354" s="300"/>
      <c r="AL354" s="300"/>
      <c r="AM354" s="300"/>
      <c r="AN354" s="300"/>
      <c r="AO354" s="300"/>
      <c r="AP354" s="300"/>
      <c r="AQ354" s="300"/>
      <c r="AR354" s="300"/>
      <c r="AS354" s="300"/>
      <c r="AT354" s="300"/>
      <c r="AU354" s="300"/>
      <c r="AV354" s="300"/>
      <c r="AW354" s="300"/>
      <c r="AX354" s="300"/>
      <c r="AY354" s="300"/>
      <c r="BE354" s="19"/>
      <c r="BF354" s="17"/>
      <c r="BI354" s="11"/>
      <c r="CE354" s="327"/>
      <c r="CF354" s="352" t="s">
        <v>1237</v>
      </c>
      <c r="CG354" s="1033" t="s">
        <v>101</v>
      </c>
      <c r="CH354" s="1033"/>
      <c r="CI354" s="278">
        <f>BX371</f>
        <v>0.5</v>
      </c>
      <c r="CJ354" s="275" t="s">
        <v>50</v>
      </c>
      <c r="CK354" s="12"/>
      <c r="CL354" s="1771"/>
      <c r="CM354" s="1772"/>
      <c r="CN354" s="1772"/>
      <c r="CO354" s="1773"/>
      <c r="CP354" s="12"/>
      <c r="CQ354" s="12"/>
      <c r="CR354" s="352" t="s">
        <v>1237</v>
      </c>
      <c r="CS354" s="1033" t="s">
        <v>126</v>
      </c>
      <c r="CT354" s="1033"/>
      <c r="CU354" s="9"/>
      <c r="CV354" s="10"/>
      <c r="CW354" s="12"/>
      <c r="CX354" s="200"/>
      <c r="CY354" s="197"/>
      <c r="CZ354" s="204"/>
      <c r="DA354" s="12"/>
      <c r="DB354" s="12"/>
      <c r="DC354" s="12"/>
      <c r="DD354" s="12"/>
      <c r="DE354" s="12"/>
      <c r="DF354" s="12"/>
      <c r="DG354" s="12"/>
      <c r="DH354" s="273"/>
      <c r="DI354" s="297"/>
      <c r="DJ354" s="12"/>
      <c r="DK354" s="1766"/>
      <c r="DL354" s="1766"/>
      <c r="DM354" s="1766"/>
      <c r="DN354" s="1766"/>
      <c r="DO354" s="12"/>
      <c r="DP354" s="208"/>
    </row>
    <row r="355" spans="1:120" ht="48.75" customHeight="1">
      <c r="A355" s="12"/>
      <c r="B355" s="1385" t="s">
        <v>665</v>
      </c>
      <c r="C355" s="1385" t="s">
        <v>575</v>
      </c>
      <c r="D355" s="1385"/>
      <c r="E355" s="1732"/>
      <c r="F355" s="1733"/>
      <c r="G355" s="1733"/>
      <c r="H355" s="1733"/>
      <c r="I355" s="1733"/>
      <c r="J355" s="1733"/>
      <c r="K355" s="1734"/>
      <c r="N355" s="1683"/>
      <c r="O355" s="193"/>
      <c r="P355" s="194"/>
      <c r="Q355" s="194"/>
      <c r="R355" s="194"/>
      <c r="S355" s="195"/>
      <c r="T355" s="1696"/>
      <c r="U355" s="1696"/>
      <c r="V355" s="1696"/>
      <c r="W355" s="1696"/>
      <c r="X355" s="1696"/>
      <c r="Y355" s="1696"/>
      <c r="Z355" s="1696"/>
      <c r="AA355" s="1696"/>
      <c r="AB355" s="1033"/>
      <c r="AC355" s="1681"/>
      <c r="AD355" s="1681"/>
      <c r="AE355" s="1681"/>
      <c r="AF355" s="1682"/>
      <c r="AG355" s="1070" t="s">
        <v>762</v>
      </c>
      <c r="AI355" s="300"/>
      <c r="AJ355" s="300"/>
      <c r="AK355" s="300"/>
      <c r="AL355" s="300"/>
      <c r="AM355" s="300"/>
      <c r="AN355" s="300"/>
      <c r="AO355" s="300"/>
      <c r="AP355" s="300"/>
      <c r="AQ355" s="300"/>
      <c r="AR355" s="300"/>
      <c r="AS355" s="300"/>
      <c r="AT355" s="300"/>
      <c r="AU355" s="300"/>
      <c r="AV355" s="300"/>
      <c r="AW355" s="300"/>
      <c r="AX355" s="300"/>
      <c r="AY355" s="300"/>
      <c r="BE355" s="19"/>
      <c r="BF355" s="17"/>
      <c r="BI355" s="11"/>
      <c r="CE355" s="327"/>
      <c r="CF355" s="12"/>
      <c r="CG355" s="12"/>
      <c r="CH355" s="12"/>
      <c r="CI355" s="280"/>
      <c r="CJ355" s="16"/>
      <c r="CK355" s="12"/>
      <c r="CL355" s="1771"/>
      <c r="CM355" s="1772"/>
      <c r="CN355" s="1772"/>
      <c r="CO355" s="1773"/>
      <c r="CP355" s="12"/>
      <c r="CQ355" s="12"/>
      <c r="CR355" s="352" t="s">
        <v>1237</v>
      </c>
      <c r="CS355" s="1033" t="s">
        <v>126</v>
      </c>
      <c r="CT355" s="1033"/>
      <c r="CU355" s="9"/>
      <c r="CV355" s="10"/>
      <c r="CW355" s="12"/>
      <c r="CX355" s="200"/>
      <c r="CY355" s="197"/>
      <c r="CZ355" s="204"/>
      <c r="DA355" s="12"/>
      <c r="DB355" s="12"/>
      <c r="DC355" s="12"/>
      <c r="DD355" s="12"/>
      <c r="DE355" s="12"/>
      <c r="DF355" s="12"/>
      <c r="DG355" s="12"/>
      <c r="DH355" s="12"/>
      <c r="DI355" s="12"/>
      <c r="DJ355" s="12"/>
      <c r="DK355" s="12"/>
      <c r="DL355" s="12"/>
      <c r="DM355" s="12"/>
      <c r="DN355" s="12"/>
      <c r="DO355" s="12"/>
      <c r="DP355" s="208"/>
    </row>
    <row r="356" spans="1:120" ht="48.75" customHeight="1">
      <c r="A356" s="12"/>
      <c r="B356" s="1385"/>
      <c r="C356" s="1385"/>
      <c r="D356" s="1385"/>
      <c r="E356" s="1735"/>
      <c r="F356" s="1736"/>
      <c r="G356" s="1736"/>
      <c r="H356" s="1736"/>
      <c r="I356" s="1736"/>
      <c r="J356" s="1736"/>
      <c r="K356" s="1737"/>
      <c r="N356" s="1683"/>
      <c r="O356" s="193"/>
      <c r="P356" s="194"/>
      <c r="Q356" s="194"/>
      <c r="R356" s="194"/>
      <c r="S356" s="195"/>
      <c r="T356" s="1696"/>
      <c r="U356" s="1696"/>
      <c r="V356" s="1696"/>
      <c r="W356" s="1696"/>
      <c r="X356" s="1696"/>
      <c r="Y356" s="1696"/>
      <c r="Z356" s="1696"/>
      <c r="AA356" s="1696"/>
      <c r="AB356" s="1033"/>
      <c r="AC356" s="1681"/>
      <c r="AD356" s="1681"/>
      <c r="AE356" s="1681"/>
      <c r="AF356" s="1682"/>
      <c r="AG356" s="1070"/>
      <c r="AI356" s="300"/>
      <c r="AJ356" s="300"/>
      <c r="AK356" s="300"/>
      <c r="AL356" s="300"/>
      <c r="AM356" s="300"/>
      <c r="AN356" s="300"/>
      <c r="AO356" s="300"/>
      <c r="AP356" s="300"/>
      <c r="AQ356" s="300"/>
      <c r="AR356" s="300"/>
      <c r="AS356" s="300"/>
      <c r="AT356" s="300"/>
      <c r="AU356" s="300"/>
      <c r="AV356" s="300"/>
      <c r="AW356" s="300"/>
      <c r="AX356" s="300"/>
      <c r="AY356" s="300"/>
      <c r="BE356" s="19"/>
      <c r="BF356" s="17"/>
      <c r="BI356" s="11"/>
      <c r="CE356" s="327"/>
      <c r="CF356" s="12"/>
      <c r="CG356" s="12"/>
      <c r="CH356" s="12"/>
      <c r="CI356" s="280"/>
      <c r="CJ356" s="16"/>
      <c r="CK356" s="12"/>
      <c r="CL356" s="1771"/>
      <c r="CM356" s="1772"/>
      <c r="CN356" s="1772"/>
      <c r="CO356" s="1773"/>
      <c r="CP356" s="12"/>
      <c r="CQ356" s="12"/>
      <c r="CR356" s="12"/>
      <c r="CS356" s="12"/>
      <c r="CT356" s="12"/>
      <c r="CU356" s="12"/>
      <c r="CV356" s="12"/>
      <c r="CW356" s="12"/>
      <c r="CX356" s="200"/>
      <c r="CY356" s="197"/>
      <c r="CZ356" s="204"/>
      <c r="DA356" s="12"/>
      <c r="DB356" s="12"/>
      <c r="DC356" s="12"/>
      <c r="DD356" s="12"/>
      <c r="DE356" s="12"/>
      <c r="DF356" s="12"/>
      <c r="DG356" s="12"/>
      <c r="DH356" s="12"/>
      <c r="DI356" s="12"/>
      <c r="DJ356" s="12"/>
      <c r="DK356" s="12"/>
      <c r="DL356" s="12"/>
      <c r="DM356" s="12"/>
      <c r="DN356" s="12"/>
      <c r="DO356" s="12"/>
      <c r="DP356" s="208"/>
    </row>
    <row r="357" spans="1:120" ht="48.75" customHeight="1">
      <c r="A357" s="12"/>
      <c r="B357" s="1385"/>
      <c r="C357" s="1385"/>
      <c r="D357" s="1385"/>
      <c r="E357" s="1759"/>
      <c r="F357" s="1760"/>
      <c r="G357" s="1760"/>
      <c r="H357" s="1760"/>
      <c r="I357" s="1760"/>
      <c r="J357" s="1760"/>
      <c r="K357" s="1799"/>
      <c r="N357" s="1683"/>
      <c r="O357" s="193"/>
      <c r="P357" s="194"/>
      <c r="Q357" s="194"/>
      <c r="R357" s="194"/>
      <c r="S357" s="195"/>
      <c r="T357" s="1696"/>
      <c r="U357" s="1696"/>
      <c r="V357" s="1696"/>
      <c r="W357" s="1696"/>
      <c r="X357" s="1696"/>
      <c r="Y357" s="1696"/>
      <c r="Z357" s="1696"/>
      <c r="AA357" s="1696"/>
      <c r="AB357" s="1033"/>
      <c r="AC357" s="1681"/>
      <c r="AD357" s="1681"/>
      <c r="AE357" s="1681"/>
      <c r="AF357" s="1386"/>
      <c r="AG357" s="1386"/>
      <c r="AI357" s="300"/>
      <c r="AJ357" s="300"/>
      <c r="AK357" s="300"/>
      <c r="AL357" s="300"/>
      <c r="AM357" s="300"/>
      <c r="AN357" s="300"/>
      <c r="AO357" s="300"/>
      <c r="AP357" s="300"/>
      <c r="AQ357" s="300"/>
      <c r="AR357" s="300"/>
      <c r="AS357" s="300"/>
      <c r="AT357" s="300"/>
      <c r="AU357" s="300"/>
      <c r="AV357" s="300"/>
      <c r="AW357" s="300"/>
      <c r="AX357" s="300"/>
      <c r="AY357" s="300"/>
      <c r="BE357" s="19"/>
      <c r="BF357" s="17"/>
      <c r="BI357" s="11"/>
      <c r="CE357" s="327"/>
      <c r="CF357" s="12"/>
      <c r="CG357" s="12"/>
      <c r="CH357" s="12"/>
      <c r="CI357" s="280"/>
      <c r="CJ357" s="16"/>
      <c r="CK357" s="12"/>
      <c r="CL357" s="1771"/>
      <c r="CM357" s="1772"/>
      <c r="CN357" s="1772"/>
      <c r="CO357" s="1773"/>
      <c r="CP357" s="12"/>
      <c r="CQ357" s="12"/>
      <c r="CR357" s="12"/>
      <c r="CS357" s="12"/>
      <c r="CT357" s="12"/>
      <c r="CU357" s="12"/>
      <c r="CV357" s="12"/>
      <c r="CW357" s="12"/>
      <c r="CX357" s="200"/>
      <c r="CY357" s="197"/>
      <c r="CZ357" s="204"/>
      <c r="DA357" s="12"/>
      <c r="DB357" s="12"/>
      <c r="DC357" s="12"/>
      <c r="DD357" s="12"/>
      <c r="DE357" s="12"/>
      <c r="DF357" s="12"/>
      <c r="DG357" s="12"/>
      <c r="DH357" s="12"/>
      <c r="DI357" s="12"/>
      <c r="DJ357" s="12"/>
      <c r="DK357" s="12"/>
      <c r="DL357" s="12"/>
      <c r="DM357" s="12"/>
      <c r="DN357" s="12"/>
      <c r="DO357" s="12"/>
      <c r="DP357" s="208"/>
    </row>
    <row r="358" spans="1:120" ht="48.75" customHeight="1">
      <c r="B358" s="1715" t="s">
        <v>666</v>
      </c>
      <c r="C358" s="1385" t="s">
        <v>676</v>
      </c>
      <c r="D358" s="1385"/>
      <c r="E358" s="1732"/>
      <c r="F358" s="1733"/>
      <c r="G358" s="1733"/>
      <c r="H358" s="1733"/>
      <c r="I358" s="1733"/>
      <c r="J358" s="1733"/>
      <c r="K358" s="1734"/>
      <c r="N358" s="1683"/>
      <c r="O358" s="193"/>
      <c r="P358" s="194"/>
      <c r="Q358" s="194"/>
      <c r="R358" s="194"/>
      <c r="S358" s="195"/>
      <c r="T358" s="1696"/>
      <c r="U358" s="1696"/>
      <c r="V358" s="1696"/>
      <c r="W358" s="1696"/>
      <c r="X358" s="1696"/>
      <c r="Y358" s="1696"/>
      <c r="Z358" s="1696"/>
      <c r="AA358" s="1696"/>
      <c r="AB358" s="1033"/>
      <c r="AC358" s="1681"/>
      <c r="AD358" s="1681"/>
      <c r="AE358" s="1681"/>
      <c r="AF358" s="1386"/>
      <c r="AG358" s="1386"/>
      <c r="AI358" s="300"/>
      <c r="AJ358" s="300"/>
      <c r="AK358" s="300"/>
      <c r="AL358" s="300"/>
      <c r="AM358" s="300"/>
      <c r="AN358" s="300"/>
      <c r="AO358" s="300"/>
      <c r="AP358" s="300"/>
      <c r="AQ358" s="300"/>
      <c r="AR358" s="300"/>
      <c r="AS358" s="300"/>
      <c r="AT358" s="300"/>
      <c r="AU358" s="300"/>
      <c r="AV358" s="300"/>
      <c r="AW358" s="300"/>
      <c r="AX358" s="300"/>
      <c r="AY358" s="300"/>
      <c r="BE358" s="19"/>
      <c r="BF358" s="17"/>
      <c r="BI358" s="11"/>
      <c r="CE358" s="327"/>
      <c r="CF358" s="12"/>
      <c r="CG358" s="12"/>
      <c r="CH358" s="12"/>
      <c r="CI358" s="280"/>
      <c r="CJ358" s="16"/>
      <c r="CK358" s="12"/>
      <c r="CL358" s="1774"/>
      <c r="CM358" s="1775"/>
      <c r="CN358" s="1775"/>
      <c r="CO358" s="1776"/>
      <c r="CP358" s="12"/>
      <c r="CQ358" s="12"/>
      <c r="CR358" s="12"/>
      <c r="CS358" s="12"/>
      <c r="CT358" s="12"/>
      <c r="CU358" s="12"/>
      <c r="CV358" s="12"/>
      <c r="CW358" s="12"/>
      <c r="CX358" s="205"/>
      <c r="CY358" s="206"/>
      <c r="CZ358" s="207"/>
      <c r="DA358" s="12"/>
      <c r="DB358" s="12"/>
      <c r="DC358" s="12"/>
      <c r="DD358" s="12"/>
      <c r="DE358" s="12"/>
      <c r="DF358" s="12"/>
      <c r="DG358" s="12"/>
      <c r="DH358" s="12"/>
      <c r="DI358" s="12"/>
      <c r="DJ358" s="12"/>
      <c r="DK358" s="12"/>
      <c r="DL358" s="12"/>
      <c r="DM358" s="12"/>
      <c r="DN358" s="12"/>
      <c r="DO358" s="12"/>
      <c r="DP358" s="208"/>
    </row>
    <row r="359" spans="1:120" ht="48.75" customHeight="1">
      <c r="B359" s="1404"/>
      <c r="C359" s="1385"/>
      <c r="D359" s="1385"/>
      <c r="E359" s="1735"/>
      <c r="F359" s="1736"/>
      <c r="G359" s="1736"/>
      <c r="H359" s="1736"/>
      <c r="I359" s="1736"/>
      <c r="J359" s="1736"/>
      <c r="K359" s="1737"/>
      <c r="N359" s="1683"/>
      <c r="O359" s="193"/>
      <c r="P359" s="194"/>
      <c r="Q359" s="194"/>
      <c r="R359" s="194"/>
      <c r="S359" s="195"/>
      <c r="T359" s="1696"/>
      <c r="U359" s="1696"/>
      <c r="V359" s="1696"/>
      <c r="W359" s="1696"/>
      <c r="X359" s="1696"/>
      <c r="Y359" s="1696"/>
      <c r="Z359" s="1696"/>
      <c r="AA359" s="1696"/>
      <c r="AB359" s="1033"/>
      <c r="AC359" s="1681"/>
      <c r="AD359" s="1681"/>
      <c r="AE359" s="1681"/>
      <c r="AF359" s="1386"/>
      <c r="AG359" s="1386"/>
      <c r="AI359" s="300"/>
      <c r="AJ359" s="300"/>
      <c r="AK359" s="300"/>
      <c r="AL359" s="300"/>
      <c r="AM359" s="300"/>
      <c r="AN359" s="300"/>
      <c r="AO359" s="300"/>
      <c r="AP359" s="300"/>
      <c r="AQ359" s="300"/>
      <c r="AR359" s="300"/>
      <c r="AS359" s="300"/>
      <c r="AT359" s="300"/>
      <c r="AU359" s="300"/>
      <c r="AV359" s="300"/>
      <c r="AW359" s="300"/>
      <c r="AX359" s="300"/>
      <c r="AY359" s="300"/>
      <c r="BE359" s="19"/>
      <c r="BF359" s="17"/>
      <c r="BI359" s="11"/>
      <c r="CE359" s="327"/>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208"/>
    </row>
    <row r="360" spans="1:120" ht="48.75" customHeight="1">
      <c r="B360" s="1404"/>
      <c r="C360" s="1385"/>
      <c r="D360" s="1385"/>
      <c r="E360" s="1759"/>
      <c r="F360" s="1760"/>
      <c r="G360" s="1760"/>
      <c r="H360" s="1760"/>
      <c r="I360" s="1760"/>
      <c r="J360" s="1760"/>
      <c r="K360" s="1799"/>
      <c r="N360" s="1683"/>
      <c r="O360" s="94"/>
      <c r="P360" s="95"/>
      <c r="Q360" s="95"/>
      <c r="R360" s="95"/>
      <c r="S360" s="96"/>
      <c r="T360" s="1696"/>
      <c r="U360" s="1696"/>
      <c r="V360" s="1696"/>
      <c r="W360" s="1696"/>
      <c r="X360" s="1696"/>
      <c r="Y360" s="1696"/>
      <c r="Z360" s="1696"/>
      <c r="AA360" s="1696"/>
      <c r="AB360" s="1033"/>
      <c r="AC360" s="1681"/>
      <c r="AD360" s="1681"/>
      <c r="AE360" s="1681"/>
      <c r="AF360" s="1386"/>
      <c r="AG360" s="1386"/>
      <c r="AI360" s="300"/>
      <c r="AJ360" s="300"/>
      <c r="AK360" s="300"/>
      <c r="AL360" s="300"/>
      <c r="AM360" s="300"/>
      <c r="AN360" s="300"/>
      <c r="AO360" s="300"/>
      <c r="AP360" s="300"/>
      <c r="AQ360" s="300"/>
      <c r="AR360" s="300"/>
      <c r="AS360" s="300"/>
      <c r="AT360" s="300"/>
      <c r="AU360" s="300"/>
      <c r="AV360" s="300"/>
      <c r="AW360" s="300"/>
      <c r="AX360" s="300"/>
      <c r="AY360" s="300"/>
      <c r="BE360" s="19"/>
      <c r="BF360" s="17"/>
      <c r="BI360" s="11"/>
      <c r="CE360" s="327"/>
      <c r="CF360" s="328"/>
      <c r="CG360" s="328"/>
      <c r="CH360" s="328"/>
      <c r="CI360" s="328"/>
      <c r="CJ360" s="328"/>
      <c r="CK360" s="12"/>
      <c r="CL360" s="12"/>
      <c r="CM360" s="12"/>
      <c r="CN360" s="12"/>
      <c r="CO360" s="12"/>
      <c r="CP360" s="12"/>
      <c r="CQ360" s="12"/>
      <c r="CR360" s="12"/>
      <c r="CS360" s="12"/>
      <c r="CT360" s="12"/>
      <c r="CU360" s="12"/>
      <c r="CV360" s="12"/>
      <c r="CW360" s="12"/>
      <c r="CX360" s="12"/>
      <c r="CY360" s="12"/>
      <c r="CZ360" s="12"/>
      <c r="DA360" s="328"/>
      <c r="DB360" s="12"/>
      <c r="DC360" s="12"/>
      <c r="DD360" s="12"/>
      <c r="DE360" s="12"/>
      <c r="DF360" s="12"/>
      <c r="DG360" s="12"/>
      <c r="DH360" s="12"/>
      <c r="DI360" s="12"/>
      <c r="DJ360" s="12"/>
      <c r="DK360" s="12"/>
      <c r="DL360" s="12"/>
      <c r="DM360" s="12"/>
      <c r="DN360" s="12"/>
      <c r="DO360" s="12"/>
      <c r="DP360" s="208"/>
    </row>
    <row r="361" spans="1:120" ht="48.75" customHeight="1">
      <c r="B361" s="1385" t="s">
        <v>667</v>
      </c>
      <c r="C361" s="1385" t="s">
        <v>668</v>
      </c>
      <c r="D361" s="1385"/>
      <c r="E361" s="1684"/>
      <c r="F361" s="1685"/>
      <c r="G361" s="1685"/>
      <c r="H361" s="1685"/>
      <c r="I361" s="1685"/>
      <c r="J361" s="1685"/>
      <c r="K361" s="1686"/>
      <c r="N361" s="1683">
        <v>3</v>
      </c>
      <c r="O361" s="91"/>
      <c r="P361" s="92"/>
      <c r="Q361" s="92"/>
      <c r="R361" s="92"/>
      <c r="S361" s="93"/>
      <c r="T361" s="1703"/>
      <c r="U361" s="1704"/>
      <c r="V361" s="1704"/>
      <c r="W361" s="1704"/>
      <c r="X361" s="1704"/>
      <c r="Y361" s="1704"/>
      <c r="Z361" s="1704"/>
      <c r="AA361" s="1705"/>
      <c r="AB361" s="1693" t="s">
        <v>680</v>
      </c>
      <c r="AC361" s="1681"/>
      <c r="AD361" s="1681"/>
      <c r="AE361" s="1681"/>
      <c r="AF361" s="427" t="s">
        <v>126</v>
      </c>
      <c r="AG361" s="201" t="s">
        <v>731</v>
      </c>
      <c r="AI361" s="300"/>
      <c r="AJ361" s="300"/>
      <c r="AK361" s="300"/>
      <c r="AL361" s="300"/>
      <c r="AM361" s="300"/>
      <c r="AN361" s="300"/>
      <c r="AO361" s="300"/>
      <c r="AP361" s="300"/>
      <c r="AQ361" s="300"/>
      <c r="AR361" s="300"/>
      <c r="AS361" s="300"/>
      <c r="AT361" s="300"/>
      <c r="AU361" s="300"/>
      <c r="AV361" s="300"/>
      <c r="AW361" s="300"/>
      <c r="AX361" s="300"/>
      <c r="AY361" s="300"/>
      <c r="BE361" s="19"/>
      <c r="BF361" s="17"/>
      <c r="BI361" s="11"/>
      <c r="CE361" s="327"/>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208"/>
    </row>
    <row r="362" spans="1:120" ht="48.75" customHeight="1">
      <c r="B362" s="1385"/>
      <c r="C362" s="1385"/>
      <c r="D362" s="1385"/>
      <c r="E362" s="1687"/>
      <c r="F362" s="1688"/>
      <c r="G362" s="1688"/>
      <c r="H362" s="1688"/>
      <c r="I362" s="1688"/>
      <c r="J362" s="1688"/>
      <c r="K362" s="1689"/>
      <c r="N362" s="1683"/>
      <c r="O362" s="193"/>
      <c r="P362" s="194"/>
      <c r="Q362" s="194"/>
      <c r="R362" s="194"/>
      <c r="S362" s="195"/>
      <c r="T362" s="1706"/>
      <c r="U362" s="1707"/>
      <c r="V362" s="1707"/>
      <c r="W362" s="1707"/>
      <c r="X362" s="1707"/>
      <c r="Y362" s="1707"/>
      <c r="Z362" s="1707"/>
      <c r="AA362" s="1708"/>
      <c r="AB362" s="1694"/>
      <c r="AC362" s="1681"/>
      <c r="AD362" s="1681"/>
      <c r="AE362" s="1681"/>
      <c r="AF362" s="1682"/>
      <c r="AG362" s="1070" t="s">
        <v>762</v>
      </c>
      <c r="AI362" s="300"/>
      <c r="AJ362" s="300"/>
      <c r="AK362" s="300"/>
      <c r="AL362" s="300"/>
      <c r="AM362" s="300"/>
      <c r="AN362" s="300"/>
      <c r="AO362" s="300"/>
      <c r="AP362" s="300"/>
      <c r="AQ362" s="300"/>
      <c r="AR362" s="300"/>
      <c r="AS362" s="300"/>
      <c r="AT362" s="300"/>
      <c r="AU362" s="300"/>
      <c r="AV362" s="300"/>
      <c r="AW362" s="300"/>
      <c r="AX362" s="300"/>
      <c r="AY362" s="300"/>
      <c r="BE362" s="19"/>
      <c r="BF362" s="17"/>
      <c r="BI362" s="11"/>
      <c r="CE362" s="327"/>
      <c r="CF362" s="12"/>
      <c r="CG362" s="12"/>
      <c r="CH362" s="12"/>
      <c r="CI362" s="12"/>
      <c r="CJ362" s="280"/>
      <c r="CK362" s="16"/>
      <c r="CL362" s="12"/>
      <c r="CM362" s="1766"/>
      <c r="CN362" s="1766"/>
      <c r="CO362" s="1766"/>
      <c r="CP362" s="12"/>
      <c r="CQ362" s="12"/>
      <c r="CR362" s="12"/>
      <c r="CS362" s="12"/>
      <c r="CT362" s="12"/>
      <c r="CU362" s="209"/>
      <c r="CV362" s="12"/>
      <c r="CW362" s="12"/>
      <c r="CX362" s="1777"/>
      <c r="CY362" s="1778"/>
      <c r="CZ362" s="1779"/>
      <c r="DA362" s="328"/>
      <c r="DB362" s="12"/>
      <c r="DC362" s="12"/>
      <c r="DD362" s="12"/>
      <c r="DE362" s="12"/>
      <c r="DF362" s="273"/>
      <c r="DG362" s="297"/>
      <c r="DH362" s="12"/>
      <c r="DI362" s="1777"/>
      <c r="DJ362" s="1778"/>
      <c r="DK362" s="1778"/>
      <c r="DL362" s="1779"/>
      <c r="DM362" s="12"/>
      <c r="DN362" s="12"/>
      <c r="DO362" s="12"/>
      <c r="DP362" s="208"/>
    </row>
    <row r="363" spans="1:120" ht="48.75" customHeight="1">
      <c r="B363" s="1385"/>
      <c r="C363" s="1385"/>
      <c r="D363" s="1385"/>
      <c r="E363" s="1690"/>
      <c r="F363" s="1691"/>
      <c r="G363" s="1691"/>
      <c r="H363" s="1691"/>
      <c r="I363" s="1691"/>
      <c r="J363" s="1691"/>
      <c r="K363" s="1692"/>
      <c r="N363" s="1683"/>
      <c r="O363" s="193"/>
      <c r="P363" s="194"/>
      <c r="Q363" s="194"/>
      <c r="R363" s="194"/>
      <c r="S363" s="195"/>
      <c r="T363" s="1706"/>
      <c r="U363" s="1707"/>
      <c r="V363" s="1707"/>
      <c r="W363" s="1707"/>
      <c r="X363" s="1707"/>
      <c r="Y363" s="1707"/>
      <c r="Z363" s="1707"/>
      <c r="AA363" s="1708"/>
      <c r="AB363" s="1694"/>
      <c r="AC363" s="1681"/>
      <c r="AD363" s="1681"/>
      <c r="AE363" s="1681"/>
      <c r="AF363" s="1682"/>
      <c r="AG363" s="1070"/>
      <c r="AI363" s="300"/>
      <c r="AJ363" s="300"/>
      <c r="AK363" s="300"/>
      <c r="AL363" s="300"/>
      <c r="AM363" s="300"/>
      <c r="AN363" s="300"/>
      <c r="AO363" s="300"/>
      <c r="AP363" s="300"/>
      <c r="AQ363" s="300"/>
      <c r="AR363" s="300"/>
      <c r="AS363" s="300"/>
      <c r="AT363" s="300"/>
      <c r="AU363" s="300"/>
      <c r="AV363" s="300"/>
      <c r="AW363" s="300"/>
      <c r="AX363" s="300"/>
      <c r="AY363" s="300"/>
      <c r="BE363" s="19"/>
      <c r="BF363" s="10"/>
      <c r="BG363" s="1405" t="s">
        <v>125</v>
      </c>
      <c r="BH363" s="1406"/>
      <c r="BI363" s="1406"/>
      <c r="BJ363" s="278">
        <f>'Вывод расчетов'!NB129</f>
        <v>0.4375</v>
      </c>
      <c r="BL363" s="275"/>
      <c r="CE363" s="327"/>
      <c r="CF363" s="1765" t="s">
        <v>868</v>
      </c>
      <c r="CG363" s="1765"/>
      <c r="CH363" s="1765"/>
      <c r="CI363" s="283" t="s">
        <v>126</v>
      </c>
      <c r="CJ363" s="201" t="s">
        <v>731</v>
      </c>
      <c r="CK363" s="16"/>
      <c r="CL363" s="12"/>
      <c r="CM363" s="1766"/>
      <c r="CN363" s="1766"/>
      <c r="CO363" s="1766"/>
      <c r="CP363" s="12"/>
      <c r="CQ363" s="12"/>
      <c r="CR363" s="1765" t="s">
        <v>866</v>
      </c>
      <c r="CS363" s="1765"/>
      <c r="CT363" s="1765"/>
      <c r="CU363" s="283" t="s">
        <v>126</v>
      </c>
      <c r="CV363" s="201" t="s">
        <v>731</v>
      </c>
      <c r="CW363" s="12"/>
      <c r="CX363" s="1780"/>
      <c r="CY363" s="1781"/>
      <c r="CZ363" s="1782"/>
      <c r="DA363" s="12"/>
      <c r="DB363" s="12"/>
      <c r="DC363" s="1765" t="s">
        <v>866</v>
      </c>
      <c r="DD363" s="1765"/>
      <c r="DE363" s="1765"/>
      <c r="DF363" s="283" t="s">
        <v>126</v>
      </c>
      <c r="DG363" s="201" t="s">
        <v>731</v>
      </c>
      <c r="DH363" s="12"/>
      <c r="DI363" s="1780"/>
      <c r="DJ363" s="1781"/>
      <c r="DK363" s="1781"/>
      <c r="DL363" s="1782"/>
      <c r="DM363" s="12"/>
      <c r="DN363" s="12"/>
      <c r="DO363" s="12"/>
      <c r="DP363" s="208"/>
    </row>
    <row r="364" spans="1:120" ht="48.75" customHeight="1">
      <c r="B364" s="1385" t="s">
        <v>669</v>
      </c>
      <c r="C364" s="1385" t="s">
        <v>575</v>
      </c>
      <c r="D364" s="1385"/>
      <c r="E364" s="1732"/>
      <c r="F364" s="1733"/>
      <c r="G364" s="1733"/>
      <c r="H364" s="1733"/>
      <c r="I364" s="1733"/>
      <c r="J364" s="1733"/>
      <c r="K364" s="1734"/>
      <c r="N364" s="1683"/>
      <c r="O364" s="193"/>
      <c r="P364" s="194"/>
      <c r="Q364" s="194"/>
      <c r="R364" s="194"/>
      <c r="S364" s="195"/>
      <c r="T364" s="1706"/>
      <c r="U364" s="1707"/>
      <c r="V364" s="1707"/>
      <c r="W364" s="1707"/>
      <c r="X364" s="1707"/>
      <c r="Y364" s="1707"/>
      <c r="Z364" s="1707"/>
      <c r="AA364" s="1708"/>
      <c r="AB364" s="1694"/>
      <c r="AC364" s="1681"/>
      <c r="AD364" s="1681"/>
      <c r="AE364" s="1681"/>
      <c r="AF364" s="1386"/>
      <c r="AG364" s="1386"/>
      <c r="AI364" s="300"/>
      <c r="AJ364" s="300"/>
      <c r="AK364" s="300"/>
      <c r="AL364" s="300"/>
      <c r="AM364" s="300"/>
      <c r="AN364" s="300"/>
      <c r="AO364" s="300"/>
      <c r="AP364" s="300"/>
      <c r="AQ364" s="300"/>
      <c r="AR364" s="300"/>
      <c r="AS364" s="300"/>
      <c r="AT364" s="300"/>
      <c r="AU364" s="300"/>
      <c r="AV364" s="300"/>
      <c r="AW364" s="300"/>
      <c r="AX364" s="300"/>
      <c r="AY364" s="300"/>
      <c r="BE364" s="19"/>
      <c r="BF364" s="10"/>
      <c r="BG364" s="1405" t="s">
        <v>120</v>
      </c>
      <c r="BH364" s="1406"/>
      <c r="BI364" s="1406"/>
      <c r="BJ364" s="278"/>
      <c r="BL364" s="275"/>
      <c r="CE364" s="327"/>
      <c r="CF364" s="352" t="s">
        <v>1237</v>
      </c>
      <c r="CG364" s="1033" t="s">
        <v>126</v>
      </c>
      <c r="CH364" s="1033"/>
      <c r="CI364" s="278"/>
      <c r="CJ364" s="275"/>
      <c r="CK364" s="12"/>
      <c r="CL364" s="12"/>
      <c r="CM364" s="1766"/>
      <c r="CN364" s="1766"/>
      <c r="CO364" s="1766"/>
      <c r="CP364" s="12"/>
      <c r="CQ364" s="12"/>
      <c r="CR364" s="352" t="s">
        <v>1237</v>
      </c>
      <c r="CS364" s="1033" t="s">
        <v>126</v>
      </c>
      <c r="CT364" s="1033"/>
      <c r="CU364" s="9"/>
      <c r="CV364" s="10"/>
      <c r="CW364" s="12"/>
      <c r="CX364" s="1780"/>
      <c r="CY364" s="1781"/>
      <c r="CZ364" s="1782"/>
      <c r="DA364" s="12"/>
      <c r="DB364" s="12"/>
      <c r="DC364" s="352" t="s">
        <v>1237</v>
      </c>
      <c r="DD364" s="1033" t="s">
        <v>126</v>
      </c>
      <c r="DE364" s="1033"/>
      <c r="DF364" s="276"/>
      <c r="DG364" s="292"/>
      <c r="DH364" s="12"/>
      <c r="DI364" s="1780"/>
      <c r="DJ364" s="1781"/>
      <c r="DK364" s="1781"/>
      <c r="DL364" s="1782"/>
      <c r="DM364" s="12"/>
      <c r="DN364" s="12"/>
      <c r="DO364" s="12"/>
      <c r="DP364" s="208"/>
    </row>
    <row r="365" spans="1:120" ht="48.75" customHeight="1">
      <c r="B365" s="1385"/>
      <c r="C365" s="1385"/>
      <c r="D365" s="1385"/>
      <c r="E365" s="1735"/>
      <c r="F365" s="1736"/>
      <c r="G365" s="1736"/>
      <c r="H365" s="1736"/>
      <c r="I365" s="1736"/>
      <c r="J365" s="1736"/>
      <c r="K365" s="1737"/>
      <c r="N365" s="1683"/>
      <c r="O365" s="193"/>
      <c r="P365" s="194"/>
      <c r="Q365" s="194"/>
      <c r="R365" s="194"/>
      <c r="S365" s="195"/>
      <c r="T365" s="1706"/>
      <c r="U365" s="1707"/>
      <c r="V365" s="1707"/>
      <c r="W365" s="1707"/>
      <c r="X365" s="1707"/>
      <c r="Y365" s="1707"/>
      <c r="Z365" s="1707"/>
      <c r="AA365" s="1708"/>
      <c r="AB365" s="1694"/>
      <c r="AC365" s="1681"/>
      <c r="AD365" s="1681"/>
      <c r="AE365" s="1681"/>
      <c r="AF365" s="1386"/>
      <c r="AG365" s="1386"/>
      <c r="AI365" s="300"/>
      <c r="AJ365" s="300"/>
      <c r="AK365" s="300"/>
      <c r="AL365" s="300"/>
      <c r="AM365" s="300"/>
      <c r="AN365" s="300"/>
      <c r="AO365" s="300"/>
      <c r="AP365" s="300"/>
      <c r="AQ365" s="300"/>
      <c r="AR365" s="300"/>
      <c r="AS365" s="300"/>
      <c r="AT365" s="300"/>
      <c r="AU365" s="300"/>
      <c r="AV365" s="300"/>
      <c r="AW365" s="300"/>
      <c r="AX365" s="300"/>
      <c r="AY365" s="300"/>
      <c r="BE365" s="19"/>
      <c r="BF365" s="10"/>
      <c r="BG365" s="1405" t="s">
        <v>120</v>
      </c>
      <c r="BH365" s="1406"/>
      <c r="BI365" s="1406"/>
      <c r="BJ365" s="278"/>
      <c r="BL365" s="275"/>
      <c r="BU365" s="1033" t="s">
        <v>106</v>
      </c>
      <c r="BV365" s="1033"/>
      <c r="BW365" s="1033"/>
      <c r="BX365" s="1033"/>
      <c r="BY365" s="1033"/>
      <c r="BZ365" s="140"/>
      <c r="CE365" s="327"/>
      <c r="CF365" s="352" t="s">
        <v>1237</v>
      </c>
      <c r="CG365" s="1033" t="s">
        <v>126</v>
      </c>
      <c r="CH365" s="1033"/>
      <c r="CI365" s="278"/>
      <c r="CJ365" s="275"/>
      <c r="CK365" s="12"/>
      <c r="CL365" s="12"/>
      <c r="CM365" s="1766"/>
      <c r="CN365" s="1766"/>
      <c r="CO365" s="1766"/>
      <c r="CP365" s="12"/>
      <c r="CQ365" s="12"/>
      <c r="CR365" s="352" t="s">
        <v>1237</v>
      </c>
      <c r="CS365" s="1033" t="s">
        <v>126</v>
      </c>
      <c r="CT365" s="1033"/>
      <c r="CU365" s="9"/>
      <c r="CV365" s="10"/>
      <c r="CW365" s="12"/>
      <c r="CX365" s="1780"/>
      <c r="CY365" s="1781"/>
      <c r="CZ365" s="1782"/>
      <c r="DA365" s="12"/>
      <c r="DB365" s="12"/>
      <c r="DC365" s="352" t="s">
        <v>1237</v>
      </c>
      <c r="DD365" s="1033" t="s">
        <v>126</v>
      </c>
      <c r="DE365" s="1033"/>
      <c r="DF365" s="276"/>
      <c r="DG365" s="292"/>
      <c r="DH365" s="12"/>
      <c r="DI365" s="1780"/>
      <c r="DJ365" s="1781"/>
      <c r="DK365" s="1781"/>
      <c r="DL365" s="1782"/>
      <c r="DM365" s="12"/>
      <c r="DN365" s="12"/>
      <c r="DO365" s="12"/>
      <c r="DP365" s="208"/>
    </row>
    <row r="366" spans="1:120" ht="48.75" customHeight="1">
      <c r="B366" s="1385"/>
      <c r="C366" s="1385"/>
      <c r="D366" s="1385"/>
      <c r="E366" s="1759"/>
      <c r="F366" s="1760"/>
      <c r="G366" s="1760"/>
      <c r="H366" s="1760"/>
      <c r="I366" s="1760"/>
      <c r="J366" s="1760"/>
      <c r="K366" s="1799"/>
      <c r="N366" s="1683"/>
      <c r="O366" s="193"/>
      <c r="P366" s="194"/>
      <c r="Q366" s="194"/>
      <c r="R366" s="194"/>
      <c r="S366" s="195"/>
      <c r="T366" s="1706"/>
      <c r="U366" s="1707"/>
      <c r="V366" s="1707"/>
      <c r="W366" s="1707"/>
      <c r="X366" s="1707"/>
      <c r="Y366" s="1707"/>
      <c r="Z366" s="1707"/>
      <c r="AA366" s="1708"/>
      <c r="AB366" s="1694"/>
      <c r="AC366" s="1681"/>
      <c r="AD366" s="1681"/>
      <c r="AE366" s="1681"/>
      <c r="AF366" s="1386"/>
      <c r="AG366" s="1386"/>
      <c r="AI366" s="300"/>
      <c r="AJ366" s="300"/>
      <c r="AK366" s="300"/>
      <c r="AL366" s="300"/>
      <c r="AM366" s="300"/>
      <c r="AN366" s="300"/>
      <c r="AO366" s="300"/>
      <c r="AP366" s="300"/>
      <c r="AQ366" s="300"/>
      <c r="AR366" s="300"/>
      <c r="AS366" s="300"/>
      <c r="AT366" s="300"/>
      <c r="AU366" s="300"/>
      <c r="AV366" s="300"/>
      <c r="AW366" s="300"/>
      <c r="AX366" s="300"/>
      <c r="AY366" s="300"/>
      <c r="BE366" s="19"/>
      <c r="BF366" s="10"/>
      <c r="BG366" s="1405" t="s">
        <v>121</v>
      </c>
      <c r="BH366" s="1406"/>
      <c r="BI366" s="1406"/>
      <c r="BJ366" s="278"/>
      <c r="BL366" s="275"/>
      <c r="BU366" s="352" t="s">
        <v>1376</v>
      </c>
      <c r="BV366" s="1751" t="s">
        <v>107</v>
      </c>
      <c r="BW366" s="1751"/>
      <c r="BX366" s="274">
        <f>'Вывод расчетов'!GT85</f>
        <v>4.7805818145735266</v>
      </c>
      <c r="BY366" s="1748" t="s">
        <v>1243</v>
      </c>
      <c r="BZ366" s="1749"/>
      <c r="CE366" s="327"/>
      <c r="CF366" s="352" t="s">
        <v>1237</v>
      </c>
      <c r="CG366" s="1033" t="s">
        <v>126</v>
      </c>
      <c r="CH366" s="1033"/>
      <c r="CI366" s="278"/>
      <c r="CJ366" s="275"/>
      <c r="CK366" s="12"/>
      <c r="CL366" s="12"/>
      <c r="CM366" s="1766"/>
      <c r="CN366" s="1766"/>
      <c r="CO366" s="1766"/>
      <c r="CP366" s="12"/>
      <c r="CQ366" s="12"/>
      <c r="CR366" s="352" t="s">
        <v>1237</v>
      </c>
      <c r="CS366" s="1033" t="s">
        <v>126</v>
      </c>
      <c r="CT366" s="1033"/>
      <c r="CU366" s="9"/>
      <c r="CV366" s="10"/>
      <c r="CW366" s="12"/>
      <c r="CX366" s="1780"/>
      <c r="CY366" s="1781"/>
      <c r="CZ366" s="1782"/>
      <c r="DA366" s="12"/>
      <c r="DB366" s="12"/>
      <c r="DC366" s="352" t="s">
        <v>1237</v>
      </c>
      <c r="DD366" s="1033" t="s">
        <v>126</v>
      </c>
      <c r="DE366" s="1033"/>
      <c r="DF366" s="276"/>
      <c r="DG366" s="292"/>
      <c r="DH366" s="12"/>
      <c r="DI366" s="1780"/>
      <c r="DJ366" s="1781"/>
      <c r="DK366" s="1781"/>
      <c r="DL366" s="1782"/>
      <c r="DM366" s="12"/>
      <c r="DN366" s="12"/>
      <c r="DO366" s="12"/>
      <c r="DP366" s="208"/>
    </row>
    <row r="367" spans="1:120" ht="48.75" customHeight="1">
      <c r="K367" s="12"/>
      <c r="N367" s="1683"/>
      <c r="O367" s="94"/>
      <c r="P367" s="95"/>
      <c r="Q367" s="95"/>
      <c r="R367" s="95"/>
      <c r="S367" s="96"/>
      <c r="T367" s="1709"/>
      <c r="U367" s="1710"/>
      <c r="V367" s="1710"/>
      <c r="W367" s="1710"/>
      <c r="X367" s="1710"/>
      <c r="Y367" s="1710"/>
      <c r="Z367" s="1710"/>
      <c r="AA367" s="1711"/>
      <c r="AB367" s="1695"/>
      <c r="AC367" s="1681"/>
      <c r="AD367" s="1681"/>
      <c r="AE367" s="1681"/>
      <c r="AF367" s="1386"/>
      <c r="AG367" s="1386"/>
      <c r="AI367" s="300"/>
      <c r="AJ367" s="300"/>
      <c r="AK367" s="300"/>
      <c r="AL367" s="300"/>
      <c r="AM367" s="300"/>
      <c r="AN367" s="300"/>
      <c r="AO367" s="300"/>
      <c r="AP367" s="300"/>
      <c r="AQ367" s="300"/>
      <c r="AR367" s="300"/>
      <c r="AS367" s="300"/>
      <c r="AT367" s="300"/>
      <c r="AU367" s="300"/>
      <c r="AV367" s="300"/>
      <c r="AW367" s="300"/>
      <c r="AX367" s="300"/>
      <c r="AY367" s="300"/>
      <c r="AZ367" s="300"/>
      <c r="BE367" s="19"/>
      <c r="BF367" s="10"/>
      <c r="BG367" s="1405" t="s">
        <v>122</v>
      </c>
      <c r="BH367" s="1406"/>
      <c r="BI367" s="1406"/>
      <c r="BJ367" s="278"/>
      <c r="BL367" s="275"/>
      <c r="BU367" s="352" t="s">
        <v>1376</v>
      </c>
      <c r="BV367" s="1751" t="s">
        <v>108</v>
      </c>
      <c r="BW367" s="1751"/>
      <c r="BX367" s="274">
        <f>'Вывод расчетов'!GT90</f>
        <v>4.293824372341704</v>
      </c>
      <c r="BY367" s="1748" t="s">
        <v>1246</v>
      </c>
      <c r="BZ367" s="1749"/>
      <c r="CE367" s="327"/>
      <c r="CF367" s="352" t="s">
        <v>1237</v>
      </c>
      <c r="CG367" s="1033" t="s">
        <v>126</v>
      </c>
      <c r="CH367" s="1033"/>
      <c r="CI367" s="278"/>
      <c r="CJ367" s="275"/>
      <c r="CK367" s="12"/>
      <c r="CL367" s="12"/>
      <c r="CM367" s="1766"/>
      <c r="CN367" s="1766"/>
      <c r="CO367" s="1766"/>
      <c r="CP367" s="12"/>
      <c r="CQ367" s="12"/>
      <c r="CR367" s="352" t="s">
        <v>1237</v>
      </c>
      <c r="CS367" s="1033" t="s">
        <v>126</v>
      </c>
      <c r="CT367" s="1033"/>
      <c r="CU367" s="9"/>
      <c r="CV367" s="10"/>
      <c r="CW367" s="12"/>
      <c r="CX367" s="1780"/>
      <c r="CY367" s="1781"/>
      <c r="CZ367" s="1782"/>
      <c r="DA367" s="12"/>
      <c r="DB367" s="12"/>
      <c r="DC367" s="352" t="s">
        <v>1237</v>
      </c>
      <c r="DD367" s="1033" t="s">
        <v>126</v>
      </c>
      <c r="DE367" s="1033"/>
      <c r="DF367" s="276"/>
      <c r="DG367" s="292"/>
      <c r="DH367" s="12"/>
      <c r="DI367" s="1780"/>
      <c r="DJ367" s="1781"/>
      <c r="DK367" s="1781"/>
      <c r="DL367" s="1782"/>
      <c r="DM367" s="12"/>
      <c r="DN367" s="12"/>
      <c r="DO367" s="12"/>
      <c r="DP367" s="208"/>
    </row>
    <row r="368" spans="1:120" ht="48.75" customHeight="1">
      <c r="K368" s="12"/>
      <c r="N368" s="1683">
        <v>4</v>
      </c>
      <c r="O368" s="91"/>
      <c r="P368" s="92"/>
      <c r="Q368" s="92"/>
      <c r="R368" s="92"/>
      <c r="S368" s="93"/>
      <c r="T368" s="1703"/>
      <c r="U368" s="1704"/>
      <c r="V368" s="1704"/>
      <c r="W368" s="1704"/>
      <c r="X368" s="1704"/>
      <c r="Y368" s="1704"/>
      <c r="Z368" s="1704"/>
      <c r="AA368" s="1705"/>
      <c r="AB368" s="1693" t="s">
        <v>680</v>
      </c>
      <c r="AC368" s="1681"/>
      <c r="AD368" s="1681"/>
      <c r="AE368" s="1681"/>
      <c r="AF368" s="427" t="s">
        <v>126</v>
      </c>
      <c r="AG368" s="201" t="s">
        <v>731</v>
      </c>
      <c r="AI368" s="300"/>
      <c r="AJ368" s="300"/>
      <c r="AK368" s="300"/>
      <c r="AL368" s="300"/>
      <c r="AM368" s="300"/>
      <c r="AN368" s="300"/>
      <c r="AO368" s="300"/>
      <c r="AP368" s="300"/>
      <c r="AQ368" s="300"/>
      <c r="AR368" s="300"/>
      <c r="AS368" s="300"/>
      <c r="AT368" s="300"/>
      <c r="AU368" s="300"/>
      <c r="AV368" s="300"/>
      <c r="AW368" s="300"/>
      <c r="AX368" s="300"/>
      <c r="AY368" s="300"/>
      <c r="AZ368" s="300"/>
      <c r="BE368" s="19"/>
      <c r="BF368" s="10"/>
      <c r="BG368" s="1405" t="s">
        <v>123</v>
      </c>
      <c r="BH368" s="1406"/>
      <c r="BI368" s="1406"/>
      <c r="BJ368" s="278"/>
      <c r="BL368" s="275"/>
      <c r="BU368" s="352" t="s">
        <v>1376</v>
      </c>
      <c r="BV368" s="1750" t="s">
        <v>109</v>
      </c>
      <c r="BW368" s="1750"/>
      <c r="BX368" s="274">
        <f>'Вывод расчетов'!GW69</f>
        <v>1.5</v>
      </c>
      <c r="BY368" s="1748" t="s">
        <v>1247</v>
      </c>
      <c r="BZ368" s="1749"/>
      <c r="CE368" s="327"/>
      <c r="CF368" s="12"/>
      <c r="CG368" s="12"/>
      <c r="CH368" s="12"/>
      <c r="CI368" s="12"/>
      <c r="CJ368" s="280"/>
      <c r="CK368" s="16"/>
      <c r="CL368" s="12"/>
      <c r="CM368" s="1766"/>
      <c r="CN368" s="1766"/>
      <c r="CO368" s="1766"/>
      <c r="CP368" s="12"/>
      <c r="CQ368" s="12"/>
      <c r="CR368" s="12"/>
      <c r="CS368" s="12"/>
      <c r="CT368" s="12"/>
      <c r="CU368" s="209"/>
      <c r="CV368" s="12"/>
      <c r="CW368" s="12"/>
      <c r="CX368" s="1780"/>
      <c r="CY368" s="1781"/>
      <c r="CZ368" s="1782"/>
      <c r="DA368" s="12"/>
      <c r="DB368" s="12"/>
      <c r="DC368" s="12"/>
      <c r="DD368" s="12"/>
      <c r="DE368" s="12"/>
      <c r="DF368" s="273"/>
      <c r="DG368" s="297"/>
      <c r="DH368" s="12"/>
      <c r="DI368" s="1780"/>
      <c r="DJ368" s="1781"/>
      <c r="DK368" s="1781"/>
      <c r="DL368" s="1782"/>
      <c r="DM368" s="12"/>
      <c r="DN368" s="12"/>
      <c r="DO368" s="12"/>
      <c r="DP368" s="208"/>
    </row>
    <row r="369" spans="3:121" ht="48.75" customHeight="1">
      <c r="K369" s="12"/>
      <c r="N369" s="1683"/>
      <c r="O369" s="193"/>
      <c r="P369" s="194"/>
      <c r="Q369" s="194"/>
      <c r="R369" s="194"/>
      <c r="S369" s="195"/>
      <c r="T369" s="1706"/>
      <c r="U369" s="1707"/>
      <c r="V369" s="1707"/>
      <c r="W369" s="1707"/>
      <c r="X369" s="1707"/>
      <c r="Y369" s="1707"/>
      <c r="Z369" s="1707"/>
      <c r="AA369" s="1708"/>
      <c r="AB369" s="1694"/>
      <c r="AC369" s="1681"/>
      <c r="AD369" s="1681"/>
      <c r="AE369" s="1681"/>
      <c r="AF369" s="1682"/>
      <c r="AG369" s="1070" t="s">
        <v>762</v>
      </c>
      <c r="AI369" s="300"/>
      <c r="AJ369" s="300"/>
      <c r="AK369" s="300"/>
      <c r="AL369" s="300"/>
      <c r="AM369" s="300"/>
      <c r="AN369" s="300"/>
      <c r="AO369" s="300"/>
      <c r="AP369" s="300"/>
      <c r="AQ369" s="300"/>
      <c r="AR369" s="300"/>
      <c r="AS369" s="300"/>
      <c r="AT369" s="300"/>
      <c r="AU369" s="300"/>
      <c r="AV369" s="300"/>
      <c r="AW369" s="300"/>
      <c r="AX369" s="300"/>
      <c r="AY369" s="300"/>
      <c r="AZ369" s="300"/>
      <c r="BA369" s="317"/>
      <c r="BE369" s="19"/>
      <c r="BF369" s="10"/>
      <c r="BG369" s="1405" t="s">
        <v>124</v>
      </c>
      <c r="BH369" s="1406"/>
      <c r="BI369" s="1406"/>
      <c r="BJ369" s="278">
        <f>(CI336/(3*CI332))*(BJ363)+(CI335/CI332+3*CI334/(CI332+2*CI333)+CI337/CI333)*BJ363</f>
        <v>0.92208086801724498</v>
      </c>
      <c r="BL369" s="275"/>
      <c r="BU369" s="352" t="s">
        <v>1376</v>
      </c>
      <c r="BV369" s="1750" t="s">
        <v>110</v>
      </c>
      <c r="BW369" s="1750"/>
      <c r="BX369" s="274">
        <f>'Вывод расчетов'!GT96</f>
        <v>4.6178343949044587</v>
      </c>
      <c r="BY369" s="1748" t="s">
        <v>1240</v>
      </c>
      <c r="BZ369" s="1749"/>
      <c r="CE369" s="327"/>
      <c r="CF369" s="12"/>
      <c r="CG369" s="12"/>
      <c r="CH369" s="12"/>
      <c r="CI369" s="12"/>
      <c r="CJ369" s="280"/>
      <c r="CK369" s="16"/>
      <c r="CL369" s="12"/>
      <c r="CM369" s="1766"/>
      <c r="CN369" s="1766"/>
      <c r="CO369" s="1766"/>
      <c r="CP369" s="12"/>
      <c r="CQ369" s="12"/>
      <c r="CR369" s="12"/>
      <c r="CS369" s="12"/>
      <c r="CT369" s="12"/>
      <c r="CU369" s="209"/>
      <c r="CV369" s="12"/>
      <c r="CW369" s="12"/>
      <c r="CX369" s="1780"/>
      <c r="CY369" s="1781"/>
      <c r="CZ369" s="1782"/>
      <c r="DA369" s="12"/>
      <c r="DB369" s="12"/>
      <c r="DC369" s="12"/>
      <c r="DD369" s="12"/>
      <c r="DE369" s="12"/>
      <c r="DF369" s="12"/>
      <c r="DG369" s="12"/>
      <c r="DH369" s="12"/>
      <c r="DI369" s="12"/>
      <c r="DJ369" s="12"/>
      <c r="DK369" s="297"/>
      <c r="DL369" s="12"/>
      <c r="DM369" s="12"/>
      <c r="DN369" s="12"/>
      <c r="DO369" s="12"/>
      <c r="DP369" s="208"/>
    </row>
    <row r="370" spans="3:121" ht="48.75" customHeight="1">
      <c r="C370" s="12"/>
      <c r="D370" s="12"/>
      <c r="F370" s="12"/>
      <c r="G370" s="12"/>
      <c r="H370" s="12"/>
      <c r="I370" s="12"/>
      <c r="J370" s="12"/>
      <c r="K370" s="12"/>
      <c r="N370" s="1683"/>
      <c r="O370" s="193"/>
      <c r="P370" s="194"/>
      <c r="Q370" s="194"/>
      <c r="R370" s="194"/>
      <c r="S370" s="195"/>
      <c r="T370" s="1706"/>
      <c r="U370" s="1707"/>
      <c r="V370" s="1707"/>
      <c r="W370" s="1707"/>
      <c r="X370" s="1707"/>
      <c r="Y370" s="1707"/>
      <c r="Z370" s="1707"/>
      <c r="AA370" s="1708"/>
      <c r="AB370" s="1694"/>
      <c r="AC370" s="1681"/>
      <c r="AD370" s="1681"/>
      <c r="AE370" s="1681"/>
      <c r="AF370" s="1682"/>
      <c r="AG370" s="1070"/>
      <c r="AJ370" s="300"/>
      <c r="AK370" s="300"/>
      <c r="AL370" s="300"/>
      <c r="AM370" s="300"/>
      <c r="AO370" s="300"/>
      <c r="AP370" s="300"/>
      <c r="AQ370" s="300"/>
      <c r="AR370" s="300"/>
      <c r="AS370" s="300"/>
      <c r="AT370" s="300"/>
      <c r="AU370" s="300"/>
      <c r="AV370" s="300"/>
      <c r="AW370" s="300"/>
      <c r="AX370" s="300"/>
      <c r="AY370" s="300"/>
      <c r="AZ370" s="300"/>
      <c r="BA370" s="317"/>
      <c r="BE370" s="19"/>
      <c r="BF370" s="17"/>
      <c r="BI370" s="11"/>
      <c r="BU370" s="352" t="s">
        <v>1376</v>
      </c>
      <c r="BV370" s="1750" t="s">
        <v>111</v>
      </c>
      <c r="BW370" s="1750"/>
      <c r="BX370" s="274">
        <f>'Вывод расчетов'!GT101</f>
        <v>10.65</v>
      </c>
      <c r="BY370" s="1748" t="s">
        <v>1248</v>
      </c>
      <c r="BZ370" s="1749"/>
      <c r="CE370" s="327"/>
      <c r="CF370" s="12"/>
      <c r="CG370" s="12"/>
      <c r="CH370" s="12"/>
      <c r="CI370" s="12"/>
      <c r="CJ370" s="280"/>
      <c r="CK370" s="16"/>
      <c r="CL370" s="12"/>
      <c r="CM370" s="1766"/>
      <c r="CN370" s="1766"/>
      <c r="CO370" s="1766"/>
      <c r="CP370" s="12"/>
      <c r="CQ370" s="12"/>
      <c r="CR370" s="12"/>
      <c r="CS370" s="12"/>
      <c r="CT370" s="12"/>
      <c r="CU370" s="209"/>
      <c r="CV370" s="12"/>
      <c r="CW370" s="12"/>
      <c r="CX370" s="1780"/>
      <c r="CY370" s="1781"/>
      <c r="CZ370" s="1782"/>
      <c r="DA370" s="12"/>
      <c r="DB370" s="12"/>
      <c r="DC370" s="12"/>
      <c r="DD370" s="12"/>
      <c r="DE370" s="12"/>
      <c r="DF370" s="12"/>
      <c r="DG370" s="12"/>
      <c r="DH370" s="12"/>
      <c r="DI370" s="12"/>
      <c r="DJ370" s="12"/>
      <c r="DK370" s="297"/>
      <c r="DL370" s="12"/>
      <c r="DM370" s="12"/>
      <c r="DN370" s="12"/>
      <c r="DO370" s="12"/>
      <c r="DP370" s="208"/>
    </row>
    <row r="371" spans="3:121" ht="48.75" customHeight="1">
      <c r="N371" s="1683"/>
      <c r="O371" s="193"/>
      <c r="P371" s="194"/>
      <c r="Q371" s="194"/>
      <c r="R371" s="194"/>
      <c r="S371" s="195"/>
      <c r="T371" s="1706"/>
      <c r="U371" s="1707"/>
      <c r="V371" s="1707"/>
      <c r="W371" s="1707"/>
      <c r="X371" s="1707"/>
      <c r="Y371" s="1707"/>
      <c r="Z371" s="1707"/>
      <c r="AA371" s="1708"/>
      <c r="AB371" s="1694"/>
      <c r="AC371" s="1681"/>
      <c r="AD371" s="1681"/>
      <c r="AE371" s="1681"/>
      <c r="AF371" s="1386"/>
      <c r="AG371" s="1386"/>
      <c r="AH371" s="300"/>
      <c r="AJ371" s="300"/>
      <c r="AK371" s="300"/>
      <c r="AL371" s="300"/>
      <c r="AM371" s="300"/>
      <c r="AO371" s="300"/>
      <c r="AP371" s="300"/>
      <c r="AQ371" s="300"/>
      <c r="AR371" s="300"/>
      <c r="AS371" s="300"/>
      <c r="AT371" s="300"/>
      <c r="AU371" s="300"/>
      <c r="AV371" s="300"/>
      <c r="AW371" s="300"/>
      <c r="AX371" s="300"/>
      <c r="AY371" s="300"/>
      <c r="AZ371" s="300"/>
      <c r="BA371" s="317"/>
      <c r="BE371" s="19"/>
      <c r="BF371" s="17"/>
      <c r="BI371" s="11"/>
      <c r="BU371" s="352" t="s">
        <v>1376</v>
      </c>
      <c r="BV371" s="1750" t="s">
        <v>112</v>
      </c>
      <c r="BW371" s="1750"/>
      <c r="BX371" s="274">
        <f>'Вывод расчетов'!GW73</f>
        <v>0.5</v>
      </c>
      <c r="BY371" s="1748" t="s">
        <v>1249</v>
      </c>
      <c r="BZ371" s="1749"/>
      <c r="CE371" s="327"/>
      <c r="CF371" s="12"/>
      <c r="CG371" s="12"/>
      <c r="CH371" s="12"/>
      <c r="CI371" s="12"/>
      <c r="CJ371" s="280"/>
      <c r="CK371" s="16"/>
      <c r="CL371" s="12"/>
      <c r="CM371" s="1766"/>
      <c r="CN371" s="1766"/>
      <c r="CO371" s="1766"/>
      <c r="CP371" s="12"/>
      <c r="CQ371" s="12"/>
      <c r="CR371" s="12"/>
      <c r="CS371" s="12"/>
      <c r="CT371" s="12"/>
      <c r="CU371" s="209"/>
      <c r="CV371" s="12"/>
      <c r="CW371" s="12"/>
      <c r="CX371" s="1780"/>
      <c r="CY371" s="1781"/>
      <c r="CZ371" s="1782"/>
      <c r="DA371" s="12"/>
      <c r="DB371" s="12"/>
      <c r="DC371" s="12"/>
      <c r="DD371" s="12"/>
      <c r="DE371" s="12"/>
      <c r="DF371" s="209"/>
      <c r="DG371" s="12"/>
      <c r="DH371" s="12"/>
      <c r="DI371" s="12"/>
      <c r="DJ371" s="12"/>
      <c r="DK371" s="297"/>
      <c r="DL371" s="12"/>
      <c r="DM371" s="12"/>
      <c r="DN371" s="12"/>
      <c r="DO371" s="12"/>
      <c r="DP371" s="208"/>
    </row>
    <row r="372" spans="3:121" ht="48.75" customHeight="1">
      <c r="N372" s="1683"/>
      <c r="O372" s="193"/>
      <c r="P372" s="194"/>
      <c r="Q372" s="194"/>
      <c r="R372" s="194"/>
      <c r="S372" s="195"/>
      <c r="T372" s="1706"/>
      <c r="U372" s="1707"/>
      <c r="V372" s="1707"/>
      <c r="W372" s="1707"/>
      <c r="X372" s="1707"/>
      <c r="Y372" s="1707"/>
      <c r="Z372" s="1707"/>
      <c r="AA372" s="1708"/>
      <c r="AB372" s="1694"/>
      <c r="AC372" s="1681"/>
      <c r="AD372" s="1681"/>
      <c r="AE372" s="1681"/>
      <c r="AF372" s="1386"/>
      <c r="AG372" s="1386"/>
      <c r="AH372" s="300"/>
      <c r="AJ372" s="300"/>
      <c r="AK372" s="300"/>
      <c r="AL372" s="300"/>
      <c r="AM372" s="300"/>
      <c r="AO372" s="300"/>
      <c r="AP372" s="300"/>
      <c r="AQ372" s="300"/>
      <c r="AR372" s="300"/>
      <c r="AS372" s="300"/>
      <c r="AT372" s="300"/>
      <c r="AU372" s="300"/>
      <c r="AV372" s="300"/>
      <c r="AW372" s="300"/>
      <c r="AX372" s="300"/>
      <c r="AY372" s="300"/>
      <c r="AZ372" s="300"/>
      <c r="BE372" s="19"/>
      <c r="BF372" s="17"/>
      <c r="BI372" s="11"/>
      <c r="CE372" s="327"/>
      <c r="CF372" s="12"/>
      <c r="CG372" s="12"/>
      <c r="CH372" s="12"/>
      <c r="CI372" s="12"/>
      <c r="CJ372" s="280"/>
      <c r="CK372" s="16"/>
      <c r="CL372" s="12"/>
      <c r="CM372" s="12"/>
      <c r="CN372" s="12"/>
      <c r="CO372" s="12"/>
      <c r="CP372" s="12"/>
      <c r="CQ372" s="12"/>
      <c r="CR372" s="12"/>
      <c r="CS372" s="12"/>
      <c r="CT372" s="12"/>
      <c r="CU372" s="209"/>
      <c r="CV372" s="12"/>
      <c r="CW372" s="12"/>
      <c r="CX372" s="1783"/>
      <c r="CY372" s="1784"/>
      <c r="CZ372" s="1785"/>
      <c r="DA372" s="12"/>
      <c r="DB372" s="12"/>
      <c r="DC372" s="12"/>
      <c r="DD372" s="12"/>
      <c r="DE372" s="12"/>
      <c r="DF372" s="12"/>
      <c r="DG372" s="12"/>
      <c r="DH372" s="12"/>
      <c r="DI372" s="12"/>
      <c r="DJ372" s="273"/>
      <c r="DK372" s="297"/>
      <c r="DL372" s="12"/>
      <c r="DM372" s="12"/>
      <c r="DN372" s="12"/>
      <c r="DO372" s="12"/>
      <c r="DP372" s="208"/>
      <c r="DQ372" s="300"/>
    </row>
    <row r="373" spans="3:121" ht="48.75" customHeight="1">
      <c r="N373" s="1683"/>
      <c r="O373" s="193"/>
      <c r="P373" s="194"/>
      <c r="Q373" s="194"/>
      <c r="R373" s="194"/>
      <c r="S373" s="195"/>
      <c r="T373" s="1706"/>
      <c r="U373" s="1707"/>
      <c r="V373" s="1707"/>
      <c r="W373" s="1707"/>
      <c r="X373" s="1707"/>
      <c r="Y373" s="1707"/>
      <c r="Z373" s="1707"/>
      <c r="AA373" s="1708"/>
      <c r="AB373" s="1694"/>
      <c r="AC373" s="1681"/>
      <c r="AD373" s="1681"/>
      <c r="AE373" s="1681"/>
      <c r="AF373" s="1386"/>
      <c r="AG373" s="1386"/>
      <c r="AH373" s="300"/>
      <c r="AJ373" s="300"/>
      <c r="AK373" s="300"/>
      <c r="AL373" s="300"/>
      <c r="AM373" s="300"/>
      <c r="AN373" s="300"/>
      <c r="AO373" s="300"/>
      <c r="AP373" s="300"/>
      <c r="AQ373" s="300"/>
      <c r="AR373" s="300"/>
      <c r="AS373" s="300"/>
      <c r="AT373" s="300"/>
      <c r="AU373" s="300"/>
      <c r="AV373" s="300"/>
      <c r="AW373" s="300"/>
      <c r="AX373" s="300"/>
      <c r="AY373" s="300"/>
      <c r="AZ373" s="300"/>
      <c r="BE373" s="19"/>
      <c r="BF373" s="17"/>
      <c r="BI373" s="11"/>
      <c r="BL373" s="300"/>
      <c r="BM373" s="300"/>
      <c r="BN373" s="300"/>
      <c r="CE373" s="327"/>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208"/>
      <c r="DQ373" s="300"/>
    </row>
    <row r="374" spans="3:121" ht="48.75" customHeight="1">
      <c r="N374" s="1683"/>
      <c r="O374" s="94"/>
      <c r="P374" s="95"/>
      <c r="Q374" s="95"/>
      <c r="R374" s="95"/>
      <c r="S374" s="96"/>
      <c r="T374" s="1709"/>
      <c r="U374" s="1710"/>
      <c r="V374" s="1710"/>
      <c r="W374" s="1710"/>
      <c r="X374" s="1710"/>
      <c r="Y374" s="1710"/>
      <c r="Z374" s="1710"/>
      <c r="AA374" s="1711"/>
      <c r="AB374" s="1695"/>
      <c r="AC374" s="1681"/>
      <c r="AD374" s="1681"/>
      <c r="AE374" s="1681"/>
      <c r="AF374" s="1386"/>
      <c r="AG374" s="1386"/>
      <c r="AJ374" s="300"/>
      <c r="AK374" s="300"/>
      <c r="AL374" s="300"/>
      <c r="AM374" s="300"/>
      <c r="AN374" s="300"/>
      <c r="AO374" s="300"/>
      <c r="AP374" s="300"/>
      <c r="AQ374" s="300"/>
      <c r="AR374" s="300"/>
      <c r="AS374" s="300"/>
      <c r="AT374" s="300"/>
      <c r="AU374" s="300"/>
      <c r="AV374" s="300"/>
      <c r="BE374" s="19"/>
      <c r="BF374" s="217"/>
      <c r="BG374" s="1405"/>
      <c r="BH374" s="1406"/>
      <c r="BI374" s="1406"/>
      <c r="BJ374" s="217"/>
      <c r="BL374" s="300"/>
      <c r="BM374" s="300"/>
      <c r="BN374" s="300"/>
      <c r="CE374" s="327"/>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208"/>
      <c r="DQ374" s="300"/>
    </row>
    <row r="375" spans="3:121" ht="48.75" customHeight="1">
      <c r="N375" s="1683">
        <v>5</v>
      </c>
      <c r="O375" s="91"/>
      <c r="P375" s="92"/>
      <c r="Q375" s="92"/>
      <c r="R375" s="92"/>
      <c r="S375" s="93"/>
      <c r="T375" s="1699"/>
      <c r="U375" s="1699"/>
      <c r="V375" s="1699"/>
      <c r="W375" s="1699"/>
      <c r="X375" s="1699"/>
      <c r="Y375" s="1699"/>
      <c r="Z375" s="1699"/>
      <c r="AA375" s="1699"/>
      <c r="AB375" s="1681" t="s">
        <v>681</v>
      </c>
      <c r="AC375" s="1681"/>
      <c r="AD375" s="1681"/>
      <c r="AE375" s="1681"/>
      <c r="AF375" s="427" t="s">
        <v>126</v>
      </c>
      <c r="AG375" s="201" t="s">
        <v>731</v>
      </c>
      <c r="AJ375" s="300"/>
      <c r="AK375" s="300"/>
      <c r="AL375" s="300"/>
      <c r="AM375" s="300"/>
      <c r="AN375" s="300"/>
      <c r="AO375" s="300"/>
      <c r="AP375" s="300"/>
      <c r="AQ375" s="300"/>
      <c r="AR375" s="300"/>
      <c r="AS375" s="300"/>
      <c r="AT375" s="300"/>
      <c r="BF375" s="217"/>
      <c r="BG375" s="1405" t="s">
        <v>120</v>
      </c>
      <c r="BH375" s="1406"/>
      <c r="BI375" s="1406"/>
      <c r="BJ375" s="218">
        <f>(CI353/(3*CI351)*(1-(3.14*CI351^2)/(8*'Вывод расчетов'!GT106))^2+0.66-CI352/(2*CI351))*1+CI354/CI352</f>
        <v>1.0222258274978733</v>
      </c>
      <c r="BL375" s="300"/>
      <c r="BM375" s="300"/>
      <c r="BN375" s="300"/>
      <c r="CE375" s="327"/>
      <c r="CF375" s="12"/>
      <c r="CG375" s="12"/>
      <c r="CH375" s="12"/>
      <c r="CI375" s="12"/>
      <c r="CJ375" s="280"/>
      <c r="CK375" s="16"/>
      <c r="CL375" s="12"/>
      <c r="CM375" s="1766"/>
      <c r="CN375" s="1766"/>
      <c r="CO375" s="1766"/>
      <c r="CP375" s="12"/>
      <c r="CQ375" s="12"/>
      <c r="CR375" s="12"/>
      <c r="CS375" s="12"/>
      <c r="CT375" s="12"/>
      <c r="CU375" s="209"/>
      <c r="CV375" s="12"/>
      <c r="CW375" s="12"/>
      <c r="CX375" s="1777"/>
      <c r="CY375" s="1778"/>
      <c r="CZ375" s="1778"/>
      <c r="DA375" s="1779"/>
      <c r="DB375" s="12"/>
      <c r="DC375" s="12"/>
      <c r="DD375" s="12"/>
      <c r="DE375" s="12"/>
      <c r="DF375" s="12"/>
      <c r="DG375" s="273"/>
      <c r="DH375" s="297"/>
      <c r="DI375" s="12"/>
      <c r="DJ375" s="1777"/>
      <c r="DK375" s="1778"/>
      <c r="DL375" s="1778"/>
      <c r="DM375" s="1779"/>
      <c r="DN375" s="12"/>
      <c r="DO375" s="12"/>
      <c r="DP375" s="208"/>
      <c r="DQ375" s="300"/>
    </row>
    <row r="376" spans="3:121" ht="48.75" customHeight="1">
      <c r="N376" s="1683"/>
      <c r="O376" s="193"/>
      <c r="P376" s="194"/>
      <c r="Q376" s="194"/>
      <c r="R376" s="194"/>
      <c r="S376" s="195"/>
      <c r="T376" s="1699"/>
      <c r="U376" s="1699"/>
      <c r="V376" s="1699"/>
      <c r="W376" s="1699"/>
      <c r="X376" s="1699"/>
      <c r="Y376" s="1699"/>
      <c r="Z376" s="1699"/>
      <c r="AA376" s="1699"/>
      <c r="AB376" s="1681"/>
      <c r="AC376" s="1681"/>
      <c r="AD376" s="1681"/>
      <c r="AE376" s="1681"/>
      <c r="AF376" s="1682"/>
      <c r="AG376" s="1070" t="s">
        <v>762</v>
      </c>
      <c r="AH376" s="300"/>
      <c r="AJ376" s="300"/>
      <c r="AK376" s="300"/>
      <c r="AL376" s="300"/>
      <c r="AM376" s="300"/>
      <c r="AN376" s="300"/>
      <c r="AO376" s="300"/>
      <c r="BF376" s="217"/>
      <c r="BG376" s="1405" t="s">
        <v>121</v>
      </c>
      <c r="BH376" s="1406"/>
      <c r="BI376" s="1406"/>
      <c r="BJ376" s="278"/>
      <c r="BL376" s="300"/>
      <c r="BM376" s="300"/>
      <c r="BN376" s="300"/>
      <c r="CE376" s="327"/>
      <c r="CF376" s="1765" t="s">
        <v>5</v>
      </c>
      <c r="CG376" s="1765"/>
      <c r="CH376" s="1765"/>
      <c r="CI376" s="283" t="s">
        <v>126</v>
      </c>
      <c r="CJ376" s="201" t="s">
        <v>731</v>
      </c>
      <c r="CK376" s="16"/>
      <c r="CL376" s="12"/>
      <c r="CM376" s="1766"/>
      <c r="CN376" s="1766"/>
      <c r="CO376" s="1766"/>
      <c r="CP376" s="12"/>
      <c r="CQ376" s="12"/>
      <c r="CR376" s="1765" t="s">
        <v>873</v>
      </c>
      <c r="CS376" s="1765"/>
      <c r="CT376" s="1765"/>
      <c r="CU376" s="283" t="s">
        <v>126</v>
      </c>
      <c r="CV376" s="201" t="s">
        <v>731</v>
      </c>
      <c r="CW376" s="12"/>
      <c r="CX376" s="1780"/>
      <c r="CY376" s="1781"/>
      <c r="CZ376" s="1781"/>
      <c r="DA376" s="1782"/>
      <c r="DB376" s="12"/>
      <c r="DC376" s="12"/>
      <c r="DD376" s="1765" t="s">
        <v>872</v>
      </c>
      <c r="DE376" s="1765"/>
      <c r="DF376" s="1765"/>
      <c r="DG376" s="283" t="s">
        <v>126</v>
      </c>
      <c r="DH376" s="201" t="s">
        <v>731</v>
      </c>
      <c r="DI376" s="12"/>
      <c r="DJ376" s="1780"/>
      <c r="DK376" s="1781"/>
      <c r="DL376" s="1781"/>
      <c r="DM376" s="1782"/>
      <c r="DN376" s="12"/>
      <c r="DO376" s="12"/>
      <c r="DP376" s="208"/>
      <c r="DQ376" s="300"/>
    </row>
    <row r="377" spans="3:121" ht="48.75" customHeight="1">
      <c r="N377" s="1683"/>
      <c r="O377" s="193"/>
      <c r="P377" s="194"/>
      <c r="Q377" s="194"/>
      <c r="R377" s="194"/>
      <c r="S377" s="195"/>
      <c r="T377" s="1699"/>
      <c r="U377" s="1699"/>
      <c r="V377" s="1699"/>
      <c r="W377" s="1699"/>
      <c r="X377" s="1699"/>
      <c r="Y377" s="1699"/>
      <c r="Z377" s="1699"/>
      <c r="AA377" s="1699"/>
      <c r="AB377" s="1681"/>
      <c r="AC377" s="1681"/>
      <c r="AD377" s="1681"/>
      <c r="AE377" s="1681"/>
      <c r="AF377" s="1682"/>
      <c r="AG377" s="1070"/>
      <c r="AH377" s="300"/>
      <c r="AJ377" s="300"/>
      <c r="AK377" s="300"/>
      <c r="AL377" s="300"/>
      <c r="AM377" s="300"/>
      <c r="AN377" s="300"/>
      <c r="AO377" s="300"/>
      <c r="BF377" s="217"/>
      <c r="BG377" s="1405" t="s">
        <v>122</v>
      </c>
      <c r="BH377" s="1406"/>
      <c r="BI377" s="1406"/>
      <c r="BJ377" s="278"/>
      <c r="BL377" s="300"/>
      <c r="BM377" s="300"/>
      <c r="BN377" s="300"/>
      <c r="CE377" s="327"/>
      <c r="CF377" s="352" t="s">
        <v>1237</v>
      </c>
      <c r="CG377" s="1033" t="s">
        <v>126</v>
      </c>
      <c r="CH377" s="1033"/>
      <c r="CI377" s="278"/>
      <c r="CJ377" s="275"/>
      <c r="CK377" s="12"/>
      <c r="CL377" s="12"/>
      <c r="CM377" s="1766"/>
      <c r="CN377" s="1766"/>
      <c r="CO377" s="1766"/>
      <c r="CP377" s="12"/>
      <c r="CQ377" s="12"/>
      <c r="CR377" s="352" t="s">
        <v>1237</v>
      </c>
      <c r="CS377" s="1033" t="s">
        <v>119</v>
      </c>
      <c r="CT377" s="1033"/>
      <c r="CU377" s="9"/>
      <c r="CV377" s="10"/>
      <c r="CW377" s="12"/>
      <c r="CX377" s="1780"/>
      <c r="CY377" s="1781"/>
      <c r="CZ377" s="1781"/>
      <c r="DA377" s="1782"/>
      <c r="DB377" s="12"/>
      <c r="DC377" s="12"/>
      <c r="DD377" s="352" t="s">
        <v>1237</v>
      </c>
      <c r="DE377" s="1033" t="s">
        <v>126</v>
      </c>
      <c r="DF377" s="1033"/>
      <c r="DG377" s="276"/>
      <c r="DH377" s="292"/>
      <c r="DI377" s="12"/>
      <c r="DJ377" s="1780"/>
      <c r="DK377" s="1781"/>
      <c r="DL377" s="1781"/>
      <c r="DM377" s="1782"/>
      <c r="DN377" s="12"/>
      <c r="DO377" s="12"/>
      <c r="DP377" s="208"/>
      <c r="DQ377" s="300"/>
    </row>
    <row r="378" spans="3:121" ht="48.75" customHeight="1">
      <c r="N378" s="1683"/>
      <c r="O378" s="193"/>
      <c r="P378" s="194"/>
      <c r="Q378" s="194"/>
      <c r="R378" s="194"/>
      <c r="S378" s="195"/>
      <c r="T378" s="1699"/>
      <c r="U378" s="1699"/>
      <c r="V378" s="1699"/>
      <c r="W378" s="1699"/>
      <c r="X378" s="1699"/>
      <c r="Y378" s="1699"/>
      <c r="Z378" s="1699"/>
      <c r="AA378" s="1699"/>
      <c r="AB378" s="1681"/>
      <c r="AC378" s="1681"/>
      <c r="AD378" s="1681"/>
      <c r="AE378" s="1681"/>
      <c r="AF378" s="1386"/>
      <c r="AG378" s="1386"/>
      <c r="AH378" s="300"/>
      <c r="AJ378" s="300"/>
      <c r="AK378" s="300"/>
      <c r="AL378" s="300"/>
      <c r="AM378" s="300"/>
      <c r="BF378" s="217"/>
      <c r="BG378" s="1405" t="s">
        <v>131</v>
      </c>
      <c r="BH378" s="1406"/>
      <c r="BI378" s="1406"/>
      <c r="BJ378" s="278"/>
      <c r="BL378" s="300"/>
      <c r="BM378" s="300"/>
      <c r="BN378" s="300"/>
      <c r="CE378" s="327"/>
      <c r="CF378" s="352" t="s">
        <v>1237</v>
      </c>
      <c r="CG378" s="1033" t="s">
        <v>126</v>
      </c>
      <c r="CH378" s="1033"/>
      <c r="CI378" s="278"/>
      <c r="CJ378" s="275"/>
      <c r="CK378" s="12"/>
      <c r="CL378" s="12"/>
      <c r="CM378" s="1766"/>
      <c r="CN378" s="1766"/>
      <c r="CO378" s="1766"/>
      <c r="CP378" s="12"/>
      <c r="CQ378" s="12"/>
      <c r="CR378" s="352" t="s">
        <v>1237</v>
      </c>
      <c r="CS378" s="1033" t="s">
        <v>119</v>
      </c>
      <c r="CT378" s="1033"/>
      <c r="CU378" s="9"/>
      <c r="CV378" s="10"/>
      <c r="CW378" s="12"/>
      <c r="CX378" s="1780"/>
      <c r="CY378" s="1781"/>
      <c r="CZ378" s="1781"/>
      <c r="DA378" s="1782"/>
      <c r="DB378" s="12"/>
      <c r="DC378" s="12"/>
      <c r="DD378" s="352" t="s">
        <v>1237</v>
      </c>
      <c r="DE378" s="1033" t="s">
        <v>126</v>
      </c>
      <c r="DF378" s="1033"/>
      <c r="DG378" s="276"/>
      <c r="DH378" s="292"/>
      <c r="DI378" s="12"/>
      <c r="DJ378" s="1780"/>
      <c r="DK378" s="1781"/>
      <c r="DL378" s="1781"/>
      <c r="DM378" s="1782"/>
      <c r="DN378" s="12"/>
      <c r="DO378" s="12"/>
      <c r="DP378" s="208"/>
    </row>
    <row r="379" spans="3:121" ht="48.75" customHeight="1">
      <c r="N379" s="1683"/>
      <c r="O379" s="193"/>
      <c r="P379" s="194"/>
      <c r="Q379" s="194"/>
      <c r="R379" s="194"/>
      <c r="S379" s="195"/>
      <c r="T379" s="1699"/>
      <c r="U379" s="1699"/>
      <c r="V379" s="1699"/>
      <c r="W379" s="1699"/>
      <c r="X379" s="1699"/>
      <c r="Y379" s="1699"/>
      <c r="Z379" s="1699"/>
      <c r="AA379" s="1699"/>
      <c r="AB379" s="1681"/>
      <c r="AC379" s="1681"/>
      <c r="AD379" s="1681"/>
      <c r="AE379" s="1681"/>
      <c r="AF379" s="1386"/>
      <c r="AG379" s="1386"/>
      <c r="AH379" s="300"/>
      <c r="AJ379" s="300"/>
      <c r="AK379" s="300"/>
      <c r="AL379" s="300"/>
      <c r="AM379" s="300"/>
      <c r="BF379" s="217"/>
      <c r="BG379" s="1405" t="s">
        <v>132</v>
      </c>
      <c r="BH379" s="1406"/>
      <c r="BI379" s="1406"/>
      <c r="BJ379" s="278"/>
      <c r="BL379" s="300"/>
      <c r="BM379" s="300"/>
      <c r="BN379" s="300"/>
      <c r="CE379" s="327"/>
      <c r="CF379" s="352" t="s">
        <v>1237</v>
      </c>
      <c r="CG379" s="1033" t="s">
        <v>126</v>
      </c>
      <c r="CH379" s="1033"/>
      <c r="CI379" s="278"/>
      <c r="CJ379" s="275"/>
      <c r="CK379" s="12"/>
      <c r="CL379" s="12"/>
      <c r="CM379" s="1766"/>
      <c r="CN379" s="1766"/>
      <c r="CO379" s="1766"/>
      <c r="CP379" s="12"/>
      <c r="CQ379" s="12"/>
      <c r="CR379" s="352" t="s">
        <v>1237</v>
      </c>
      <c r="CS379" s="1033" t="s">
        <v>103</v>
      </c>
      <c r="CT379" s="1033"/>
      <c r="CU379" s="9"/>
      <c r="CV379" s="10"/>
      <c r="CW379" s="12"/>
      <c r="CX379" s="1780"/>
      <c r="CY379" s="1781"/>
      <c r="CZ379" s="1781"/>
      <c r="DA379" s="1782"/>
      <c r="DB379" s="12"/>
      <c r="DC379" s="12"/>
      <c r="DD379" s="352" t="s">
        <v>1237</v>
      </c>
      <c r="DE379" s="1033" t="s">
        <v>126</v>
      </c>
      <c r="DF379" s="1033"/>
      <c r="DG379" s="276"/>
      <c r="DH379" s="292"/>
      <c r="DI379" s="12"/>
      <c r="DJ379" s="1780"/>
      <c r="DK379" s="1781"/>
      <c r="DL379" s="1781"/>
      <c r="DM379" s="1782"/>
      <c r="DN379" s="12"/>
      <c r="DO379" s="12"/>
      <c r="DP379" s="208"/>
    </row>
    <row r="380" spans="3:121" ht="48.75" customHeight="1">
      <c r="N380" s="1683"/>
      <c r="O380" s="193"/>
      <c r="P380" s="194"/>
      <c r="Q380" s="194"/>
      <c r="R380" s="194"/>
      <c r="S380" s="195"/>
      <c r="T380" s="1699"/>
      <c r="U380" s="1699"/>
      <c r="V380" s="1699"/>
      <c r="W380" s="1699"/>
      <c r="X380" s="1699"/>
      <c r="Y380" s="1699"/>
      <c r="Z380" s="1699"/>
      <c r="AA380" s="1699"/>
      <c r="AB380" s="1681"/>
      <c r="AC380" s="1681"/>
      <c r="AD380" s="1681"/>
      <c r="AE380" s="1681"/>
      <c r="AF380" s="1386"/>
      <c r="AG380" s="1386"/>
      <c r="AH380" s="300"/>
      <c r="AJ380" s="300"/>
      <c r="AK380" s="300"/>
      <c r="AL380" s="300"/>
      <c r="AM380" s="300"/>
      <c r="BF380" s="217"/>
      <c r="BG380" s="1405" t="s">
        <v>133</v>
      </c>
      <c r="BH380" s="1406"/>
      <c r="BI380" s="1406"/>
      <c r="BJ380" s="278"/>
      <c r="BL380" s="300"/>
      <c r="BM380" s="300"/>
      <c r="BN380" s="300"/>
      <c r="CE380" s="327"/>
      <c r="CF380" s="352" t="s">
        <v>1237</v>
      </c>
      <c r="CG380" s="1033" t="s">
        <v>126</v>
      </c>
      <c r="CH380" s="1033"/>
      <c r="CI380" s="278"/>
      <c r="CJ380" s="275"/>
      <c r="CK380" s="12"/>
      <c r="CL380" s="12"/>
      <c r="CM380" s="1766"/>
      <c r="CN380" s="1766"/>
      <c r="CO380" s="1766"/>
      <c r="CP380" s="12"/>
      <c r="CQ380" s="12"/>
      <c r="CR380" s="352" t="s">
        <v>1237</v>
      </c>
      <c r="CS380" s="1033" t="s">
        <v>51</v>
      </c>
      <c r="CT380" s="1033"/>
      <c r="CU380" s="9"/>
      <c r="CV380" s="10"/>
      <c r="CW380" s="12"/>
      <c r="CX380" s="1780"/>
      <c r="CY380" s="1781"/>
      <c r="CZ380" s="1781"/>
      <c r="DA380" s="1782"/>
      <c r="DB380" s="12"/>
      <c r="DC380" s="12"/>
      <c r="DD380" s="12"/>
      <c r="DE380" s="12"/>
      <c r="DF380" s="12"/>
      <c r="DG380" s="12"/>
      <c r="DH380" s="12"/>
      <c r="DI380" s="12"/>
      <c r="DJ380" s="1780"/>
      <c r="DK380" s="1781"/>
      <c r="DL380" s="1781"/>
      <c r="DM380" s="1782"/>
      <c r="DN380" s="12"/>
      <c r="DO380" s="12"/>
      <c r="DP380" s="208"/>
    </row>
    <row r="381" spans="3:121" ht="48.75" customHeight="1">
      <c r="N381" s="1683"/>
      <c r="O381" s="94"/>
      <c r="P381" s="95"/>
      <c r="Q381" s="95"/>
      <c r="R381" s="95"/>
      <c r="S381" s="96"/>
      <c r="T381" s="1699"/>
      <c r="U381" s="1699"/>
      <c r="V381" s="1699"/>
      <c r="W381" s="1699"/>
      <c r="X381" s="1699"/>
      <c r="Y381" s="1699"/>
      <c r="Z381" s="1699"/>
      <c r="AA381" s="1699"/>
      <c r="AB381" s="1681"/>
      <c r="AC381" s="1681"/>
      <c r="AD381" s="1681"/>
      <c r="AE381" s="1681"/>
      <c r="AF381" s="1386"/>
      <c r="AG381" s="1386"/>
      <c r="AH381" s="300"/>
      <c r="AJ381" s="300"/>
      <c r="AK381" s="300"/>
      <c r="AL381" s="300"/>
      <c r="AM381" s="300"/>
      <c r="BF381" s="217"/>
      <c r="BG381" s="1405" t="s">
        <v>134</v>
      </c>
      <c r="BH381" s="1406"/>
      <c r="BI381" s="1406"/>
      <c r="BJ381" s="217"/>
      <c r="BL381" s="300"/>
      <c r="BM381" s="300"/>
      <c r="BN381" s="300"/>
      <c r="CE381" s="327"/>
      <c r="CF381" s="12"/>
      <c r="CG381" s="12"/>
      <c r="CH381" s="12"/>
      <c r="CI381" s="12"/>
      <c r="CJ381" s="280"/>
      <c r="CK381" s="16"/>
      <c r="CL381" s="12"/>
      <c r="CM381" s="1766"/>
      <c r="CN381" s="1766"/>
      <c r="CO381" s="1766"/>
      <c r="CP381" s="12"/>
      <c r="CQ381" s="12"/>
      <c r="CR381" s="352" t="s">
        <v>1237</v>
      </c>
      <c r="CS381" s="1033" t="s">
        <v>101</v>
      </c>
      <c r="CT381" s="1033"/>
      <c r="CU381" s="10"/>
      <c r="CV381" s="10"/>
      <c r="CW381" s="12"/>
      <c r="CX381" s="1780"/>
      <c r="CY381" s="1781"/>
      <c r="CZ381" s="1781"/>
      <c r="DA381" s="1782"/>
      <c r="DB381" s="12"/>
      <c r="DC381" s="12"/>
      <c r="DD381" s="12"/>
      <c r="DE381" s="12"/>
      <c r="DF381" s="12"/>
      <c r="DG381" s="273"/>
      <c r="DH381" s="297"/>
      <c r="DI381" s="12"/>
      <c r="DJ381" s="1783"/>
      <c r="DK381" s="1784"/>
      <c r="DL381" s="1784"/>
      <c r="DM381" s="1785"/>
      <c r="DN381" s="12"/>
      <c r="DO381" s="12"/>
      <c r="DP381" s="208"/>
    </row>
    <row r="382" spans="3:121" ht="48.75" customHeight="1">
      <c r="N382" s="1683">
        <v>6</v>
      </c>
      <c r="O382" s="91"/>
      <c r="P382" s="92"/>
      <c r="Q382" s="92"/>
      <c r="R382" s="92"/>
      <c r="S382" s="93"/>
      <c r="T382" s="1699"/>
      <c r="U382" s="1699"/>
      <c r="V382" s="1699"/>
      <c r="W382" s="1699"/>
      <c r="X382" s="1699"/>
      <c r="Y382" s="1699"/>
      <c r="Z382" s="1699"/>
      <c r="AA382" s="1699"/>
      <c r="AB382" s="1681" t="s">
        <v>681</v>
      </c>
      <c r="AC382" s="1681"/>
      <c r="AD382" s="1681"/>
      <c r="AE382" s="1681"/>
      <c r="AF382" s="427" t="s">
        <v>126</v>
      </c>
      <c r="AG382" s="201" t="s">
        <v>731</v>
      </c>
      <c r="AH382" s="300"/>
      <c r="AJ382" s="300"/>
      <c r="AK382" s="300"/>
      <c r="AL382" s="300"/>
      <c r="AM382" s="300"/>
      <c r="BE382" s="299"/>
      <c r="BF382" s="17"/>
      <c r="BI382" s="11"/>
      <c r="BL382" s="300"/>
      <c r="BM382" s="300"/>
      <c r="BN382" s="300"/>
      <c r="CE382" s="327"/>
      <c r="CF382" s="12"/>
      <c r="CG382" s="12"/>
      <c r="CH382" s="12"/>
      <c r="CI382" s="12"/>
      <c r="CJ382" s="280"/>
      <c r="CK382" s="16"/>
      <c r="CL382" s="12"/>
      <c r="CM382" s="1766"/>
      <c r="CN382" s="1766"/>
      <c r="CO382" s="1766"/>
      <c r="CP382" s="12"/>
      <c r="CQ382" s="12"/>
      <c r="CR382" s="12"/>
      <c r="CS382" s="209"/>
      <c r="CT382" s="209"/>
      <c r="CU382" s="209"/>
      <c r="CV382" s="209"/>
      <c r="CW382" s="12"/>
      <c r="CX382" s="1780"/>
      <c r="CY382" s="1781"/>
      <c r="CZ382" s="1781"/>
      <c r="DA382" s="1782"/>
      <c r="DB382" s="12"/>
      <c r="DC382" s="12"/>
      <c r="DD382" s="12"/>
      <c r="DE382" s="12"/>
      <c r="DF382" s="12"/>
      <c r="DG382" s="12"/>
      <c r="DH382" s="12"/>
      <c r="DI382" s="12"/>
      <c r="DJ382" s="12"/>
      <c r="DK382" s="12"/>
      <c r="DL382" s="12"/>
      <c r="DM382" s="12"/>
      <c r="DN382" s="12"/>
      <c r="DO382" s="12"/>
      <c r="DP382" s="208"/>
    </row>
    <row r="383" spans="3:121" ht="48.75" customHeight="1">
      <c r="N383" s="1683"/>
      <c r="O383" s="193"/>
      <c r="P383" s="194"/>
      <c r="Q383" s="194"/>
      <c r="R383" s="194"/>
      <c r="S383" s="195"/>
      <c r="T383" s="1699"/>
      <c r="U383" s="1699"/>
      <c r="V383" s="1699"/>
      <c r="W383" s="1699"/>
      <c r="X383" s="1699"/>
      <c r="Y383" s="1699"/>
      <c r="Z383" s="1699"/>
      <c r="AA383" s="1699"/>
      <c r="AB383" s="1681"/>
      <c r="AC383" s="1681"/>
      <c r="AD383" s="1681"/>
      <c r="AE383" s="1681"/>
      <c r="AF383" s="1682"/>
      <c r="AG383" s="1070" t="s">
        <v>762</v>
      </c>
      <c r="AJ383" s="300"/>
      <c r="AK383" s="300"/>
      <c r="AL383" s="300"/>
      <c r="AM383" s="300"/>
      <c r="BE383" s="19"/>
      <c r="BF383" s="17"/>
      <c r="BI383" s="11"/>
      <c r="BL383" s="300"/>
      <c r="BM383" s="300"/>
      <c r="BN383" s="300"/>
      <c r="CE383" s="327"/>
      <c r="CF383" s="12"/>
      <c r="CG383" s="12"/>
      <c r="CH383" s="12"/>
      <c r="CI383" s="12"/>
      <c r="CJ383" s="280"/>
      <c r="CK383" s="16"/>
      <c r="CL383" s="12"/>
      <c r="CM383" s="1766"/>
      <c r="CN383" s="1766"/>
      <c r="CO383" s="1766"/>
      <c r="CP383" s="12"/>
      <c r="CQ383" s="12"/>
      <c r="CR383" s="12"/>
      <c r="CS383" s="209"/>
      <c r="CT383" s="209"/>
      <c r="CU383" s="209"/>
      <c r="CV383" s="209"/>
      <c r="CW383" s="12"/>
      <c r="CX383" s="1780"/>
      <c r="CY383" s="1781"/>
      <c r="CZ383" s="1781"/>
      <c r="DA383" s="1782"/>
      <c r="DB383" s="12"/>
      <c r="DC383" s="12"/>
      <c r="DD383" s="12"/>
      <c r="DE383" s="12"/>
      <c r="DF383" s="12"/>
      <c r="DG383" s="12"/>
      <c r="DH383" s="12"/>
      <c r="DI383" s="12"/>
      <c r="DJ383" s="12"/>
      <c r="DK383" s="12"/>
      <c r="DL383" s="12"/>
      <c r="DM383" s="12"/>
      <c r="DN383" s="12"/>
      <c r="DO383" s="12"/>
      <c r="DP383" s="208"/>
    </row>
    <row r="384" spans="3:121" ht="48.75" customHeight="1">
      <c r="N384" s="1683"/>
      <c r="O384" s="193"/>
      <c r="P384" s="194"/>
      <c r="Q384" s="194"/>
      <c r="R384" s="194"/>
      <c r="S384" s="195"/>
      <c r="T384" s="1699"/>
      <c r="U384" s="1699"/>
      <c r="V384" s="1699"/>
      <c r="W384" s="1699"/>
      <c r="X384" s="1699"/>
      <c r="Y384" s="1699"/>
      <c r="Z384" s="1699"/>
      <c r="AA384" s="1699"/>
      <c r="AB384" s="1681"/>
      <c r="AC384" s="1681"/>
      <c r="AD384" s="1681"/>
      <c r="AE384" s="1681"/>
      <c r="AF384" s="1682"/>
      <c r="AG384" s="1070"/>
      <c r="AJ384" s="300"/>
      <c r="AK384" s="300"/>
      <c r="AL384" s="300"/>
      <c r="AM384" s="300"/>
      <c r="BE384" s="19"/>
      <c r="BF384" s="17"/>
      <c r="BI384" s="11"/>
      <c r="BL384" s="300"/>
      <c r="BM384" s="300"/>
      <c r="BN384" s="300"/>
      <c r="CE384" s="327"/>
      <c r="CF384" s="12"/>
      <c r="CG384" s="12"/>
      <c r="CH384" s="12"/>
      <c r="CI384" s="12"/>
      <c r="CJ384" s="280"/>
      <c r="CK384" s="16"/>
      <c r="CL384" s="12"/>
      <c r="CM384" s="1766"/>
      <c r="CN384" s="1766"/>
      <c r="CO384" s="1766"/>
      <c r="CP384" s="12"/>
      <c r="CQ384" s="12"/>
      <c r="CR384" s="12"/>
      <c r="CS384" s="12"/>
      <c r="CT384" s="12"/>
      <c r="CU384" s="209"/>
      <c r="CV384" s="12"/>
      <c r="CW384" s="12"/>
      <c r="CX384" s="1780"/>
      <c r="CY384" s="1781"/>
      <c r="CZ384" s="1781"/>
      <c r="DA384" s="1782"/>
      <c r="DB384" s="12"/>
      <c r="DC384" s="12"/>
      <c r="DD384" s="12"/>
      <c r="DE384" s="12"/>
      <c r="DF384" s="12"/>
      <c r="DG384" s="12"/>
      <c r="DH384" s="12"/>
      <c r="DI384" s="12"/>
      <c r="DJ384" s="273"/>
      <c r="DK384" s="297"/>
      <c r="DL384" s="12"/>
      <c r="DM384" s="12"/>
      <c r="DN384" s="12"/>
      <c r="DO384" s="12"/>
      <c r="DP384" s="208"/>
    </row>
    <row r="385" spans="14:120" ht="48.75" customHeight="1">
      <c r="N385" s="1683"/>
      <c r="O385" s="193"/>
      <c r="P385" s="194"/>
      <c r="Q385" s="194"/>
      <c r="R385" s="194"/>
      <c r="S385" s="195"/>
      <c r="T385" s="1699"/>
      <c r="U385" s="1699"/>
      <c r="V385" s="1699"/>
      <c r="W385" s="1699"/>
      <c r="X385" s="1699"/>
      <c r="Y385" s="1699"/>
      <c r="Z385" s="1699"/>
      <c r="AA385" s="1699"/>
      <c r="AB385" s="1681"/>
      <c r="AC385" s="1681"/>
      <c r="AD385" s="1681"/>
      <c r="AE385" s="1681"/>
      <c r="AF385" s="1386"/>
      <c r="AG385" s="1386"/>
      <c r="AJ385" s="300"/>
      <c r="AK385" s="300"/>
      <c r="AL385" s="300"/>
      <c r="AM385" s="300"/>
      <c r="BE385" s="19"/>
      <c r="BF385" s="17"/>
      <c r="BI385" s="11"/>
      <c r="CE385" s="327"/>
      <c r="CF385" s="12"/>
      <c r="CG385" s="12"/>
      <c r="CH385" s="12"/>
      <c r="CI385" s="12"/>
      <c r="CJ385" s="12"/>
      <c r="CK385" s="12"/>
      <c r="CL385" s="12"/>
      <c r="CM385" s="12"/>
      <c r="CN385" s="12"/>
      <c r="CO385" s="12"/>
      <c r="CP385" s="12"/>
      <c r="CQ385" s="12"/>
      <c r="CR385" s="12"/>
      <c r="CS385" s="12"/>
      <c r="CT385" s="12"/>
      <c r="CU385" s="209"/>
      <c r="CV385" s="12"/>
      <c r="CW385" s="12"/>
      <c r="CX385" s="1783"/>
      <c r="CY385" s="1784"/>
      <c r="CZ385" s="1784"/>
      <c r="DA385" s="1785"/>
      <c r="DB385" s="12"/>
      <c r="DC385" s="12"/>
      <c r="DD385" s="12"/>
      <c r="DE385" s="12"/>
      <c r="DF385" s="12"/>
      <c r="DG385" s="12"/>
      <c r="DH385" s="12"/>
      <c r="DI385" s="12"/>
      <c r="DJ385" s="12"/>
      <c r="DK385" s="12"/>
      <c r="DL385" s="12"/>
      <c r="DM385" s="12"/>
      <c r="DN385" s="12"/>
      <c r="DO385" s="12"/>
      <c r="DP385" s="208"/>
    </row>
    <row r="386" spans="14:120" ht="48.75" customHeight="1">
      <c r="N386" s="1683"/>
      <c r="O386" s="193"/>
      <c r="P386" s="194"/>
      <c r="Q386" s="194"/>
      <c r="R386" s="194"/>
      <c r="S386" s="195"/>
      <c r="T386" s="1699"/>
      <c r="U386" s="1699"/>
      <c r="V386" s="1699"/>
      <c r="W386" s="1699"/>
      <c r="X386" s="1699"/>
      <c r="Y386" s="1699"/>
      <c r="Z386" s="1699"/>
      <c r="AA386" s="1699"/>
      <c r="AB386" s="1681"/>
      <c r="AC386" s="1681"/>
      <c r="AD386" s="1681"/>
      <c r="AE386" s="1681"/>
      <c r="AF386" s="1386"/>
      <c r="AG386" s="1386"/>
      <c r="AJ386" s="300"/>
      <c r="AK386" s="300"/>
      <c r="AL386" s="300"/>
      <c r="AM386" s="300"/>
      <c r="BE386" s="19"/>
      <c r="BF386" s="17"/>
      <c r="BI386" s="11"/>
      <c r="CE386" s="327"/>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208"/>
    </row>
    <row r="387" spans="14:120" ht="48.75" customHeight="1" thickBot="1">
      <c r="N387" s="1683"/>
      <c r="O387" s="193"/>
      <c r="P387" s="194"/>
      <c r="Q387" s="194"/>
      <c r="R387" s="194"/>
      <c r="S387" s="195"/>
      <c r="T387" s="1699"/>
      <c r="U387" s="1699"/>
      <c r="V387" s="1699"/>
      <c r="W387" s="1699"/>
      <c r="X387" s="1699"/>
      <c r="Y387" s="1699"/>
      <c r="Z387" s="1699"/>
      <c r="AA387" s="1699"/>
      <c r="AB387" s="1681"/>
      <c r="AC387" s="1681"/>
      <c r="AD387" s="1681"/>
      <c r="AE387" s="1681"/>
      <c r="AF387" s="1386"/>
      <c r="AG387" s="1386"/>
      <c r="AJ387" s="300"/>
      <c r="AK387" s="300"/>
      <c r="AL387" s="300"/>
      <c r="AM387" s="300"/>
      <c r="BE387" s="19"/>
      <c r="BF387" s="17"/>
      <c r="BI387" s="11"/>
      <c r="CE387" s="335"/>
      <c r="CF387" s="210"/>
      <c r="CG387" s="210"/>
      <c r="CH387" s="210"/>
      <c r="CI387" s="210"/>
      <c r="CJ387" s="210"/>
      <c r="CK387" s="210"/>
      <c r="CL387" s="210"/>
      <c r="CM387" s="210"/>
      <c r="CN387" s="210"/>
      <c r="CO387" s="210"/>
      <c r="CP387" s="210"/>
      <c r="CQ387" s="210"/>
      <c r="CR387" s="210"/>
      <c r="CS387" s="210"/>
      <c r="CT387" s="210"/>
      <c r="CU387" s="210"/>
      <c r="CV387" s="210"/>
      <c r="CW387" s="210"/>
      <c r="CX387" s="210"/>
      <c r="CY387" s="210"/>
      <c r="CZ387" s="210"/>
      <c r="DA387" s="210"/>
      <c r="DB387" s="210"/>
      <c r="DC387" s="210"/>
      <c r="DD387" s="210"/>
      <c r="DE387" s="210"/>
      <c r="DF387" s="210"/>
      <c r="DG387" s="210"/>
      <c r="DH387" s="210"/>
      <c r="DI387" s="210"/>
      <c r="DJ387" s="210"/>
      <c r="DK387" s="210"/>
      <c r="DL387" s="210"/>
      <c r="DM387" s="210"/>
      <c r="DN387" s="210"/>
      <c r="DO387" s="210"/>
      <c r="DP387" s="212"/>
    </row>
    <row r="388" spans="14:120" ht="48.75" customHeight="1">
      <c r="N388" s="1697"/>
      <c r="O388" s="94"/>
      <c r="P388" s="95"/>
      <c r="Q388" s="95"/>
      <c r="R388" s="95"/>
      <c r="S388" s="96"/>
      <c r="T388" s="1699"/>
      <c r="U388" s="1699"/>
      <c r="V388" s="1699"/>
      <c r="W388" s="1699"/>
      <c r="X388" s="1699"/>
      <c r="Y388" s="1699"/>
      <c r="Z388" s="1699"/>
      <c r="AA388" s="1699"/>
      <c r="AB388" s="1681"/>
      <c r="AC388" s="1681"/>
      <c r="AD388" s="1681"/>
      <c r="AE388" s="1681"/>
      <c r="AF388" s="1386"/>
      <c r="AG388" s="1386"/>
      <c r="AJ388" s="300"/>
      <c r="AK388" s="300"/>
      <c r="AL388" s="300"/>
      <c r="AM388" s="300"/>
      <c r="BE388" s="19"/>
      <c r="BF388" s="17"/>
      <c r="BI388" s="11"/>
    </row>
    <row r="389" spans="14:120" ht="48.75" customHeight="1">
      <c r="N389" s="1683" t="s">
        <v>131</v>
      </c>
      <c r="O389" s="91"/>
      <c r="P389" s="92"/>
      <c r="Q389" s="92"/>
      <c r="R389" s="92"/>
      <c r="S389" s="93"/>
      <c r="T389" s="1696"/>
      <c r="U389" s="1696"/>
      <c r="V389" s="1696"/>
      <c r="W389" s="1696"/>
      <c r="X389" s="1696"/>
      <c r="Y389" s="1696"/>
      <c r="Z389" s="1696"/>
      <c r="AA389" s="1696"/>
      <c r="AB389" s="1693" t="s">
        <v>682</v>
      </c>
      <c r="AC389" s="1681"/>
      <c r="AD389" s="1681"/>
      <c r="AE389" s="1681"/>
      <c r="AF389" s="427" t="s">
        <v>126</v>
      </c>
      <c r="AG389" s="201" t="s">
        <v>731</v>
      </c>
      <c r="AI389" s="321"/>
      <c r="AJ389" s="320"/>
      <c r="AK389" s="320"/>
      <c r="AL389" s="320"/>
      <c r="AM389" s="320"/>
      <c r="AN389" s="321"/>
      <c r="BE389" s="19"/>
      <c r="BF389" s="17"/>
      <c r="BI389" s="11"/>
    </row>
    <row r="390" spans="14:120" ht="48.75" customHeight="1">
      <c r="N390" s="1683"/>
      <c r="O390" s="193"/>
      <c r="P390" s="194"/>
      <c r="Q390" s="194"/>
      <c r="R390" s="194"/>
      <c r="S390" s="195"/>
      <c r="T390" s="1696"/>
      <c r="U390" s="1696"/>
      <c r="V390" s="1696"/>
      <c r="W390" s="1696"/>
      <c r="X390" s="1696"/>
      <c r="Y390" s="1696"/>
      <c r="Z390" s="1696"/>
      <c r="AA390" s="1696"/>
      <c r="AB390" s="1694"/>
      <c r="AC390" s="1681"/>
      <c r="AD390" s="1681"/>
      <c r="AE390" s="1681"/>
      <c r="AF390" s="1682"/>
      <c r="AG390" s="1070" t="s">
        <v>762</v>
      </c>
      <c r="AI390" s="320"/>
      <c r="AJ390" s="320"/>
      <c r="AK390" s="320"/>
      <c r="AL390" s="320"/>
      <c r="AM390" s="320"/>
      <c r="AN390" s="320"/>
      <c r="AO390" s="300"/>
      <c r="BE390" s="19"/>
      <c r="BF390" s="17"/>
      <c r="BI390" s="11"/>
    </row>
    <row r="391" spans="14:120" ht="48.75" customHeight="1">
      <c r="N391" s="1683"/>
      <c r="O391" s="193"/>
      <c r="P391" s="194"/>
      <c r="Q391" s="194"/>
      <c r="R391" s="194"/>
      <c r="S391" s="195"/>
      <c r="T391" s="1696"/>
      <c r="U391" s="1696"/>
      <c r="V391" s="1696"/>
      <c r="W391" s="1696"/>
      <c r="X391" s="1696"/>
      <c r="Y391" s="1696"/>
      <c r="Z391" s="1696"/>
      <c r="AA391" s="1696"/>
      <c r="AB391" s="1694"/>
      <c r="AC391" s="1681"/>
      <c r="AD391" s="1681"/>
      <c r="AE391" s="1681"/>
      <c r="AF391" s="1682"/>
      <c r="AG391" s="1070"/>
      <c r="AI391" s="320"/>
      <c r="AJ391" s="320"/>
      <c r="AK391" s="320"/>
      <c r="AL391" s="320"/>
      <c r="AM391" s="320"/>
      <c r="AN391" s="320"/>
      <c r="AO391" s="300"/>
      <c r="BE391" s="19"/>
      <c r="BF391" s="17"/>
      <c r="BI391" s="11"/>
      <c r="CI391" s="19"/>
      <c r="CJ391" s="17"/>
      <c r="DI391" s="3"/>
      <c r="DJ391" s="18"/>
    </row>
    <row r="392" spans="14:120" ht="48.75" customHeight="1">
      <c r="N392" s="1683"/>
      <c r="O392" s="193"/>
      <c r="P392" s="194"/>
      <c r="Q392" s="194"/>
      <c r="R392" s="194"/>
      <c r="S392" s="195"/>
      <c r="T392" s="1696"/>
      <c r="U392" s="1696"/>
      <c r="V392" s="1696"/>
      <c r="W392" s="1696"/>
      <c r="X392" s="1696"/>
      <c r="Y392" s="1696"/>
      <c r="Z392" s="1696"/>
      <c r="AA392" s="1696"/>
      <c r="AB392" s="1694"/>
      <c r="AC392" s="1681"/>
      <c r="AD392" s="1681"/>
      <c r="AE392" s="1681"/>
      <c r="AF392" s="1698"/>
      <c r="AG392" s="1386"/>
      <c r="AI392" s="320"/>
      <c r="AJ392" s="320"/>
      <c r="AK392" s="320"/>
      <c r="AL392" s="320"/>
      <c r="AM392" s="320"/>
      <c r="AN392" s="320"/>
      <c r="AO392" s="300"/>
      <c r="BE392" s="19"/>
      <c r="BF392" s="17"/>
      <c r="BI392" s="11"/>
      <c r="CI392" s="19"/>
      <c r="CJ392" s="17"/>
      <c r="DI392" s="3"/>
      <c r="DJ392" s="18"/>
    </row>
    <row r="393" spans="14:120" ht="48.75" customHeight="1">
      <c r="N393" s="1683"/>
      <c r="O393" s="193"/>
      <c r="P393" s="194"/>
      <c r="Q393" s="194"/>
      <c r="R393" s="194"/>
      <c r="S393" s="195"/>
      <c r="T393" s="1696"/>
      <c r="U393" s="1696"/>
      <c r="V393" s="1696"/>
      <c r="W393" s="1696"/>
      <c r="X393" s="1696"/>
      <c r="Y393" s="1696"/>
      <c r="Z393" s="1696"/>
      <c r="AA393" s="1696"/>
      <c r="AB393" s="1694"/>
      <c r="AC393" s="1681"/>
      <c r="AD393" s="1681"/>
      <c r="AE393" s="1681"/>
      <c r="AF393" s="1698"/>
      <c r="AG393" s="1386"/>
      <c r="AH393" s="321"/>
      <c r="AI393" s="320"/>
      <c r="AJ393" s="320"/>
      <c r="AK393" s="320"/>
      <c r="AL393" s="320"/>
      <c r="AM393" s="320"/>
      <c r="AN393" s="320"/>
      <c r="AO393" s="300"/>
      <c r="BE393" s="19"/>
      <c r="BF393" s="17"/>
      <c r="BI393" s="11"/>
      <c r="CI393" s="19"/>
      <c r="CJ393" s="17"/>
      <c r="DI393" s="3"/>
      <c r="DJ393" s="18"/>
    </row>
    <row r="394" spans="14:120" ht="48.75" customHeight="1">
      <c r="N394" s="1683"/>
      <c r="O394" s="193"/>
      <c r="P394" s="194"/>
      <c r="Q394" s="194"/>
      <c r="R394" s="194"/>
      <c r="S394" s="195"/>
      <c r="T394" s="1696"/>
      <c r="U394" s="1696"/>
      <c r="V394" s="1696"/>
      <c r="W394" s="1696"/>
      <c r="X394" s="1696"/>
      <c r="Y394" s="1696"/>
      <c r="Z394" s="1696"/>
      <c r="AA394" s="1696"/>
      <c r="AB394" s="1694"/>
      <c r="AC394" s="1681"/>
      <c r="AD394" s="1681"/>
      <c r="AE394" s="1681"/>
      <c r="AF394" s="1698"/>
      <c r="AG394" s="1386"/>
      <c r="AI394" s="320"/>
      <c r="AJ394" s="320"/>
      <c r="AK394" s="320"/>
      <c r="AL394" s="320"/>
      <c r="AM394" s="320"/>
      <c r="AN394" s="320"/>
      <c r="AO394" s="300"/>
      <c r="BE394" s="19"/>
      <c r="BF394" s="17"/>
      <c r="BI394" s="11"/>
      <c r="CI394" s="19"/>
      <c r="CJ394" s="17"/>
      <c r="CV394" s="8"/>
      <c r="DI394" s="3"/>
      <c r="DJ394" s="18"/>
    </row>
    <row r="395" spans="14:120" ht="48.75" customHeight="1">
      <c r="N395" s="1697"/>
      <c r="O395" s="94"/>
      <c r="P395" s="95"/>
      <c r="Q395" s="95"/>
      <c r="R395" s="95"/>
      <c r="S395" s="96"/>
      <c r="T395" s="1696"/>
      <c r="U395" s="1696"/>
      <c r="V395" s="1696"/>
      <c r="W395" s="1696"/>
      <c r="X395" s="1696"/>
      <c r="Y395" s="1696"/>
      <c r="Z395" s="1696"/>
      <c r="AA395" s="1696"/>
      <c r="AB395" s="1695"/>
      <c r="AC395" s="1681"/>
      <c r="AD395" s="1681"/>
      <c r="AE395" s="1681"/>
      <c r="AF395" s="1698"/>
      <c r="AG395" s="1386"/>
      <c r="AI395" s="320"/>
      <c r="AJ395" s="320"/>
      <c r="AK395" s="320"/>
      <c r="AL395" s="320"/>
      <c r="AM395" s="320"/>
      <c r="AN395" s="320"/>
      <c r="AO395" s="300"/>
      <c r="AQ395" s="710" t="s">
        <v>707</v>
      </c>
      <c r="AR395" s="1714"/>
      <c r="AS395" s="1714"/>
      <c r="AT395" s="1714"/>
      <c r="AU395" s="1714"/>
      <c r="AV395" s="1714"/>
      <c r="AW395" s="711"/>
      <c r="AX395" s="281"/>
      <c r="AZ395" s="275" t="s">
        <v>449</v>
      </c>
      <c r="BA395" s="275" t="s">
        <v>450</v>
      </c>
      <c r="BB395" s="275" t="s">
        <v>451</v>
      </c>
      <c r="BC395" s="275" t="s">
        <v>452</v>
      </c>
      <c r="BD395" s="275" t="s">
        <v>453</v>
      </c>
      <c r="BE395" s="275" t="s">
        <v>454</v>
      </c>
      <c r="BF395" s="17"/>
      <c r="BI395" s="11"/>
      <c r="CI395" s="19"/>
      <c r="CJ395" s="17"/>
      <c r="CV395" s="8"/>
      <c r="DI395" s="3"/>
      <c r="DJ395" s="18"/>
    </row>
    <row r="396" spans="14:120" ht="48.75" customHeight="1">
      <c r="N396" s="1683" t="s">
        <v>131</v>
      </c>
      <c r="O396" s="91"/>
      <c r="P396" s="92"/>
      <c r="Q396" s="92"/>
      <c r="R396" s="92"/>
      <c r="S396" s="93"/>
      <c r="T396" s="1696"/>
      <c r="U396" s="1696"/>
      <c r="V396" s="1696"/>
      <c r="W396" s="1696"/>
      <c r="X396" s="1696"/>
      <c r="Y396" s="1696"/>
      <c r="Z396" s="1696"/>
      <c r="AA396" s="1696"/>
      <c r="AB396" s="1693" t="s">
        <v>682</v>
      </c>
      <c r="AC396" s="1681"/>
      <c r="AD396" s="1681"/>
      <c r="AE396" s="1681"/>
      <c r="AF396" s="549" t="s">
        <v>126</v>
      </c>
      <c r="AG396" s="201" t="s">
        <v>731</v>
      </c>
      <c r="AI396" s="320"/>
      <c r="AJ396" s="320"/>
      <c r="AK396" s="320"/>
      <c r="AL396" s="320"/>
      <c r="AM396" s="320"/>
      <c r="AN396" s="320"/>
      <c r="AO396" s="300"/>
      <c r="AQ396" s="1805" t="s">
        <v>703</v>
      </c>
      <c r="AR396" s="1805"/>
      <c r="AS396" s="1805"/>
      <c r="AT396" s="1805"/>
      <c r="AU396" s="1805"/>
      <c r="AV396" s="1033" t="s">
        <v>705</v>
      </c>
      <c r="AW396" s="1033"/>
      <c r="AX396" s="1033"/>
      <c r="AZ396" s="275" t="s">
        <v>455</v>
      </c>
      <c r="BA396" s="275" t="s">
        <v>456</v>
      </c>
      <c r="BB396" s="275" t="s">
        <v>65</v>
      </c>
      <c r="BC396" s="275" t="s">
        <v>457</v>
      </c>
      <c r="BD396" s="275" t="s">
        <v>458</v>
      </c>
      <c r="BE396" s="275" t="s">
        <v>459</v>
      </c>
      <c r="BF396" s="17"/>
      <c r="BI396" s="11"/>
    </row>
    <row r="397" spans="14:120" ht="48.75" customHeight="1">
      <c r="N397" s="1683"/>
      <c r="O397" s="193"/>
      <c r="P397" s="194"/>
      <c r="Q397" s="194"/>
      <c r="R397" s="194"/>
      <c r="S397" s="195"/>
      <c r="T397" s="1696"/>
      <c r="U397" s="1696"/>
      <c r="V397" s="1696"/>
      <c r="W397" s="1696"/>
      <c r="X397" s="1696"/>
      <c r="Y397" s="1696"/>
      <c r="Z397" s="1696"/>
      <c r="AA397" s="1696"/>
      <c r="AB397" s="1694"/>
      <c r="AC397" s="1681"/>
      <c r="AD397" s="1681"/>
      <c r="AE397" s="1681"/>
      <c r="AF397" s="1682"/>
      <c r="AG397" s="1070" t="s">
        <v>762</v>
      </c>
      <c r="AI397" s="320"/>
      <c r="AJ397" s="320"/>
      <c r="AK397" s="320"/>
      <c r="AL397" s="320"/>
      <c r="AM397" s="320"/>
      <c r="AN397" s="320"/>
      <c r="AO397" s="300"/>
      <c r="AQ397" s="1805"/>
      <c r="AR397" s="1805"/>
      <c r="AS397" s="1805"/>
      <c r="AT397" s="1805"/>
      <c r="AU397" s="1805"/>
      <c r="AV397" s="1728" t="s">
        <v>706</v>
      </c>
      <c r="AW397" s="1724"/>
      <c r="AX397" s="1725"/>
      <c r="AZ397" s="275" t="s">
        <v>757</v>
      </c>
      <c r="BA397" s="275" t="s">
        <v>980</v>
      </c>
      <c r="BB397" s="275" t="s">
        <v>740</v>
      </c>
      <c r="BC397" s="275" t="s">
        <v>739</v>
      </c>
      <c r="BD397" s="275" t="s">
        <v>741</v>
      </c>
      <c r="BE397" s="275" t="s">
        <v>743</v>
      </c>
      <c r="BF397" s="17"/>
      <c r="BI397" s="11"/>
    </row>
    <row r="398" spans="14:120" ht="48.75" customHeight="1">
      <c r="N398" s="1683"/>
      <c r="O398" s="193"/>
      <c r="P398" s="194"/>
      <c r="Q398" s="194"/>
      <c r="R398" s="194"/>
      <c r="S398" s="195"/>
      <c r="T398" s="1696"/>
      <c r="U398" s="1696"/>
      <c r="V398" s="1696"/>
      <c r="W398" s="1696"/>
      <c r="X398" s="1696"/>
      <c r="Y398" s="1696"/>
      <c r="Z398" s="1696"/>
      <c r="AA398" s="1696"/>
      <c r="AB398" s="1694"/>
      <c r="AC398" s="1681"/>
      <c r="AD398" s="1681"/>
      <c r="AE398" s="1681"/>
      <c r="AF398" s="1682"/>
      <c r="AG398" s="1070"/>
      <c r="AI398" s="320"/>
      <c r="AJ398" s="320"/>
      <c r="AK398" s="320"/>
      <c r="AL398" s="320"/>
      <c r="AM398" s="320"/>
      <c r="AN398" s="320"/>
      <c r="AO398" s="300"/>
      <c r="AQ398" s="275" t="s">
        <v>436</v>
      </c>
      <c r="AR398" s="1033" t="s">
        <v>704</v>
      </c>
      <c r="AS398" s="1033"/>
      <c r="AT398" s="1033" t="s">
        <v>1380</v>
      </c>
      <c r="AU398" s="1033"/>
      <c r="AV398" s="1745"/>
      <c r="AW398" s="1746"/>
      <c r="AX398" s="1747"/>
      <c r="AZ398" s="275" t="s">
        <v>752</v>
      </c>
      <c r="BA398" s="275" t="s">
        <v>742</v>
      </c>
      <c r="BB398" s="275" t="s">
        <v>744</v>
      </c>
      <c r="BC398" s="276" t="s">
        <v>992</v>
      </c>
      <c r="BD398" s="276" t="s">
        <v>993</v>
      </c>
      <c r="BE398" s="9"/>
      <c r="BF398" s="17"/>
      <c r="BI398" s="11"/>
    </row>
    <row r="399" spans="14:120" ht="48.75" customHeight="1">
      <c r="N399" s="1683"/>
      <c r="O399" s="193"/>
      <c r="P399" s="194"/>
      <c r="Q399" s="194"/>
      <c r="R399" s="194"/>
      <c r="S399" s="195"/>
      <c r="T399" s="1696"/>
      <c r="U399" s="1696"/>
      <c r="V399" s="1696"/>
      <c r="W399" s="1696"/>
      <c r="X399" s="1696"/>
      <c r="Y399" s="1696"/>
      <c r="Z399" s="1696"/>
      <c r="AA399" s="1696"/>
      <c r="AB399" s="1694"/>
      <c r="AC399" s="1681"/>
      <c r="AD399" s="1681"/>
      <c r="AE399" s="1681"/>
      <c r="AF399" s="193"/>
      <c r="AG399" s="195"/>
      <c r="AI399" s="320"/>
      <c r="AJ399" s="320"/>
      <c r="AK399" s="320"/>
      <c r="AL399" s="320"/>
      <c r="AM399" s="320"/>
      <c r="AN399" s="320"/>
      <c r="AO399" s="300"/>
      <c r="AQ399" s="275">
        <v>1</v>
      </c>
      <c r="AR399" s="1033" t="s">
        <v>120</v>
      </c>
      <c r="AS399" s="1033"/>
      <c r="AT399" s="1033" t="s">
        <v>120</v>
      </c>
      <c r="AU399" s="1033"/>
      <c r="AV399" s="1745"/>
      <c r="AW399" s="1746"/>
      <c r="AX399" s="1747"/>
      <c r="BE399" s="19"/>
      <c r="BF399" s="17"/>
      <c r="BI399" s="11"/>
    </row>
    <row r="400" spans="14:120" ht="48.75" customHeight="1">
      <c r="N400" s="1683"/>
      <c r="O400" s="193"/>
      <c r="P400" s="194"/>
      <c r="Q400" s="194"/>
      <c r="R400" s="194"/>
      <c r="S400" s="195"/>
      <c r="T400" s="1696"/>
      <c r="U400" s="1696"/>
      <c r="V400" s="1696"/>
      <c r="W400" s="1696"/>
      <c r="X400" s="1696"/>
      <c r="Y400" s="1696"/>
      <c r="Z400" s="1696"/>
      <c r="AA400" s="1696"/>
      <c r="AB400" s="1694"/>
      <c r="AC400" s="1681"/>
      <c r="AD400" s="1681"/>
      <c r="AE400" s="1681"/>
      <c r="AF400" s="193"/>
      <c r="AG400" s="195"/>
      <c r="AI400" s="321"/>
      <c r="AJ400" s="321"/>
      <c r="AK400" s="321"/>
      <c r="AL400" s="321"/>
      <c r="AM400" s="321"/>
      <c r="AN400" s="321"/>
      <c r="AQ400" s="275">
        <v>2</v>
      </c>
      <c r="AR400" s="1033" t="s">
        <v>121</v>
      </c>
      <c r="AS400" s="1033"/>
      <c r="AT400" s="1033" t="s">
        <v>121</v>
      </c>
      <c r="AU400" s="1033"/>
      <c r="AV400" s="1745"/>
      <c r="AW400" s="1746"/>
      <c r="AX400" s="1747"/>
      <c r="BE400" s="19"/>
      <c r="BF400" s="17"/>
      <c r="BI400" s="11"/>
    </row>
    <row r="401" spans="2:61" ht="48.75" customHeight="1">
      <c r="N401" s="1683"/>
      <c r="O401" s="193"/>
      <c r="P401" s="194"/>
      <c r="Q401" s="194"/>
      <c r="R401" s="194"/>
      <c r="S401" s="195"/>
      <c r="T401" s="1696"/>
      <c r="U401" s="1696"/>
      <c r="V401" s="1696"/>
      <c r="W401" s="1696"/>
      <c r="X401" s="1696"/>
      <c r="Y401" s="1696"/>
      <c r="Z401" s="1696"/>
      <c r="AA401" s="1696"/>
      <c r="AB401" s="1694"/>
      <c r="AC401" s="1681"/>
      <c r="AD401" s="1681"/>
      <c r="AE401" s="1681"/>
      <c r="AF401" s="193"/>
      <c r="AG401" s="195"/>
      <c r="AI401" s="321"/>
      <c r="AJ401" s="321"/>
      <c r="AK401" s="321"/>
      <c r="AL401" s="321"/>
      <c r="AM401" s="321"/>
      <c r="AN401" s="321"/>
      <c r="AQ401" s="275">
        <v>3</v>
      </c>
      <c r="AR401" s="1033" t="s">
        <v>122</v>
      </c>
      <c r="AS401" s="1033"/>
      <c r="AT401" s="1033" t="s">
        <v>122</v>
      </c>
      <c r="AU401" s="1033"/>
      <c r="AV401" s="1745"/>
      <c r="AW401" s="1746"/>
      <c r="AX401" s="1747"/>
      <c r="BE401" s="19"/>
      <c r="BF401" s="17"/>
      <c r="BI401" s="11"/>
    </row>
    <row r="402" spans="2:61" ht="48.75" customHeight="1">
      <c r="N402" s="1683"/>
      <c r="O402" s="94"/>
      <c r="P402" s="95"/>
      <c r="Q402" s="95"/>
      <c r="R402" s="95"/>
      <c r="S402" s="96"/>
      <c r="T402" s="1696"/>
      <c r="U402" s="1696"/>
      <c r="V402" s="1696"/>
      <c r="W402" s="1696"/>
      <c r="X402" s="1696"/>
      <c r="Y402" s="1696"/>
      <c r="Z402" s="1696"/>
      <c r="AA402" s="1696"/>
      <c r="AB402" s="1695"/>
      <c r="AC402" s="1681"/>
      <c r="AD402" s="1681"/>
      <c r="AE402" s="1681"/>
      <c r="AF402" s="94"/>
      <c r="AG402" s="96"/>
      <c r="AQ402" s="275">
        <v>4</v>
      </c>
      <c r="AR402" s="1033" t="s">
        <v>133</v>
      </c>
      <c r="AS402" s="1033"/>
      <c r="AT402" s="1033" t="s">
        <v>131</v>
      </c>
      <c r="AU402" s="1033"/>
      <c r="AV402" s="1729"/>
      <c r="AW402" s="1726"/>
      <c r="AX402" s="1727"/>
      <c r="BE402" s="19"/>
      <c r="BF402" s="17"/>
      <c r="BI402" s="11"/>
    </row>
    <row r="403" spans="2:61" ht="48.75" customHeight="1">
      <c r="N403" s="1683">
        <v>8</v>
      </c>
      <c r="O403" s="91"/>
      <c r="P403" s="92"/>
      <c r="Q403" s="92"/>
      <c r="R403" s="92"/>
      <c r="S403" s="93"/>
      <c r="T403" s="1684"/>
      <c r="U403" s="1685"/>
      <c r="V403" s="1685"/>
      <c r="W403" s="1685"/>
      <c r="X403" s="1685"/>
      <c r="Y403" s="1685"/>
      <c r="Z403" s="1685"/>
      <c r="AA403" s="1686"/>
      <c r="AB403" s="1693" t="s">
        <v>683</v>
      </c>
      <c r="AC403" s="1696"/>
      <c r="AD403" s="1696"/>
      <c r="AE403" s="1696"/>
      <c r="AF403" s="427" t="s">
        <v>126</v>
      </c>
      <c r="AG403" s="201" t="s">
        <v>731</v>
      </c>
      <c r="AQ403" s="275">
        <v>5</v>
      </c>
      <c r="AR403" s="1033" t="s">
        <v>134</v>
      </c>
      <c r="AS403" s="1033"/>
      <c r="AT403" s="1033" t="s">
        <v>132</v>
      </c>
      <c r="AU403" s="1033"/>
      <c r="AV403" s="1806"/>
      <c r="AW403" s="1807"/>
      <c r="AX403" s="1698"/>
      <c r="BE403" s="19"/>
      <c r="BF403" s="17"/>
      <c r="BI403" s="11"/>
    </row>
    <row r="404" spans="2:61" ht="48.75" customHeight="1">
      <c r="N404" s="1683"/>
      <c r="O404" s="193"/>
      <c r="P404" s="194"/>
      <c r="Q404" s="194"/>
      <c r="R404" s="194"/>
      <c r="S404" s="195"/>
      <c r="T404" s="1687"/>
      <c r="U404" s="1688"/>
      <c r="V404" s="1688"/>
      <c r="W404" s="1688"/>
      <c r="X404" s="1688"/>
      <c r="Y404" s="1688"/>
      <c r="Z404" s="1688"/>
      <c r="AA404" s="1689"/>
      <c r="AB404" s="1694"/>
      <c r="AC404" s="1696"/>
      <c r="AD404" s="1696"/>
      <c r="AE404" s="1696"/>
      <c r="AF404" s="1682"/>
      <c r="AG404" s="1070" t="s">
        <v>762</v>
      </c>
      <c r="BE404" s="19"/>
      <c r="BF404" s="17"/>
      <c r="BI404" s="11"/>
    </row>
    <row r="405" spans="2:61" ht="48.75" customHeight="1">
      <c r="N405" s="1683"/>
      <c r="O405" s="193"/>
      <c r="P405" s="194"/>
      <c r="Q405" s="194"/>
      <c r="R405" s="194"/>
      <c r="S405" s="195"/>
      <c r="T405" s="1687"/>
      <c r="U405" s="1688"/>
      <c r="V405" s="1688"/>
      <c r="W405" s="1688"/>
      <c r="X405" s="1688"/>
      <c r="Y405" s="1688"/>
      <c r="Z405" s="1688"/>
      <c r="AA405" s="1689"/>
      <c r="AB405" s="1694"/>
      <c r="AC405" s="1696"/>
      <c r="AD405" s="1696"/>
      <c r="AE405" s="1696"/>
      <c r="AF405" s="1682"/>
      <c r="AG405" s="1070"/>
      <c r="BE405" s="19"/>
      <c r="BF405" s="17"/>
      <c r="BI405" s="11"/>
    </row>
    <row r="406" spans="2:61" ht="48.75" customHeight="1">
      <c r="N406" s="1683"/>
      <c r="O406" s="94"/>
      <c r="P406" s="95"/>
      <c r="Q406" s="95"/>
      <c r="R406" s="95"/>
      <c r="S406" s="96"/>
      <c r="T406" s="1690"/>
      <c r="U406" s="1691"/>
      <c r="V406" s="1691"/>
      <c r="W406" s="1691"/>
      <c r="X406" s="1691"/>
      <c r="Y406" s="1691"/>
      <c r="Z406" s="1691"/>
      <c r="AA406" s="1692"/>
      <c r="AB406" s="1695"/>
      <c r="AC406" s="1696"/>
      <c r="AD406" s="1696"/>
      <c r="AE406" s="1696"/>
      <c r="AF406" s="94"/>
      <c r="AG406" s="96"/>
      <c r="BE406" s="19"/>
      <c r="BF406" s="17"/>
      <c r="BI406" s="11"/>
    </row>
    <row r="407" spans="2:61" ht="48.75" customHeight="1">
      <c r="N407" s="1683">
        <v>9</v>
      </c>
      <c r="O407" s="91"/>
      <c r="P407" s="92"/>
      <c r="Q407" s="92"/>
      <c r="R407" s="92"/>
      <c r="S407" s="93"/>
      <c r="T407" s="1684"/>
      <c r="U407" s="1685"/>
      <c r="V407" s="1685"/>
      <c r="W407" s="1685"/>
      <c r="X407" s="1685"/>
      <c r="Y407" s="1685"/>
      <c r="Z407" s="1685"/>
      <c r="AA407" s="1686"/>
      <c r="AB407" s="1693" t="s">
        <v>683</v>
      </c>
      <c r="AC407" s="1696"/>
      <c r="AD407" s="1696"/>
      <c r="AE407" s="1696"/>
      <c r="AF407" s="549" t="s">
        <v>126</v>
      </c>
      <c r="AG407" s="201" t="s">
        <v>731</v>
      </c>
      <c r="BE407" s="19"/>
      <c r="BF407" s="17"/>
      <c r="BI407" s="11"/>
    </row>
    <row r="408" spans="2:61" ht="48.75" customHeight="1">
      <c r="N408" s="1683"/>
      <c r="O408" s="193"/>
      <c r="P408" s="194"/>
      <c r="Q408" s="194"/>
      <c r="R408" s="194"/>
      <c r="S408" s="195"/>
      <c r="T408" s="1687"/>
      <c r="U408" s="1688"/>
      <c r="V408" s="1688"/>
      <c r="W408" s="1688"/>
      <c r="X408" s="1688"/>
      <c r="Y408" s="1688"/>
      <c r="Z408" s="1688"/>
      <c r="AA408" s="1689"/>
      <c r="AB408" s="1694"/>
      <c r="AC408" s="1696"/>
      <c r="AD408" s="1696"/>
      <c r="AE408" s="1696"/>
      <c r="AF408" s="1682"/>
      <c r="AG408" s="1070" t="s">
        <v>762</v>
      </c>
      <c r="BE408" s="19"/>
      <c r="BF408" s="17"/>
      <c r="BI408" s="11"/>
    </row>
    <row r="409" spans="2:61" ht="48.75" customHeight="1">
      <c r="N409" s="1683"/>
      <c r="O409" s="193"/>
      <c r="P409" s="194"/>
      <c r="Q409" s="194"/>
      <c r="R409" s="194"/>
      <c r="S409" s="195"/>
      <c r="T409" s="1687"/>
      <c r="U409" s="1688"/>
      <c r="V409" s="1688"/>
      <c r="W409" s="1688"/>
      <c r="X409" s="1688"/>
      <c r="Y409" s="1688"/>
      <c r="Z409" s="1688"/>
      <c r="AA409" s="1689"/>
      <c r="AB409" s="1694"/>
      <c r="AC409" s="1696"/>
      <c r="AD409" s="1696"/>
      <c r="AE409" s="1696"/>
      <c r="AF409" s="1682"/>
      <c r="AG409" s="1070"/>
      <c r="BI409" s="11"/>
    </row>
    <row r="410" spans="2:61" ht="48.75" customHeight="1">
      <c r="N410" s="1683"/>
      <c r="O410" s="94"/>
      <c r="P410" s="95"/>
      <c r="Q410" s="95"/>
      <c r="R410" s="95"/>
      <c r="S410" s="96"/>
      <c r="T410" s="1690"/>
      <c r="U410" s="1691"/>
      <c r="V410" s="1691"/>
      <c r="W410" s="1691"/>
      <c r="X410" s="1691"/>
      <c r="Y410" s="1691"/>
      <c r="Z410" s="1691"/>
      <c r="AA410" s="1692"/>
      <c r="AB410" s="1695"/>
      <c r="AC410" s="1696"/>
      <c r="AD410" s="1696"/>
      <c r="AE410" s="1696"/>
      <c r="AF410" s="94"/>
      <c r="AG410" s="96"/>
      <c r="BI410" s="11"/>
    </row>
    <row r="411" spans="2:61" ht="48.75" customHeight="1">
      <c r="O411" s="12"/>
      <c r="BI411" s="11"/>
    </row>
    <row r="412" spans="2:61" ht="48.75" customHeight="1">
      <c r="O412" s="12"/>
      <c r="W412" s="300"/>
      <c r="X412" s="300"/>
      <c r="Y412" s="300"/>
      <c r="Z412" s="300"/>
      <c r="AA412" s="300"/>
      <c r="AB412" s="300"/>
      <c r="AC412" s="300"/>
      <c r="AD412" s="300"/>
      <c r="AE412" s="300"/>
      <c r="AF412" s="300"/>
      <c r="AG412" s="300"/>
      <c r="AH412" s="300"/>
      <c r="AI412" s="300"/>
      <c r="AJ412" s="300"/>
      <c r="AK412" s="300"/>
      <c r="AL412" s="300"/>
      <c r="AM412" s="300"/>
      <c r="AN412" s="300"/>
      <c r="AO412" s="300"/>
      <c r="AP412" s="300"/>
      <c r="AQ412" s="300"/>
      <c r="AR412" s="300"/>
      <c r="AS412" s="300"/>
      <c r="AT412" s="300"/>
      <c r="BI412" s="11"/>
    </row>
    <row r="413" spans="2:61" ht="48.75" customHeight="1">
      <c r="O413" s="12"/>
      <c r="W413" s="300"/>
      <c r="X413" s="300"/>
      <c r="Y413" s="300"/>
      <c r="Z413" s="300"/>
      <c r="AA413" s="300"/>
      <c r="AB413" s="300"/>
      <c r="AC413" s="300"/>
      <c r="AD413" s="300"/>
      <c r="AE413" s="300"/>
      <c r="AF413" s="300"/>
      <c r="AG413" s="300"/>
      <c r="AH413" s="300"/>
      <c r="AI413" s="300"/>
      <c r="AJ413" s="300"/>
      <c r="AK413" s="300"/>
      <c r="AL413" s="300"/>
      <c r="AM413" s="300"/>
      <c r="AN413" s="300"/>
      <c r="AO413" s="300"/>
      <c r="AP413" s="300"/>
      <c r="AQ413" s="300"/>
      <c r="AR413" s="300"/>
      <c r="AS413" s="300"/>
      <c r="AT413" s="300"/>
      <c r="BI413" s="11"/>
    </row>
    <row r="414" spans="2:61" ht="48.75" customHeight="1">
      <c r="O414" s="12"/>
      <c r="W414" s="300"/>
      <c r="X414" s="300"/>
      <c r="Y414" s="300"/>
      <c r="Z414" s="300"/>
      <c r="AA414" s="300"/>
      <c r="AB414" s="300"/>
      <c r="AC414" s="300"/>
      <c r="AD414" s="300"/>
      <c r="AE414" s="300"/>
      <c r="AF414" s="300"/>
      <c r="AG414" s="300"/>
      <c r="AH414" s="300"/>
      <c r="AI414" s="300"/>
      <c r="AJ414" s="300"/>
      <c r="AK414" s="300"/>
      <c r="AL414" s="300"/>
      <c r="AM414" s="300"/>
      <c r="AN414" s="300"/>
      <c r="AO414" s="300"/>
      <c r="AP414" s="300"/>
      <c r="AQ414" s="300"/>
      <c r="AR414" s="300"/>
      <c r="AS414" s="300"/>
      <c r="AT414" s="300"/>
      <c r="BI414" s="11"/>
    </row>
    <row r="415" spans="2:61" ht="48.75" customHeight="1">
      <c r="W415" s="300"/>
      <c r="X415" s="300"/>
      <c r="Y415" s="300"/>
      <c r="Z415" s="300"/>
      <c r="AA415" s="300"/>
      <c r="AB415" s="300"/>
      <c r="AC415" s="300"/>
      <c r="AD415" s="300"/>
      <c r="AE415" s="300"/>
      <c r="AF415" s="300"/>
      <c r="AG415" s="300"/>
      <c r="AH415" s="300"/>
      <c r="AI415" s="300"/>
      <c r="AJ415" s="300"/>
      <c r="AK415" s="300"/>
      <c r="AL415" s="300"/>
      <c r="AM415" s="300"/>
      <c r="AN415" s="300"/>
      <c r="AO415" s="300"/>
      <c r="AP415" s="300"/>
      <c r="AQ415" s="300"/>
      <c r="AR415" s="300"/>
      <c r="AS415" s="300"/>
      <c r="AT415" s="300"/>
      <c r="BI415" s="11"/>
    </row>
    <row r="416" spans="2:61" ht="48.75" customHeight="1">
      <c r="B416" s="1385" t="s">
        <v>701</v>
      </c>
      <c r="C416" s="1385"/>
      <c r="D416" s="1385"/>
      <c r="E416" s="1385"/>
      <c r="F416" s="1385"/>
      <c r="G416" s="1385"/>
      <c r="H416" s="1385"/>
      <c r="I416" s="1385"/>
      <c r="J416" s="281"/>
      <c r="L416" s="710" t="s">
        <v>696</v>
      </c>
      <c r="M416" s="1406"/>
      <c r="N416" s="1406"/>
      <c r="O416" s="1406"/>
      <c r="P416" s="1407"/>
      <c r="Q416" s="281"/>
      <c r="W416" s="300"/>
      <c r="X416" s="300"/>
      <c r="Y416" s="300"/>
      <c r="Z416" s="300"/>
      <c r="AA416" s="300"/>
      <c r="AB416" s="300"/>
      <c r="AC416" s="300"/>
      <c r="AD416" s="300"/>
      <c r="AE416" s="300"/>
      <c r="AF416" s="300"/>
      <c r="AG416" s="300"/>
      <c r="AH416" s="300"/>
      <c r="AI416" s="300"/>
      <c r="AJ416" s="300"/>
      <c r="AK416" s="300"/>
      <c r="AL416" s="300"/>
      <c r="AM416" s="300"/>
      <c r="AN416" s="300"/>
      <c r="AO416" s="300"/>
      <c r="AP416" s="300"/>
      <c r="AQ416" s="300"/>
      <c r="AR416" s="300"/>
      <c r="AS416" s="300"/>
      <c r="AT416" s="300"/>
      <c r="BE416" s="19"/>
      <c r="BF416" s="17"/>
      <c r="BI416" s="11"/>
    </row>
    <row r="417" spans="2:87" ht="48.75" customHeight="1">
      <c r="B417" s="1385" t="s">
        <v>557</v>
      </c>
      <c r="C417" s="1385"/>
      <c r="D417" s="1385" t="s">
        <v>560</v>
      </c>
      <c r="E417" s="1385" t="s">
        <v>708</v>
      </c>
      <c r="F417" s="1385"/>
      <c r="G417" s="1385"/>
      <c r="H417" s="1385"/>
      <c r="I417" s="1385"/>
      <c r="J417" s="1385"/>
      <c r="K417" s="321"/>
      <c r="L417" s="1385" t="s">
        <v>540</v>
      </c>
      <c r="M417" s="1385"/>
      <c r="N417" s="1385" t="s">
        <v>692</v>
      </c>
      <c r="O417" s="1385"/>
      <c r="P417" s="1385" t="s">
        <v>451</v>
      </c>
      <c r="Q417" s="1385"/>
      <c r="W417" s="300"/>
      <c r="X417" s="300"/>
      <c r="Y417" s="300"/>
      <c r="Z417" s="300"/>
      <c r="AA417" s="300"/>
      <c r="AB417" s="300"/>
      <c r="AC417" s="300"/>
      <c r="AD417" s="300"/>
      <c r="AE417" s="300"/>
      <c r="AF417" s="300"/>
      <c r="AG417" s="300"/>
      <c r="AH417" s="300"/>
      <c r="AI417" s="300"/>
      <c r="AJ417" s="300"/>
      <c r="AK417" s="300"/>
      <c r="AL417" s="300"/>
      <c r="AM417" s="300"/>
      <c r="AN417" s="300"/>
      <c r="AO417" s="300"/>
      <c r="AP417" s="300"/>
      <c r="AQ417" s="300"/>
      <c r="AR417" s="300"/>
      <c r="AS417" s="300"/>
      <c r="AT417" s="300"/>
      <c r="AV417" s="300"/>
      <c r="AW417" s="300"/>
      <c r="AX417" s="300"/>
      <c r="BE417" s="19"/>
      <c r="BF417" s="17"/>
      <c r="BI417" s="11"/>
    </row>
    <row r="418" spans="2:87" ht="48.75" customHeight="1" thickBot="1">
      <c r="B418" s="1385"/>
      <c r="C418" s="1385"/>
      <c r="D418" s="1385"/>
      <c r="E418" s="1715" t="s">
        <v>711</v>
      </c>
      <c r="F418" s="1715"/>
      <c r="G418" s="1715" t="s">
        <v>709</v>
      </c>
      <c r="H418" s="1715"/>
      <c r="I418" s="1715" t="s">
        <v>710</v>
      </c>
      <c r="J418" s="1715"/>
      <c r="K418" s="341"/>
      <c r="L418" s="1796" t="s">
        <v>688</v>
      </c>
      <c r="M418" s="1796"/>
      <c r="N418" s="1385" t="s">
        <v>689</v>
      </c>
      <c r="O418" s="1385"/>
      <c r="P418" s="1385">
        <v>1.5</v>
      </c>
      <c r="Q418" s="1385"/>
      <c r="W418" s="300"/>
      <c r="X418" s="300"/>
      <c r="Y418" s="300"/>
      <c r="Z418" s="300"/>
      <c r="AA418" s="300"/>
      <c r="AB418" s="300"/>
      <c r="AC418" s="300"/>
      <c r="AD418" s="300"/>
      <c r="AE418" s="300"/>
      <c r="AF418" s="300"/>
      <c r="AG418" s="300"/>
      <c r="AH418" s="300"/>
      <c r="AI418" s="300"/>
      <c r="AJ418" s="300"/>
      <c r="AK418" s="300"/>
      <c r="AL418" s="300"/>
      <c r="AM418" s="300"/>
      <c r="AN418" s="300"/>
      <c r="AO418" s="300"/>
      <c r="AP418" s="300"/>
      <c r="AQ418" s="300"/>
      <c r="AR418" s="300"/>
      <c r="AS418" s="300"/>
      <c r="AT418" s="300"/>
      <c r="AV418" s="300"/>
      <c r="AW418" s="300"/>
      <c r="AX418" s="300"/>
      <c r="BE418" s="19"/>
      <c r="BF418" s="17"/>
      <c r="BI418" s="11"/>
    </row>
    <row r="419" spans="2:87" ht="48.75" customHeight="1">
      <c r="B419" s="1385" t="s">
        <v>700</v>
      </c>
      <c r="C419" s="1385"/>
      <c r="D419" s="710" t="s">
        <v>697</v>
      </c>
      <c r="E419" s="1810" t="str">
        <f>"1/57"</f>
        <v>1/57</v>
      </c>
      <c r="F419" s="1803">
        <f>1/57</f>
        <v>1.7543859649122806E-2</v>
      </c>
      <c r="G419" s="1810" t="str">
        <f>"1/47"</f>
        <v>1/47</v>
      </c>
      <c r="H419" s="1803">
        <f>1/47</f>
        <v>2.1276595744680851E-2</v>
      </c>
      <c r="I419" s="1511" t="str">
        <f>"1/41"</f>
        <v>1/41</v>
      </c>
      <c r="J419" s="1803">
        <f>1/41</f>
        <v>2.4390243902439025E-2</v>
      </c>
      <c r="K419" s="341"/>
      <c r="L419" s="1796">
        <v>2312</v>
      </c>
      <c r="M419" s="1796"/>
      <c r="N419" s="1385">
        <v>1.75</v>
      </c>
      <c r="O419" s="1385"/>
      <c r="P419" s="1385">
        <v>1.4</v>
      </c>
      <c r="Q419" s="1385"/>
      <c r="W419" s="300"/>
      <c r="X419" s="300"/>
      <c r="Y419" s="300"/>
      <c r="Z419" s="300"/>
      <c r="AA419" s="300"/>
      <c r="AB419" s="300"/>
      <c r="AC419" s="300"/>
      <c r="AD419" s="300"/>
      <c r="AE419" s="300"/>
      <c r="AF419" s="300"/>
      <c r="AG419" s="300"/>
      <c r="AH419" s="300"/>
      <c r="AI419" s="300"/>
      <c r="AJ419" s="300"/>
      <c r="AK419" s="300"/>
      <c r="AL419" s="300"/>
      <c r="AM419" s="300"/>
      <c r="AN419" s="300"/>
      <c r="AO419" s="300"/>
      <c r="AP419" s="300"/>
      <c r="AQ419" s="300"/>
      <c r="AR419" s="300"/>
      <c r="AS419" s="300"/>
      <c r="AT419" s="300"/>
      <c r="AV419" s="300"/>
      <c r="AW419" s="300"/>
      <c r="AX419" s="300"/>
      <c r="BB419" s="1728" t="s">
        <v>754</v>
      </c>
      <c r="BC419" s="1724"/>
      <c r="BD419" s="1724"/>
      <c r="BE419" s="1724"/>
      <c r="BF419" s="1724"/>
      <c r="BG419" s="1724"/>
      <c r="BH419" s="1725"/>
      <c r="BI419" s="1073"/>
      <c r="BK419" s="1405" t="s">
        <v>1514</v>
      </c>
      <c r="BL419" s="1406"/>
      <c r="BM419" s="1406"/>
      <c r="BN419" s="1407"/>
      <c r="BO419" s="453"/>
      <c r="BQ419" s="710" t="s">
        <v>1119</v>
      </c>
      <c r="BR419" s="1714"/>
      <c r="BS419" s="1714"/>
      <c r="BT419" s="1714"/>
      <c r="BU419" s="711"/>
      <c r="BV419" s="281"/>
      <c r="BX419" s="1728" t="s">
        <v>1250</v>
      </c>
      <c r="BY419" s="1724"/>
      <c r="BZ419" s="1724"/>
      <c r="CA419" s="1724"/>
      <c r="CB419" s="1073"/>
      <c r="CD419" s="1728" t="s">
        <v>1555</v>
      </c>
      <c r="CE419" s="1724"/>
      <c r="CF419" s="1724"/>
      <c r="CG419" s="1724"/>
      <c r="CH419" s="1725"/>
      <c r="CI419" s="1073"/>
    </row>
    <row r="420" spans="2:87" ht="48.75" customHeight="1">
      <c r="B420" s="1385"/>
      <c r="C420" s="1385"/>
      <c r="D420" s="710"/>
      <c r="E420" s="1811"/>
      <c r="F420" s="1804"/>
      <c r="G420" s="1811"/>
      <c r="H420" s="1804"/>
      <c r="I420" s="1808"/>
      <c r="J420" s="1804"/>
      <c r="K420" s="341"/>
      <c r="L420" s="1796">
        <v>2411</v>
      </c>
      <c r="M420" s="1796"/>
      <c r="N420" s="1385">
        <v>1.6</v>
      </c>
      <c r="O420" s="1385"/>
      <c r="P420" s="1385">
        <v>1.3</v>
      </c>
      <c r="Q420" s="1385"/>
      <c r="W420" s="300"/>
      <c r="X420" s="300"/>
      <c r="Y420" s="300"/>
      <c r="Z420" s="300"/>
      <c r="AA420" s="300"/>
      <c r="AB420" s="300"/>
      <c r="AC420" s="300"/>
      <c r="AD420" s="300"/>
      <c r="AE420" s="300"/>
      <c r="AF420" s="300"/>
      <c r="AG420" s="300"/>
      <c r="AH420" s="300"/>
      <c r="AI420" s="300"/>
      <c r="AJ420" s="300"/>
      <c r="AK420" s="300"/>
      <c r="AL420" s="300"/>
      <c r="AM420" s="300"/>
      <c r="AN420" s="300"/>
      <c r="AO420" s="300"/>
      <c r="AP420" s="300"/>
      <c r="AQ420" s="300"/>
      <c r="AR420" s="300"/>
      <c r="AS420" s="300"/>
      <c r="AT420" s="300"/>
      <c r="AV420" s="300"/>
      <c r="AW420" s="300"/>
      <c r="AX420" s="300"/>
      <c r="BB420" s="1729"/>
      <c r="BC420" s="1726"/>
      <c r="BD420" s="1726"/>
      <c r="BE420" s="1726"/>
      <c r="BF420" s="1726"/>
      <c r="BG420" s="1726"/>
      <c r="BH420" s="1727"/>
      <c r="BI420" s="1072"/>
      <c r="BK420" s="1386"/>
      <c r="BL420" s="1386"/>
      <c r="BM420" s="1386"/>
      <c r="BN420" s="1386"/>
      <c r="BO420" s="1386"/>
      <c r="BQ420" s="1141"/>
      <c r="BR420" s="1142"/>
      <c r="BS420" s="1142"/>
      <c r="BT420" s="1142"/>
      <c r="BU420" s="1142"/>
      <c r="BV420" s="1143"/>
      <c r="BX420" s="1729"/>
      <c r="BY420" s="1726"/>
      <c r="BZ420" s="1726"/>
      <c r="CA420" s="1726"/>
      <c r="CB420" s="1072"/>
      <c r="CD420" s="1729"/>
      <c r="CE420" s="1726"/>
      <c r="CF420" s="1726"/>
      <c r="CG420" s="1726"/>
      <c r="CH420" s="1727"/>
      <c r="CI420" s="1072"/>
    </row>
    <row r="421" spans="2:87" ht="48.75" customHeight="1">
      <c r="B421" s="1385"/>
      <c r="C421" s="1385"/>
      <c r="D421" s="710"/>
      <c r="E421" s="1811"/>
      <c r="F421" s="1804"/>
      <c r="G421" s="1811"/>
      <c r="H421" s="1804"/>
      <c r="I421" s="1809"/>
      <c r="J421" s="1804"/>
      <c r="K421" s="341"/>
      <c r="L421" s="380"/>
      <c r="M421" s="380"/>
      <c r="W421" s="300"/>
      <c r="X421" s="300"/>
      <c r="Y421" s="300"/>
      <c r="Z421" s="300"/>
      <c r="AA421" s="300"/>
      <c r="AB421" s="300"/>
      <c r="AC421" s="300"/>
      <c r="AD421" s="300"/>
      <c r="AE421" s="300"/>
      <c r="AF421" s="300"/>
      <c r="AG421" s="300"/>
      <c r="AH421" s="300"/>
      <c r="AI421" s="300"/>
      <c r="AJ421" s="300"/>
      <c r="AK421" s="300"/>
      <c r="AL421" s="300"/>
      <c r="AM421" s="300"/>
      <c r="AN421" s="300"/>
      <c r="AO421" s="300"/>
      <c r="AP421" s="300"/>
      <c r="AQ421" s="300"/>
      <c r="AR421" s="300"/>
      <c r="AS421" s="300"/>
      <c r="AT421" s="300"/>
      <c r="AV421" s="300"/>
      <c r="AW421" s="300"/>
      <c r="AX421" s="300"/>
      <c r="BB421" s="1386"/>
      <c r="BC421" s="1386"/>
      <c r="BD421" s="1386"/>
      <c r="BE421" s="1386"/>
      <c r="BF421" s="1386"/>
      <c r="BG421" s="1386"/>
      <c r="BH421" s="1386"/>
      <c r="BI421" s="1386"/>
      <c r="BK421" s="1386"/>
      <c r="BL421" s="1386"/>
      <c r="BM421" s="1386"/>
      <c r="BN421" s="1386"/>
      <c r="BO421" s="1386"/>
      <c r="BQ421" s="1144"/>
      <c r="BR421" s="1145"/>
      <c r="BS421" s="1145"/>
      <c r="BT421" s="1145"/>
      <c r="BU421" s="1145"/>
      <c r="BV421" s="1146"/>
      <c r="BX421" s="1386"/>
      <c r="BY421" s="1386"/>
      <c r="BZ421" s="1386"/>
      <c r="CA421" s="1386"/>
      <c r="CB421" s="1386"/>
      <c r="CD421" s="1386"/>
      <c r="CE421" s="1386"/>
      <c r="CF421" s="1386"/>
      <c r="CG421" s="1386"/>
      <c r="CH421" s="1386"/>
      <c r="CI421" s="1386"/>
    </row>
    <row r="422" spans="2:87" ht="48.75" customHeight="1" thickBot="1">
      <c r="B422" s="1385"/>
      <c r="C422" s="1385"/>
      <c r="D422" s="710"/>
      <c r="E422" s="381" t="s">
        <v>126</v>
      </c>
      <c r="F422" s="382">
        <f>F419*10^(-6)</f>
        <v>1.7543859649122805E-8</v>
      </c>
      <c r="G422" s="381" t="s">
        <v>126</v>
      </c>
      <c r="H422" s="382">
        <f>H419*10^(-6)</f>
        <v>2.127659574468085E-8</v>
      </c>
      <c r="I422" s="381" t="s">
        <v>126</v>
      </c>
      <c r="J422" s="382">
        <f>J419*10^(-6)</f>
        <v>2.4390243902439023E-8</v>
      </c>
      <c r="K422" s="341"/>
      <c r="L422" s="1033" t="s">
        <v>694</v>
      </c>
      <c r="M422" s="1033"/>
      <c r="N422" s="1033"/>
      <c r="O422" s="1033"/>
      <c r="P422" s="1033"/>
      <c r="Q422" s="1033"/>
      <c r="R422" s="1033"/>
      <c r="S422" s="281"/>
      <c r="W422" s="300"/>
      <c r="X422" s="300"/>
      <c r="Y422" s="300"/>
      <c r="Z422" s="300"/>
      <c r="AA422" s="300"/>
      <c r="AB422" s="300"/>
      <c r="AC422" s="300"/>
      <c r="AD422" s="300"/>
      <c r="AE422" s="300"/>
      <c r="AF422" s="300"/>
      <c r="AG422" s="300"/>
      <c r="AH422" s="300"/>
      <c r="AI422" s="300"/>
      <c r="AJ422" s="300"/>
      <c r="AK422" s="300"/>
      <c r="AL422" s="300"/>
      <c r="AM422" s="300"/>
      <c r="AN422" s="300"/>
      <c r="AO422" s="300"/>
      <c r="AP422" s="300"/>
      <c r="AQ422" s="300"/>
      <c r="AR422" s="300"/>
      <c r="AS422" s="300"/>
      <c r="AT422" s="300"/>
      <c r="AV422" s="300"/>
      <c r="AW422" s="300"/>
      <c r="AX422" s="300"/>
      <c r="BB422" s="1386"/>
      <c r="BC422" s="1386"/>
      <c r="BD422" s="1386"/>
      <c r="BE422" s="1386"/>
      <c r="BF422" s="1386"/>
      <c r="BG422" s="1386"/>
      <c r="BH422" s="1386"/>
      <c r="BI422" s="1386"/>
      <c r="BK422" s="1386"/>
      <c r="BL422" s="1386"/>
      <c r="BM422" s="1386"/>
      <c r="BN422" s="1386"/>
      <c r="BO422" s="1386"/>
      <c r="BQ422" s="1144"/>
      <c r="BR422" s="1145"/>
      <c r="BS422" s="1145"/>
      <c r="BT422" s="1145"/>
      <c r="BU422" s="1145"/>
      <c r="BV422" s="1146"/>
      <c r="BX422" s="1386"/>
      <c r="BY422" s="1386"/>
      <c r="BZ422" s="1386"/>
      <c r="CA422" s="1386"/>
      <c r="CB422" s="1386"/>
      <c r="CD422" s="1386"/>
      <c r="CE422" s="1386"/>
      <c r="CF422" s="1386"/>
      <c r="CG422" s="1386"/>
      <c r="CH422" s="1386"/>
      <c r="CI422" s="1386"/>
    </row>
    <row r="423" spans="2:87" ht="48.75" customHeight="1">
      <c r="B423" s="1385" t="s">
        <v>702</v>
      </c>
      <c r="C423" s="1385"/>
      <c r="D423" s="1714" t="s">
        <v>698</v>
      </c>
      <c r="E423" s="387" t="str">
        <f>"1/35"</f>
        <v>1/35</v>
      </c>
      <c r="F423" s="388">
        <f>1/35</f>
        <v>2.8571428571428571E-2</v>
      </c>
      <c r="G423" s="387" t="str">
        <f>"1/28"</f>
        <v>1/28</v>
      </c>
      <c r="H423" s="388">
        <f>1/28</f>
        <v>3.5714285714285712E-2</v>
      </c>
      <c r="I423" s="387" t="str">
        <f>"1/26"</f>
        <v>1/26</v>
      </c>
      <c r="J423" s="388">
        <f>1/26</f>
        <v>3.8461538461538464E-2</v>
      </c>
      <c r="L423" s="1385" t="s">
        <v>695</v>
      </c>
      <c r="M423" s="1385"/>
      <c r="N423" s="1385" t="s">
        <v>693</v>
      </c>
      <c r="O423" s="1385"/>
      <c r="P423" s="1385"/>
      <c r="Q423" s="1385"/>
      <c r="R423" s="1385"/>
      <c r="S423" s="1385"/>
      <c r="W423" s="300"/>
      <c r="X423" s="300"/>
      <c r="Y423" s="300"/>
      <c r="Z423" s="300"/>
      <c r="AA423" s="300"/>
      <c r="AB423" s="300"/>
      <c r="AC423" s="300"/>
      <c r="AD423" s="300"/>
      <c r="AE423" s="300"/>
      <c r="AF423" s="300"/>
      <c r="AG423" s="300"/>
      <c r="AH423" s="300"/>
      <c r="AI423" s="300"/>
      <c r="AJ423" s="300"/>
      <c r="AK423" s="300"/>
      <c r="AL423" s="300"/>
      <c r="AM423" s="300"/>
      <c r="AN423" s="300"/>
      <c r="AO423" s="300"/>
      <c r="AP423" s="300"/>
      <c r="AQ423" s="300"/>
      <c r="AR423" s="300"/>
      <c r="AS423" s="300"/>
      <c r="AT423" s="300"/>
      <c r="AV423" s="300"/>
      <c r="AW423" s="300"/>
      <c r="AX423" s="300"/>
      <c r="BB423" s="1386"/>
      <c r="BC423" s="1386"/>
      <c r="BD423" s="1386"/>
      <c r="BE423" s="1386"/>
      <c r="BF423" s="1386"/>
      <c r="BG423" s="1386"/>
      <c r="BH423" s="1386"/>
      <c r="BI423" s="1386"/>
      <c r="BK423" s="1386"/>
      <c r="BL423" s="1386"/>
      <c r="BM423" s="1386"/>
      <c r="BN423" s="1386"/>
      <c r="BO423" s="1386"/>
      <c r="BQ423" s="1144"/>
      <c r="BR423" s="1145"/>
      <c r="BS423" s="1145"/>
      <c r="BT423" s="1145"/>
      <c r="BU423" s="1145"/>
      <c r="BV423" s="1146"/>
      <c r="BX423" s="1386"/>
      <c r="BY423" s="1386"/>
      <c r="BZ423" s="1386"/>
      <c r="CA423" s="1386"/>
      <c r="CB423" s="1386"/>
      <c r="CD423" s="1386"/>
      <c r="CE423" s="1386"/>
      <c r="CF423" s="1386"/>
      <c r="CG423" s="1386"/>
      <c r="CH423" s="1386"/>
      <c r="CI423" s="1386"/>
    </row>
    <row r="424" spans="2:87" ht="48.75" customHeight="1" thickBot="1">
      <c r="B424" s="1385"/>
      <c r="C424" s="1385"/>
      <c r="D424" s="1714"/>
      <c r="E424" s="381" t="s">
        <v>126</v>
      </c>
      <c r="F424" s="382">
        <f>F423*10^(-6)</f>
        <v>2.8571428571428569E-8</v>
      </c>
      <c r="G424" s="391" t="s">
        <v>126</v>
      </c>
      <c r="H424" s="392">
        <f>H423*10^(-6)</f>
        <v>3.5714285714285712E-8</v>
      </c>
      <c r="I424" s="391" t="s">
        <v>126</v>
      </c>
      <c r="J424" s="392">
        <f>J423*10^(-6)</f>
        <v>3.8461538461538461E-8</v>
      </c>
      <c r="L424" s="1385"/>
      <c r="M424" s="1385"/>
      <c r="N424" s="279">
        <v>2</v>
      </c>
      <c r="O424" s="279">
        <v>4</v>
      </c>
      <c r="P424" s="279">
        <v>6</v>
      </c>
      <c r="Q424" s="279">
        <v>8</v>
      </c>
      <c r="R424" s="279">
        <v>10</v>
      </c>
      <c r="S424" s="279">
        <v>12</v>
      </c>
      <c r="W424" s="300"/>
      <c r="X424" s="300"/>
      <c r="Y424" s="300"/>
      <c r="Z424" s="300"/>
      <c r="AA424" s="300"/>
      <c r="AB424" s="300"/>
      <c r="AC424" s="300"/>
      <c r="AD424" s="300"/>
      <c r="AE424" s="300"/>
      <c r="AF424" s="300"/>
      <c r="AG424" s="300"/>
      <c r="AH424" s="300"/>
      <c r="AI424" s="300"/>
      <c r="AJ424" s="300"/>
      <c r="AK424" s="300"/>
      <c r="AL424" s="300"/>
      <c r="AM424" s="300"/>
      <c r="AN424" s="300"/>
      <c r="AO424" s="300"/>
      <c r="AP424" s="300"/>
      <c r="AQ424" s="300"/>
      <c r="AR424" s="300"/>
      <c r="AS424" s="300"/>
      <c r="AT424" s="300"/>
      <c r="AV424" s="300"/>
      <c r="AW424" s="300"/>
      <c r="AX424" s="300"/>
      <c r="BB424" s="1386"/>
      <c r="BC424" s="1386"/>
      <c r="BD424" s="1386"/>
      <c r="BE424" s="1386"/>
      <c r="BF424" s="1386"/>
      <c r="BG424" s="1386"/>
      <c r="BH424" s="1386"/>
      <c r="BI424" s="1386"/>
      <c r="BK424" s="1386"/>
      <c r="BL424" s="1386"/>
      <c r="BM424" s="1386"/>
      <c r="BN424" s="1386"/>
      <c r="BO424" s="1386"/>
      <c r="BQ424" s="1144"/>
      <c r="BR424" s="1145"/>
      <c r="BS424" s="1145"/>
      <c r="BT424" s="1145"/>
      <c r="BU424" s="1145"/>
      <c r="BV424" s="1146"/>
      <c r="BX424" s="1386"/>
      <c r="BY424" s="1386"/>
      <c r="BZ424" s="1386"/>
      <c r="CA424" s="1386"/>
      <c r="CB424" s="1386"/>
      <c r="CD424" s="1386"/>
      <c r="CE424" s="1386"/>
      <c r="CF424" s="1386"/>
      <c r="CG424" s="1386"/>
      <c r="CH424" s="1386"/>
      <c r="CI424" s="1386"/>
    </row>
    <row r="425" spans="2:87" ht="48.75" customHeight="1">
      <c r="B425" s="1385"/>
      <c r="C425" s="1385"/>
      <c r="D425" s="1714" t="s">
        <v>699</v>
      </c>
      <c r="E425" s="387" t="str">
        <f>"1/30"</f>
        <v>1/30</v>
      </c>
      <c r="F425" s="394">
        <f>1/30</f>
        <v>3.3333333333333333E-2</v>
      </c>
      <c r="G425" s="387" t="str">
        <f>"1/14"</f>
        <v>1/14</v>
      </c>
      <c r="H425" s="388">
        <f>1/14</f>
        <v>7.1428571428571425E-2</v>
      </c>
      <c r="I425" s="387" t="str">
        <f>"1/22"</f>
        <v>1/22</v>
      </c>
      <c r="J425" s="388">
        <f>1/22</f>
        <v>4.5454545454545456E-2</v>
      </c>
      <c r="L425" s="1385" t="s">
        <v>482</v>
      </c>
      <c r="M425" s="1385"/>
      <c r="N425" s="279">
        <v>0.22</v>
      </c>
      <c r="O425" s="279">
        <v>0.2</v>
      </c>
      <c r="P425" s="279">
        <v>0.19</v>
      </c>
      <c r="Q425" s="279">
        <v>0.18</v>
      </c>
      <c r="R425" s="279">
        <v>0.17</v>
      </c>
      <c r="S425" s="279">
        <v>0.16</v>
      </c>
      <c r="AH425" s="300"/>
      <c r="AI425" s="300"/>
      <c r="AJ425" s="300"/>
      <c r="AK425" s="300"/>
      <c r="AL425" s="300"/>
      <c r="AM425" s="300"/>
      <c r="AN425" s="300"/>
      <c r="AO425" s="300"/>
      <c r="AV425" s="300"/>
      <c r="AW425" s="300"/>
      <c r="AX425" s="300"/>
      <c r="BB425" s="1386"/>
      <c r="BC425" s="1386"/>
      <c r="BD425" s="1386"/>
      <c r="BE425" s="1386"/>
      <c r="BF425" s="1386"/>
      <c r="BG425" s="1386"/>
      <c r="BH425" s="1386"/>
      <c r="BI425" s="1386"/>
      <c r="BK425" s="1386"/>
      <c r="BL425" s="1386"/>
      <c r="BM425" s="1386"/>
      <c r="BN425" s="1386"/>
      <c r="BO425" s="1386"/>
      <c r="BQ425" s="1144"/>
      <c r="BR425" s="1145"/>
      <c r="BS425" s="1145"/>
      <c r="BT425" s="1145"/>
      <c r="BU425" s="1145"/>
      <c r="BV425" s="1146"/>
      <c r="BX425" s="1386"/>
      <c r="BY425" s="1386"/>
      <c r="BZ425" s="1386"/>
      <c r="CA425" s="1386"/>
      <c r="CB425" s="1386"/>
      <c r="CD425" s="1386"/>
      <c r="CE425" s="1386"/>
      <c r="CF425" s="1386"/>
      <c r="CG425" s="1386"/>
      <c r="CH425" s="1386"/>
      <c r="CI425" s="1386"/>
    </row>
    <row r="426" spans="2:87" ht="48.75" customHeight="1" thickBot="1">
      <c r="B426" s="1385"/>
      <c r="C426" s="1385"/>
      <c r="D426" s="1714"/>
      <c r="E426" s="381" t="s">
        <v>126</v>
      </c>
      <c r="F426" s="393">
        <f>F425*10^(-6)</f>
        <v>3.3333333333333334E-8</v>
      </c>
      <c r="G426" s="381" t="s">
        <v>126</v>
      </c>
      <c r="H426" s="382">
        <f>H425*10^(-6)</f>
        <v>7.1428571428571423E-8</v>
      </c>
      <c r="I426" s="381" t="s">
        <v>126</v>
      </c>
      <c r="J426" s="382">
        <f>J425*10^(-6)</f>
        <v>4.5454545454545451E-8</v>
      </c>
      <c r="L426" s="1385" t="s">
        <v>483</v>
      </c>
      <c r="M426" s="1385"/>
      <c r="N426" s="279">
        <v>0.84</v>
      </c>
      <c r="O426" s="279">
        <v>0.8</v>
      </c>
      <c r="P426" s="279">
        <v>0.78</v>
      </c>
      <c r="Q426" s="279">
        <v>0.76</v>
      </c>
      <c r="R426" s="279">
        <v>0.74</v>
      </c>
      <c r="S426" s="279">
        <v>0.72</v>
      </c>
      <c r="AV426" s="300"/>
      <c r="AW426" s="300"/>
      <c r="AX426" s="300"/>
      <c r="BB426" s="1386"/>
      <c r="BC426" s="1386"/>
      <c r="BD426" s="1386"/>
      <c r="BE426" s="1386"/>
      <c r="BF426" s="1386"/>
      <c r="BG426" s="1386"/>
      <c r="BH426" s="1386"/>
      <c r="BI426" s="1386"/>
      <c r="BK426" s="1386"/>
      <c r="BL426" s="1386"/>
      <c r="BM426" s="1386"/>
      <c r="BN426" s="1386"/>
      <c r="BO426" s="1386"/>
      <c r="BQ426" s="1144"/>
      <c r="BR426" s="1145"/>
      <c r="BS426" s="1145"/>
      <c r="BT426" s="1145"/>
      <c r="BU426" s="1145"/>
      <c r="BV426" s="1146"/>
      <c r="BX426" s="1386"/>
      <c r="BY426" s="1386"/>
      <c r="BZ426" s="1386"/>
      <c r="CA426" s="1386"/>
      <c r="CB426" s="1386"/>
      <c r="CD426" s="1386"/>
      <c r="CE426" s="1386"/>
      <c r="CF426" s="1386"/>
      <c r="CG426" s="1386"/>
      <c r="CH426" s="1386"/>
      <c r="CI426" s="1386"/>
    </row>
    <row r="427" spans="2:87" ht="48.75" customHeight="1">
      <c r="B427" s="1385"/>
      <c r="C427" s="1385"/>
      <c r="D427" s="1017"/>
      <c r="E427" s="1017"/>
      <c r="F427" s="1017"/>
      <c r="G427" s="1017"/>
      <c r="H427" s="1017"/>
      <c r="I427" s="1017"/>
      <c r="J427" s="862"/>
      <c r="K427" s="341"/>
      <c r="L427" s="341"/>
      <c r="AJ427" s="145" t="s">
        <v>449</v>
      </c>
      <c r="AK427" s="145" t="s">
        <v>450</v>
      </c>
      <c r="AL427" s="145" t="s">
        <v>451</v>
      </c>
      <c r="AM427" s="145" t="s">
        <v>452</v>
      </c>
      <c r="AN427" s="145" t="s">
        <v>453</v>
      </c>
      <c r="AO427" s="145" t="s">
        <v>454</v>
      </c>
      <c r="AP427" s="454"/>
      <c r="AQ427" s="300"/>
      <c r="AR427" s="300"/>
      <c r="AS427" s="300"/>
      <c r="AT427" s="300"/>
      <c r="AU427" s="300"/>
      <c r="AV427" s="300"/>
      <c r="AW427" s="300"/>
      <c r="AX427" s="300"/>
      <c r="BB427" s="1386"/>
      <c r="BC427" s="1386"/>
      <c r="BD427" s="1386"/>
      <c r="BE427" s="1386"/>
      <c r="BF427" s="1386"/>
      <c r="BG427" s="1386"/>
      <c r="BH427" s="1386"/>
      <c r="BI427" s="1386"/>
      <c r="BQ427" s="1144"/>
      <c r="BR427" s="1145"/>
      <c r="BS427" s="1145"/>
      <c r="BT427" s="1145"/>
      <c r="BU427" s="1145"/>
      <c r="BV427" s="1146"/>
      <c r="BX427" s="1386"/>
      <c r="BY427" s="1386"/>
      <c r="BZ427" s="1386"/>
      <c r="CA427" s="1386"/>
      <c r="CB427" s="1386"/>
      <c r="CD427" s="1386"/>
      <c r="CE427" s="1386"/>
      <c r="CF427" s="1386"/>
      <c r="CG427" s="1386"/>
      <c r="CH427" s="1386"/>
      <c r="CI427" s="1386"/>
    </row>
    <row r="428" spans="2:87" ht="48.75" customHeight="1" thickBot="1">
      <c r="B428" s="1385"/>
      <c r="C428" s="1385"/>
      <c r="E428" s="1715" t="s">
        <v>711</v>
      </c>
      <c r="F428" s="1715"/>
      <c r="G428" s="1715" t="s">
        <v>709</v>
      </c>
      <c r="H428" s="1715"/>
      <c r="I428" s="1715" t="s">
        <v>710</v>
      </c>
      <c r="J428" s="1715"/>
      <c r="K428" s="321"/>
      <c r="L428" s="321"/>
      <c r="M428" s="321"/>
      <c r="AJ428" s="145" t="s">
        <v>455</v>
      </c>
      <c r="AK428" s="145" t="s">
        <v>456</v>
      </c>
      <c r="AL428" s="145" t="s">
        <v>65</v>
      </c>
      <c r="AM428" s="145" t="s">
        <v>457</v>
      </c>
      <c r="AN428" s="145" t="s">
        <v>458</v>
      </c>
      <c r="AO428" s="145" t="s">
        <v>459</v>
      </c>
      <c r="AP428" s="454"/>
      <c r="AQ428" s="300"/>
      <c r="AR428" s="300"/>
      <c r="AS428" s="300"/>
      <c r="AT428" s="300"/>
      <c r="AU428" s="300"/>
      <c r="AV428" s="300"/>
      <c r="AW428" s="300"/>
      <c r="AX428" s="300"/>
      <c r="BB428" s="1386"/>
      <c r="BC428" s="1386"/>
      <c r="BD428" s="1386"/>
      <c r="BE428" s="1386"/>
      <c r="BF428" s="1386"/>
      <c r="BG428" s="1386"/>
      <c r="BH428" s="1386"/>
      <c r="BI428" s="1386"/>
      <c r="BQ428" s="1144"/>
      <c r="BR428" s="1145"/>
      <c r="BS428" s="1145"/>
      <c r="BT428" s="1145"/>
      <c r="BU428" s="1145"/>
      <c r="BV428" s="1146"/>
      <c r="BX428" s="1386"/>
      <c r="BY428" s="1386"/>
      <c r="BZ428" s="1386"/>
      <c r="CA428" s="1386"/>
      <c r="CB428" s="1386"/>
      <c r="CD428" s="1386"/>
      <c r="CE428" s="1386"/>
      <c r="CF428" s="1386"/>
      <c r="CG428" s="1386"/>
      <c r="CH428" s="1386"/>
      <c r="CI428" s="1386"/>
    </row>
    <row r="429" spans="2:87" ht="48.75" customHeight="1">
      <c r="B429" s="1385"/>
      <c r="C429" s="1385"/>
      <c r="D429" s="1714" t="s">
        <v>698</v>
      </c>
      <c r="E429" s="387" t="str">
        <f>"1/35"</f>
        <v>1/35</v>
      </c>
      <c r="F429" s="390">
        <f>1/35</f>
        <v>2.8571428571428571E-2</v>
      </c>
      <c r="G429" s="389" t="str">
        <f>"1/21,5"</f>
        <v>1/21,5</v>
      </c>
      <c r="H429" s="388">
        <f>1/21.5</f>
        <v>4.6511627906976744E-2</v>
      </c>
      <c r="I429" s="389" t="str">
        <f>"1/20,5"</f>
        <v>1/20,5</v>
      </c>
      <c r="J429" s="388">
        <f>1/20.5</f>
        <v>4.878048780487805E-2</v>
      </c>
      <c r="K429" s="321"/>
      <c r="L429" s="321"/>
      <c r="M429" s="321"/>
      <c r="N429" s="321"/>
      <c r="AJ429" s="145" t="s">
        <v>757</v>
      </c>
      <c r="AK429" s="145" t="s">
        <v>980</v>
      </c>
      <c r="AL429" s="145" t="s">
        <v>1096</v>
      </c>
      <c r="AM429" s="145" t="s">
        <v>1175</v>
      </c>
      <c r="AN429" s="145" t="s">
        <v>1011</v>
      </c>
      <c r="AO429" s="145" t="s">
        <v>1012</v>
      </c>
      <c r="AV429" s="300"/>
      <c r="AW429" s="300"/>
      <c r="AX429" s="300"/>
      <c r="BB429" s="1386"/>
      <c r="BC429" s="1386"/>
      <c r="BD429" s="1386"/>
      <c r="BE429" s="1386"/>
      <c r="BF429" s="1386"/>
      <c r="BG429" s="1386"/>
      <c r="BH429" s="1386"/>
      <c r="BI429" s="1386"/>
      <c r="BQ429" s="1147"/>
      <c r="BR429" s="1148"/>
      <c r="BS429" s="1148"/>
      <c r="BT429" s="1148"/>
      <c r="BU429" s="1148"/>
      <c r="BV429" s="1149"/>
      <c r="BX429" s="1386"/>
      <c r="BY429" s="1386"/>
      <c r="BZ429" s="1386"/>
      <c r="CA429" s="1386"/>
      <c r="CB429" s="1386"/>
      <c r="CD429" s="1386"/>
      <c r="CE429" s="1386"/>
      <c r="CF429" s="1386"/>
      <c r="CG429" s="1386"/>
      <c r="CH429" s="1386"/>
      <c r="CI429" s="1386"/>
    </row>
    <row r="430" spans="2:87" ht="48.75" customHeight="1" thickBot="1">
      <c r="B430" s="1385"/>
      <c r="C430" s="1385"/>
      <c r="D430" s="1714"/>
      <c r="E430" s="381" t="s">
        <v>126</v>
      </c>
      <c r="F430" s="382">
        <f>F429*10^(-6)</f>
        <v>2.8571428571428569E-8</v>
      </c>
      <c r="G430" s="391" t="s">
        <v>126</v>
      </c>
      <c r="H430" s="392">
        <f>H429*10^(-6)</f>
        <v>4.6511627906976744E-8</v>
      </c>
      <c r="I430" s="381" t="s">
        <v>126</v>
      </c>
      <c r="J430" s="382">
        <f>J429*10^(-6)</f>
        <v>4.8780487804878047E-8</v>
      </c>
      <c r="K430" s="321"/>
      <c r="L430" s="321"/>
      <c r="M430" s="321"/>
      <c r="N430" s="321"/>
      <c r="O430" s="321"/>
      <c r="P430" s="321"/>
      <c r="Q430" s="321"/>
      <c r="AJ430" s="145" t="s">
        <v>742</v>
      </c>
      <c r="AK430" s="145" t="s">
        <v>741</v>
      </c>
      <c r="AL430" s="145" t="s">
        <v>740</v>
      </c>
      <c r="AM430" s="145" t="s">
        <v>739</v>
      </c>
      <c r="AN430" s="145" t="s">
        <v>993</v>
      </c>
      <c r="AO430" s="145" t="s">
        <v>744</v>
      </c>
      <c r="BB430" s="1386"/>
      <c r="BC430" s="1386"/>
      <c r="BD430" s="1386"/>
      <c r="BE430" s="1386"/>
      <c r="BF430" s="1386"/>
      <c r="BG430" s="1386"/>
      <c r="BH430" s="1386"/>
      <c r="BI430" s="1386"/>
      <c r="BX430" s="1386"/>
      <c r="BY430" s="1386"/>
      <c r="BZ430" s="1386"/>
      <c r="CA430" s="1386"/>
      <c r="CB430" s="1386"/>
      <c r="CD430" s="1386"/>
      <c r="CE430" s="1386"/>
      <c r="CF430" s="1386"/>
      <c r="CG430" s="1386"/>
      <c r="CH430" s="1386"/>
      <c r="CI430" s="1386"/>
    </row>
    <row r="431" spans="2:87" ht="48.75" customHeight="1">
      <c r="B431" s="1385"/>
      <c r="C431" s="1385"/>
      <c r="D431" s="1714" t="s">
        <v>699</v>
      </c>
      <c r="E431" s="387" t="str">
        <f>"1/30"</f>
        <v>1/30</v>
      </c>
      <c r="F431" s="394">
        <f>1/35</f>
        <v>2.8571428571428571E-2</v>
      </c>
      <c r="G431" s="389" t="str">
        <f>"1/21,5"</f>
        <v>1/21,5</v>
      </c>
      <c r="H431" s="388">
        <f>1/21.5</f>
        <v>4.6511627906976744E-2</v>
      </c>
      <c r="I431" s="394" t="str">
        <f>"1/20,5"</f>
        <v>1/20,5</v>
      </c>
      <c r="J431" s="388">
        <f>1/20.5</f>
        <v>4.878048780487805E-2</v>
      </c>
      <c r="AJ431" s="145" t="s">
        <v>752</v>
      </c>
      <c r="AK431" s="145" t="s">
        <v>743</v>
      </c>
      <c r="AL431" s="145" t="s">
        <v>992</v>
      </c>
      <c r="AM431" s="145" t="s">
        <v>1018</v>
      </c>
      <c r="AN431" s="242"/>
      <c r="AO431" s="145"/>
      <c r="BB431" s="1386"/>
      <c r="BC431" s="1386"/>
      <c r="BD431" s="1386"/>
      <c r="BE431" s="1386"/>
      <c r="BF431" s="1386"/>
      <c r="BG431" s="1386"/>
      <c r="BH431" s="1386"/>
      <c r="BI431" s="1386"/>
      <c r="BX431" s="1386"/>
      <c r="BY431" s="1386"/>
      <c r="BZ431" s="1386"/>
      <c r="CA431" s="1386"/>
      <c r="CB431" s="1386"/>
      <c r="CD431" s="1386"/>
      <c r="CE431" s="1386"/>
      <c r="CF431" s="1386"/>
      <c r="CG431" s="1386"/>
      <c r="CH431" s="1386"/>
      <c r="CI431" s="1386"/>
    </row>
    <row r="432" spans="2:87" ht="48.75" customHeight="1" thickBot="1">
      <c r="B432" s="1385"/>
      <c r="C432" s="1385"/>
      <c r="D432" s="1714"/>
      <c r="E432" s="381" t="s">
        <v>126</v>
      </c>
      <c r="F432" s="393">
        <f>F431*10^(-6)</f>
        <v>2.8571428571428569E-8</v>
      </c>
      <c r="G432" s="381" t="s">
        <v>126</v>
      </c>
      <c r="H432" s="382">
        <f>H431*10^(-6)</f>
        <v>4.6511627906976744E-8</v>
      </c>
      <c r="I432" s="395" t="s">
        <v>126</v>
      </c>
      <c r="J432" s="382">
        <f>J431*10^(-6)</f>
        <v>4.8780487804878047E-8</v>
      </c>
      <c r="V432" s="1728" t="s">
        <v>678</v>
      </c>
      <c r="W432" s="1724"/>
      <c r="X432" s="1724"/>
      <c r="Y432" s="1724"/>
      <c r="Z432" s="1724"/>
      <c r="AA432" s="1724"/>
      <c r="AB432" s="1724"/>
      <c r="AC432" s="1724"/>
      <c r="AD432" s="1724"/>
      <c r="AE432" s="1724"/>
      <c r="AF432" s="1724"/>
      <c r="AG432" s="1724"/>
      <c r="AH432" s="1814"/>
      <c r="BB432" s="1386"/>
      <c r="BC432" s="1386"/>
      <c r="BD432" s="1386"/>
      <c r="BE432" s="1386"/>
      <c r="BF432" s="1386"/>
      <c r="BG432" s="1386"/>
      <c r="BH432" s="1386"/>
      <c r="BI432" s="1386"/>
      <c r="BX432" s="1386"/>
      <c r="BY432" s="1386"/>
      <c r="BZ432" s="1386"/>
      <c r="CA432" s="1386"/>
      <c r="CB432" s="1386"/>
      <c r="CD432" s="1386"/>
      <c r="CE432" s="1386"/>
      <c r="CF432" s="1386"/>
      <c r="CG432" s="1386"/>
      <c r="CH432" s="1386"/>
      <c r="CI432" s="1386"/>
    </row>
    <row r="433" spans="2:82" ht="48.75" customHeight="1">
      <c r="B433" s="1049"/>
      <c r="C433" s="1049"/>
      <c r="D433" s="1049"/>
      <c r="E433" s="1072"/>
      <c r="F433" s="1072"/>
      <c r="G433" s="1072"/>
      <c r="H433" s="1072"/>
      <c r="I433" s="1072"/>
      <c r="J433" s="1072"/>
      <c r="V433" s="1729"/>
      <c r="W433" s="1726"/>
      <c r="X433" s="1726"/>
      <c r="Y433" s="1726"/>
      <c r="Z433" s="1726"/>
      <c r="AA433" s="1726"/>
      <c r="AB433" s="1726"/>
      <c r="AC433" s="1726"/>
      <c r="AD433" s="1726"/>
      <c r="AE433" s="1726"/>
      <c r="AF433" s="1726"/>
      <c r="AG433" s="1726"/>
      <c r="AH433" s="1815"/>
      <c r="BB433" s="1386"/>
      <c r="BC433" s="1386"/>
      <c r="BD433" s="1386"/>
      <c r="BE433" s="1386"/>
      <c r="BF433" s="1386"/>
      <c r="BG433" s="1386"/>
      <c r="BH433" s="1386"/>
      <c r="BI433" s="1386"/>
      <c r="BX433" s="1386"/>
      <c r="BY433" s="1386"/>
      <c r="BZ433" s="1386"/>
      <c r="CA433" s="1386"/>
      <c r="CB433" s="1386"/>
    </row>
    <row r="434" spans="2:82" ht="48.75" customHeight="1">
      <c r="B434" s="1801" t="s">
        <v>1362</v>
      </c>
      <c r="C434" s="1801"/>
      <c r="D434" s="1801"/>
      <c r="E434" s="1801"/>
      <c r="F434" s="1801"/>
      <c r="G434" s="1801"/>
      <c r="H434" s="1801"/>
      <c r="I434" s="1801"/>
      <c r="J434" s="1801"/>
      <c r="V434" s="1715" t="s">
        <v>556</v>
      </c>
      <c r="W434" s="710" t="s">
        <v>663</v>
      </c>
      <c r="X434" s="1714"/>
      <c r="Y434" s="1714"/>
      <c r="Z434" s="1714"/>
      <c r="AA434" s="1714"/>
      <c r="AB434" s="1714"/>
      <c r="AC434" s="1714"/>
      <c r="AD434" s="1714"/>
      <c r="AE434" s="1714"/>
      <c r="AF434" s="1714"/>
      <c r="AG434" s="1714"/>
      <c r="AH434" s="711"/>
      <c r="BB434" s="1386"/>
      <c r="BC434" s="1386"/>
      <c r="BD434" s="1386"/>
      <c r="BE434" s="1386"/>
      <c r="BF434" s="1386"/>
      <c r="BG434" s="1386"/>
      <c r="BH434" s="1386"/>
      <c r="BI434" s="1386"/>
      <c r="BM434" s="1696"/>
      <c r="BN434" s="1696"/>
      <c r="BO434" s="1696"/>
      <c r="BP434" s="1696"/>
      <c r="BQ434" s="1696"/>
      <c r="BR434" s="1696"/>
      <c r="BS434" s="1696"/>
      <c r="BT434" s="1696"/>
      <c r="BU434" s="1696"/>
      <c r="BV434" s="281"/>
      <c r="BZ434" s="300"/>
      <c r="CA434" s="300"/>
      <c r="CB434" s="300"/>
      <c r="CC434" s="300"/>
      <c r="CD434" s="300"/>
    </row>
    <row r="435" spans="2:82" ht="48.75" customHeight="1">
      <c r="B435" s="1801"/>
      <c r="C435" s="1801"/>
      <c r="D435" s="1801"/>
      <c r="E435" s="1801"/>
      <c r="F435" s="1801"/>
      <c r="G435" s="1801"/>
      <c r="H435" s="1801"/>
      <c r="I435" s="1801"/>
      <c r="J435" s="1801"/>
      <c r="V435" s="1789"/>
      <c r="W435" s="1802" t="s">
        <v>1377</v>
      </c>
      <c r="X435" s="1802"/>
      <c r="Y435" s="1802"/>
      <c r="Z435" s="1802"/>
      <c r="AA435" s="1802"/>
      <c r="AB435" s="1802"/>
      <c r="AC435" s="1802" t="s">
        <v>1378</v>
      </c>
      <c r="AD435" s="1802"/>
      <c r="AE435" s="1802"/>
      <c r="AF435" s="1802"/>
      <c r="AG435" s="1802"/>
      <c r="AH435" s="1802"/>
      <c r="BB435" s="1386"/>
      <c r="BC435" s="1386"/>
      <c r="BD435" s="1386"/>
      <c r="BE435" s="1386"/>
      <c r="BF435" s="1386"/>
      <c r="BG435" s="1386"/>
      <c r="BH435" s="1386"/>
      <c r="BI435" s="1386"/>
      <c r="BM435" s="1141"/>
      <c r="BN435" s="1142"/>
      <c r="BO435" s="1142"/>
      <c r="BP435" s="1142"/>
      <c r="BQ435" s="1142"/>
      <c r="BR435" s="1142"/>
      <c r="BS435" s="1142"/>
      <c r="BT435" s="1142"/>
      <c r="BU435" s="1142"/>
      <c r="BV435" s="1143"/>
      <c r="BZ435" s="300"/>
      <c r="CA435" s="300"/>
      <c r="CB435" s="300"/>
      <c r="CC435" s="300"/>
      <c r="CD435" s="300"/>
    </row>
    <row r="436" spans="2:82" ht="48.75" customHeight="1">
      <c r="V436" s="1385" t="s">
        <v>670</v>
      </c>
      <c r="W436" s="1732"/>
      <c r="X436" s="1733"/>
      <c r="Y436" s="1733"/>
      <c r="Z436" s="1733"/>
      <c r="AA436" s="1733"/>
      <c r="AB436" s="1733"/>
      <c r="AC436" s="1801"/>
      <c r="AD436" s="1801"/>
      <c r="AE436" s="1801"/>
      <c r="AF436" s="1801"/>
      <c r="AG436" s="1801"/>
      <c r="AH436" s="1801"/>
      <c r="BB436" s="1386"/>
      <c r="BC436" s="1386"/>
      <c r="BD436" s="1386"/>
      <c r="BE436" s="1386"/>
      <c r="BF436" s="1386"/>
      <c r="BG436" s="1386"/>
      <c r="BH436" s="1386"/>
      <c r="BI436" s="1386"/>
      <c r="BM436" s="1144"/>
      <c r="BN436" s="1145"/>
      <c r="BO436" s="1145"/>
      <c r="BP436" s="1145"/>
      <c r="BQ436" s="1145"/>
      <c r="BR436" s="1145"/>
      <c r="BS436" s="1145"/>
      <c r="BT436" s="1145"/>
      <c r="BU436" s="1145"/>
      <c r="BV436" s="1146"/>
      <c r="BZ436" s="300"/>
      <c r="CA436" s="300"/>
      <c r="CB436" s="300"/>
      <c r="CC436" s="300"/>
      <c r="CD436" s="300"/>
    </row>
    <row r="437" spans="2:82" ht="48.75" customHeight="1">
      <c r="V437" s="1385"/>
      <c r="W437" s="1735"/>
      <c r="X437" s="1736"/>
      <c r="Y437" s="1736"/>
      <c r="Z437" s="1736"/>
      <c r="AA437" s="1736"/>
      <c r="AB437" s="1736"/>
      <c r="AC437" s="1801"/>
      <c r="AD437" s="1801"/>
      <c r="AE437" s="1801"/>
      <c r="AF437" s="1801"/>
      <c r="AG437" s="1801"/>
      <c r="AH437" s="1801"/>
      <c r="AN437" s="97"/>
      <c r="AO437" s="97"/>
      <c r="AP437" s="97"/>
      <c r="BB437" s="1386"/>
      <c r="BC437" s="1386"/>
      <c r="BD437" s="1386"/>
      <c r="BE437" s="1386"/>
      <c r="BF437" s="1386"/>
      <c r="BG437" s="1386"/>
      <c r="BH437" s="1386"/>
      <c r="BI437" s="1386"/>
      <c r="BM437" s="1144"/>
      <c r="BN437" s="1145"/>
      <c r="BO437" s="1145"/>
      <c r="BP437" s="1145"/>
      <c r="BQ437" s="1145"/>
      <c r="BR437" s="1145"/>
      <c r="BS437" s="1145"/>
      <c r="BT437" s="1145"/>
      <c r="BU437" s="1145"/>
      <c r="BV437" s="1146"/>
      <c r="BZ437" s="300"/>
      <c r="CA437" s="300"/>
      <c r="CB437" s="300"/>
      <c r="CC437" s="300"/>
      <c r="CD437" s="300"/>
    </row>
    <row r="438" spans="2:82" ht="48.75" customHeight="1">
      <c r="V438" s="1385"/>
      <c r="W438" s="1759"/>
      <c r="X438" s="1760"/>
      <c r="Y438" s="1760"/>
      <c r="Z438" s="1760"/>
      <c r="AA438" s="1760"/>
      <c r="AB438" s="1760"/>
      <c r="AC438" s="1801"/>
      <c r="AD438" s="1801"/>
      <c r="AE438" s="1801"/>
      <c r="AF438" s="1801"/>
      <c r="AG438" s="1801"/>
      <c r="AH438" s="1801"/>
      <c r="BB438" s="1386"/>
      <c r="BC438" s="1386"/>
      <c r="BD438" s="1386"/>
      <c r="BE438" s="1386"/>
      <c r="BF438" s="1386"/>
      <c r="BG438" s="1386"/>
      <c r="BH438" s="1386"/>
      <c r="BI438" s="1386"/>
      <c r="BM438" s="1144"/>
      <c r="BN438" s="1145"/>
      <c r="BO438" s="1145"/>
      <c r="BP438" s="1145"/>
      <c r="BQ438" s="1145"/>
      <c r="BR438" s="1145"/>
      <c r="BS438" s="1145"/>
      <c r="BT438" s="1145"/>
      <c r="BU438" s="1145"/>
      <c r="BV438" s="1146"/>
    </row>
    <row r="439" spans="2:82" ht="48.75" customHeight="1">
      <c r="V439" s="1385" t="s">
        <v>671</v>
      </c>
      <c r="W439" s="1732"/>
      <c r="X439" s="1733"/>
      <c r="Y439" s="1733"/>
      <c r="Z439" s="1733"/>
      <c r="AA439" s="1733"/>
      <c r="AB439" s="1733"/>
      <c r="AC439" s="1801"/>
      <c r="AD439" s="1801"/>
      <c r="AE439" s="1801"/>
      <c r="AF439" s="1801"/>
      <c r="AG439" s="1801"/>
      <c r="AH439" s="1801"/>
      <c r="AR439" s="1385" t="s">
        <v>1120</v>
      </c>
      <c r="AS439" s="1385"/>
      <c r="AT439" s="1385"/>
      <c r="AU439" s="1385"/>
      <c r="AV439" s="1385"/>
      <c r="AW439" s="1049"/>
      <c r="BB439" s="1386"/>
      <c r="BC439" s="1386"/>
      <c r="BD439" s="1386"/>
      <c r="BE439" s="1386"/>
      <c r="BF439" s="1386"/>
      <c r="BG439" s="1386"/>
      <c r="BH439" s="1386"/>
      <c r="BI439" s="1386"/>
      <c r="BM439" s="1144"/>
      <c r="BN439" s="1145"/>
      <c r="BO439" s="1145"/>
      <c r="BP439" s="1145"/>
      <c r="BQ439" s="1145"/>
      <c r="BR439" s="1145"/>
      <c r="BS439" s="1145"/>
      <c r="BT439" s="1145"/>
      <c r="BU439" s="1145"/>
      <c r="BV439" s="1146"/>
    </row>
    <row r="440" spans="2:82" ht="48.75" customHeight="1">
      <c r="V440" s="1385"/>
      <c r="W440" s="1735"/>
      <c r="X440" s="1736"/>
      <c r="Y440" s="1736"/>
      <c r="Z440" s="1736"/>
      <c r="AA440" s="1736"/>
      <c r="AB440" s="1736"/>
      <c r="AC440" s="1801"/>
      <c r="AD440" s="1801"/>
      <c r="AE440" s="1801"/>
      <c r="AF440" s="1801"/>
      <c r="AG440" s="1801"/>
      <c r="AH440" s="1801"/>
      <c r="AR440" s="1385"/>
      <c r="AS440" s="1385"/>
      <c r="AT440" s="1385"/>
      <c r="AU440" s="1385"/>
      <c r="AV440" s="1385"/>
      <c r="AW440" s="1049"/>
      <c r="BB440" s="1386"/>
      <c r="BC440" s="1386"/>
      <c r="BD440" s="1386"/>
      <c r="BE440" s="1386"/>
      <c r="BF440" s="1386"/>
      <c r="BG440" s="1386"/>
      <c r="BH440" s="1386"/>
      <c r="BI440" s="1386"/>
      <c r="BM440" s="1144"/>
      <c r="BN440" s="1145"/>
      <c r="BO440" s="1145"/>
      <c r="BP440" s="1145"/>
      <c r="BQ440" s="1145"/>
      <c r="BR440" s="1145"/>
      <c r="BS440" s="1145"/>
      <c r="BT440" s="1145"/>
      <c r="BU440" s="1145"/>
      <c r="BV440" s="1146"/>
    </row>
    <row r="441" spans="2:82" ht="48.75" customHeight="1">
      <c r="V441" s="1385"/>
      <c r="W441" s="1759"/>
      <c r="X441" s="1760"/>
      <c r="Y441" s="1760"/>
      <c r="Z441" s="1760"/>
      <c r="AA441" s="1760"/>
      <c r="AB441" s="1760"/>
      <c r="AC441" s="1801"/>
      <c r="AD441" s="1801"/>
      <c r="AE441" s="1801"/>
      <c r="AF441" s="1801"/>
      <c r="AG441" s="1801"/>
      <c r="AH441" s="1801"/>
      <c r="AR441" s="1696"/>
      <c r="AS441" s="1696"/>
      <c r="AT441" s="1696"/>
      <c r="AU441" s="1696"/>
      <c r="AV441" s="1696"/>
      <c r="AW441" s="1696"/>
      <c r="BE441" s="19"/>
      <c r="BF441" s="17"/>
      <c r="BI441" s="11"/>
      <c r="BM441" s="1144"/>
      <c r="BN441" s="1145"/>
      <c r="BO441" s="1145"/>
      <c r="BP441" s="1145"/>
      <c r="BQ441" s="1145"/>
      <c r="BR441" s="1145"/>
      <c r="BS441" s="1145"/>
      <c r="BT441" s="1145"/>
      <c r="BU441" s="1145"/>
      <c r="BV441" s="1146"/>
    </row>
    <row r="442" spans="2:82" ht="48.75" customHeight="1">
      <c r="S442" s="300"/>
      <c r="T442" s="300"/>
      <c r="V442" s="1385" t="s">
        <v>672</v>
      </c>
      <c r="W442" s="1732"/>
      <c r="X442" s="1733"/>
      <c r="Y442" s="1733"/>
      <c r="Z442" s="1733"/>
      <c r="AA442" s="1733"/>
      <c r="AB442" s="1733"/>
      <c r="AC442" s="1801"/>
      <c r="AD442" s="1801"/>
      <c r="AE442" s="1801"/>
      <c r="AF442" s="1801"/>
      <c r="AG442" s="1801"/>
      <c r="AH442" s="1801"/>
      <c r="AR442" s="1696"/>
      <c r="AS442" s="1696"/>
      <c r="AT442" s="1696"/>
      <c r="AU442" s="1696"/>
      <c r="AV442" s="1696"/>
      <c r="AW442" s="1696"/>
      <c r="BE442" s="19"/>
      <c r="BF442" s="17"/>
      <c r="BI442" s="11"/>
      <c r="BM442" s="1144"/>
      <c r="BN442" s="1145"/>
      <c r="BO442" s="1145"/>
      <c r="BP442" s="1145"/>
      <c r="BQ442" s="1145"/>
      <c r="BR442" s="1145"/>
      <c r="BS442" s="1145"/>
      <c r="BT442" s="1145"/>
      <c r="BU442" s="1145"/>
      <c r="BV442" s="1146"/>
    </row>
    <row r="443" spans="2:82" ht="48.75" customHeight="1">
      <c r="S443" s="300"/>
      <c r="T443" s="300"/>
      <c r="V443" s="1385"/>
      <c r="W443" s="1735"/>
      <c r="X443" s="1736"/>
      <c r="Y443" s="1736"/>
      <c r="Z443" s="1736"/>
      <c r="AA443" s="1736"/>
      <c r="AB443" s="1736"/>
      <c r="AC443" s="1801"/>
      <c r="AD443" s="1801"/>
      <c r="AE443" s="1801"/>
      <c r="AF443" s="1801"/>
      <c r="AG443" s="1801"/>
      <c r="AH443" s="1801"/>
      <c r="AR443" s="1696"/>
      <c r="AS443" s="1696"/>
      <c r="AT443" s="1696"/>
      <c r="AU443" s="1696"/>
      <c r="AV443" s="1696"/>
      <c r="AW443" s="1696"/>
      <c r="BE443" s="19"/>
      <c r="BF443" s="17"/>
      <c r="BI443" s="11"/>
      <c r="BM443" s="1144"/>
      <c r="BN443" s="1145"/>
      <c r="BO443" s="1145"/>
      <c r="BP443" s="1145"/>
      <c r="BQ443" s="1145"/>
      <c r="BR443" s="1145"/>
      <c r="BS443" s="1145"/>
      <c r="BT443" s="1145"/>
      <c r="BU443" s="1145"/>
      <c r="BV443" s="1146"/>
    </row>
    <row r="444" spans="2:82" ht="48.75" customHeight="1">
      <c r="S444" s="300"/>
      <c r="T444" s="300"/>
      <c r="V444" s="1385"/>
      <c r="W444" s="1759"/>
      <c r="X444" s="1760"/>
      <c r="Y444" s="1760"/>
      <c r="Z444" s="1760"/>
      <c r="AA444" s="1760"/>
      <c r="AB444" s="1760"/>
      <c r="AC444" s="1801"/>
      <c r="AD444" s="1801"/>
      <c r="AE444" s="1801"/>
      <c r="AF444" s="1801"/>
      <c r="AG444" s="1801"/>
      <c r="AH444" s="1801"/>
      <c r="AR444" s="1696"/>
      <c r="AS444" s="1696"/>
      <c r="AT444" s="1696"/>
      <c r="AU444" s="1696"/>
      <c r="AV444" s="1696"/>
      <c r="AW444" s="1696"/>
      <c r="BE444" s="19"/>
      <c r="BF444" s="17"/>
      <c r="BI444" s="11"/>
      <c r="BM444" s="1144"/>
      <c r="BN444" s="1145"/>
      <c r="BO444" s="1145"/>
      <c r="BP444" s="1145"/>
      <c r="BQ444" s="1145"/>
      <c r="BR444" s="1145"/>
      <c r="BS444" s="1145"/>
      <c r="BT444" s="1145"/>
      <c r="BU444" s="1145"/>
      <c r="BV444" s="1146"/>
    </row>
    <row r="445" spans="2:82" ht="48.75" customHeight="1">
      <c r="S445" s="300"/>
      <c r="T445" s="300"/>
      <c r="V445" s="1385" t="s">
        <v>673</v>
      </c>
      <c r="W445" s="1732"/>
      <c r="X445" s="1733"/>
      <c r="Y445" s="1733"/>
      <c r="Z445" s="1733"/>
      <c r="AA445" s="1733"/>
      <c r="AB445" s="1733"/>
      <c r="AC445" s="1801"/>
      <c r="AD445" s="1801"/>
      <c r="AE445" s="1801"/>
      <c r="AF445" s="1801"/>
      <c r="AG445" s="1801"/>
      <c r="AH445" s="1801"/>
      <c r="AR445" s="1696"/>
      <c r="AS445" s="1696"/>
      <c r="AT445" s="1696"/>
      <c r="AU445" s="1696"/>
      <c r="AV445" s="1696"/>
      <c r="AW445" s="1696"/>
      <c r="BE445" s="19"/>
      <c r="BF445" s="17"/>
      <c r="BI445" s="11"/>
      <c r="BM445" s="1144"/>
      <c r="BN445" s="1145"/>
      <c r="BO445" s="1145"/>
      <c r="BP445" s="1145"/>
      <c r="BQ445" s="1145"/>
      <c r="BR445" s="1145"/>
      <c r="BS445" s="1145"/>
      <c r="BT445" s="1145"/>
      <c r="BU445" s="1145"/>
      <c r="BV445" s="1146"/>
    </row>
    <row r="446" spans="2:82" ht="48.75" customHeight="1">
      <c r="S446" s="300"/>
      <c r="T446" s="300"/>
      <c r="V446" s="1385"/>
      <c r="W446" s="1735"/>
      <c r="X446" s="1736"/>
      <c r="Y446" s="1736"/>
      <c r="Z446" s="1736"/>
      <c r="AA446" s="1736"/>
      <c r="AB446" s="1736"/>
      <c r="AC446" s="1801"/>
      <c r="AD446" s="1801"/>
      <c r="AE446" s="1801"/>
      <c r="AF446" s="1801"/>
      <c r="AG446" s="1801"/>
      <c r="AH446" s="1801"/>
      <c r="AR446" s="1696"/>
      <c r="AS446" s="1696"/>
      <c r="AT446" s="1696"/>
      <c r="AU446" s="1696"/>
      <c r="AV446" s="1696"/>
      <c r="AW446" s="1696"/>
      <c r="BE446" s="19"/>
      <c r="BF446" s="17"/>
      <c r="BI446" s="11"/>
      <c r="BM446" s="1144"/>
      <c r="BN446" s="1145"/>
      <c r="BO446" s="1145"/>
      <c r="BP446" s="1145"/>
      <c r="BQ446" s="1145"/>
      <c r="BR446" s="1145"/>
      <c r="BS446" s="1145"/>
      <c r="BT446" s="1145"/>
      <c r="BU446" s="1145"/>
      <c r="BV446" s="1146"/>
    </row>
    <row r="447" spans="2:82" ht="48.75" customHeight="1">
      <c r="S447" s="300"/>
      <c r="T447" s="300"/>
      <c r="U447" s="300"/>
      <c r="V447" s="1385"/>
      <c r="W447" s="1759"/>
      <c r="X447" s="1760"/>
      <c r="Y447" s="1760"/>
      <c r="Z447" s="1760"/>
      <c r="AA447" s="1760"/>
      <c r="AB447" s="1760"/>
      <c r="AC447" s="1801"/>
      <c r="AD447" s="1801"/>
      <c r="AE447" s="1801"/>
      <c r="AF447" s="1801"/>
      <c r="AG447" s="1801"/>
      <c r="AH447" s="1801"/>
      <c r="AR447" s="1696"/>
      <c r="AS447" s="1696"/>
      <c r="AT447" s="1696"/>
      <c r="AU447" s="1696"/>
      <c r="AV447" s="1696"/>
      <c r="AW447" s="1696"/>
      <c r="BE447" s="19"/>
      <c r="BF447" s="17"/>
      <c r="BI447" s="11"/>
      <c r="BM447" s="1144"/>
      <c r="BN447" s="1145"/>
      <c r="BO447" s="1145"/>
      <c r="BP447" s="1145"/>
      <c r="BQ447" s="1145"/>
      <c r="BR447" s="1145"/>
      <c r="BS447" s="1145"/>
      <c r="BT447" s="1145"/>
      <c r="BU447" s="1145"/>
      <c r="BV447" s="1146"/>
    </row>
    <row r="448" spans="2:82" ht="48.75" customHeight="1">
      <c r="S448" s="300"/>
      <c r="T448" s="300"/>
      <c r="U448" s="300"/>
      <c r="V448" s="1385" t="s">
        <v>674</v>
      </c>
      <c r="W448" s="1732"/>
      <c r="X448" s="1733"/>
      <c r="Y448" s="1733"/>
      <c r="Z448" s="1733"/>
      <c r="AA448" s="1733"/>
      <c r="AB448" s="1733"/>
      <c r="AC448" s="1801"/>
      <c r="AD448" s="1801"/>
      <c r="AE448" s="1801"/>
      <c r="AF448" s="1801"/>
      <c r="AG448" s="1801"/>
      <c r="AH448" s="1801"/>
      <c r="AR448" s="1696"/>
      <c r="AS448" s="1696"/>
      <c r="AT448" s="1696"/>
      <c r="AU448" s="1696"/>
      <c r="AV448" s="1696"/>
      <c r="AW448" s="1696"/>
      <c r="BE448" s="19"/>
      <c r="BF448" s="17"/>
      <c r="BI448" s="11"/>
      <c r="BM448" s="1147"/>
      <c r="BN448" s="1148"/>
      <c r="BO448" s="1148"/>
      <c r="BP448" s="1148"/>
      <c r="BQ448" s="1148"/>
      <c r="BR448" s="1148"/>
      <c r="BS448" s="1148"/>
      <c r="BT448" s="1148"/>
      <c r="BU448" s="1148"/>
      <c r="BV448" s="1149"/>
    </row>
    <row r="449" spans="18:61" ht="48.75" customHeight="1">
      <c r="S449" s="300"/>
      <c r="T449" s="300"/>
      <c r="U449" s="300"/>
      <c r="V449" s="1385"/>
      <c r="W449" s="1735"/>
      <c r="X449" s="1736"/>
      <c r="Y449" s="1736"/>
      <c r="Z449" s="1736"/>
      <c r="AA449" s="1736"/>
      <c r="AB449" s="1736"/>
      <c r="AC449" s="1801"/>
      <c r="AD449" s="1801"/>
      <c r="AE449" s="1801"/>
      <c r="AF449" s="1801"/>
      <c r="AG449" s="1801"/>
      <c r="AH449" s="1801"/>
      <c r="AR449" s="1696"/>
      <c r="AS449" s="1696"/>
      <c r="AT449" s="1696"/>
      <c r="AU449" s="1696"/>
      <c r="AV449" s="1696"/>
      <c r="AW449" s="1696"/>
      <c r="BE449" s="19"/>
      <c r="BF449" s="17"/>
      <c r="BI449" s="11"/>
    </row>
    <row r="450" spans="18:61" ht="48.75" customHeight="1">
      <c r="S450" s="300"/>
      <c r="T450" s="300"/>
      <c r="U450" s="300"/>
      <c r="V450" s="1385"/>
      <c r="W450" s="1759"/>
      <c r="X450" s="1760"/>
      <c r="Y450" s="1760"/>
      <c r="Z450" s="1760"/>
      <c r="AA450" s="1760"/>
      <c r="AB450" s="1760"/>
      <c r="AC450" s="1801"/>
      <c r="AD450" s="1801"/>
      <c r="AE450" s="1801"/>
      <c r="AF450" s="1801"/>
      <c r="AG450" s="1801"/>
      <c r="AH450" s="1801"/>
      <c r="BE450" s="19"/>
      <c r="BF450" s="17"/>
      <c r="BI450" s="11"/>
    </row>
    <row r="451" spans="18:61" ht="48.75" customHeight="1">
      <c r="S451" s="300"/>
      <c r="T451" s="300"/>
      <c r="U451" s="300"/>
      <c r="V451" s="1385" t="s">
        <v>675</v>
      </c>
      <c r="W451" s="1732"/>
      <c r="X451" s="1733"/>
      <c r="Y451" s="1733"/>
      <c r="Z451" s="1733"/>
      <c r="AA451" s="1733"/>
      <c r="AB451" s="1733"/>
      <c r="AC451" s="1801"/>
      <c r="AD451" s="1801"/>
      <c r="AE451" s="1801"/>
      <c r="AF451" s="1801"/>
      <c r="AG451" s="1801"/>
      <c r="AH451" s="1801"/>
      <c r="BE451" s="19"/>
      <c r="BF451" s="17"/>
      <c r="BI451" s="11"/>
    </row>
    <row r="452" spans="18:61" ht="48.75" customHeight="1">
      <c r="S452" s="300"/>
      <c r="T452" s="300"/>
      <c r="U452" s="300"/>
      <c r="V452" s="1385"/>
      <c r="W452" s="1735"/>
      <c r="X452" s="1736"/>
      <c r="Y452" s="1736"/>
      <c r="Z452" s="1736"/>
      <c r="AA452" s="1736"/>
      <c r="AB452" s="1736"/>
      <c r="AC452" s="1801"/>
      <c r="AD452" s="1801"/>
      <c r="AE452" s="1801"/>
      <c r="AF452" s="1801"/>
      <c r="AG452" s="1801"/>
      <c r="AH452" s="1801"/>
      <c r="BE452" s="19"/>
      <c r="BF452" s="17"/>
      <c r="BI452" s="11"/>
    </row>
    <row r="453" spans="18:61" ht="48.75" customHeight="1">
      <c r="S453" s="300"/>
      <c r="T453" s="300"/>
      <c r="U453" s="300"/>
      <c r="V453" s="1385"/>
      <c r="W453" s="1759"/>
      <c r="X453" s="1760"/>
      <c r="Y453" s="1760"/>
      <c r="Z453" s="1760"/>
      <c r="AA453" s="1760"/>
      <c r="AB453" s="1760"/>
      <c r="AC453" s="1801"/>
      <c r="AD453" s="1801"/>
      <c r="AE453" s="1801"/>
      <c r="AF453" s="1801"/>
      <c r="AG453" s="1801"/>
      <c r="AH453" s="1801"/>
      <c r="BE453" s="19"/>
      <c r="BF453" s="17"/>
      <c r="BI453" s="11"/>
    </row>
    <row r="454" spans="18:61" ht="48.75" customHeight="1">
      <c r="S454" s="300"/>
      <c r="T454" s="300"/>
      <c r="U454" s="300"/>
      <c r="V454" s="857"/>
      <c r="W454" s="1015"/>
      <c r="X454" s="1015"/>
      <c r="Y454" s="1015"/>
      <c r="Z454" s="1015"/>
      <c r="AA454" s="1015"/>
      <c r="AB454" s="1015"/>
      <c r="AC454" s="1015"/>
      <c r="AD454" s="1015"/>
      <c r="AE454" s="1015"/>
      <c r="AF454" s="1015"/>
      <c r="AG454" s="1015"/>
      <c r="AH454" s="858"/>
      <c r="BE454" s="19"/>
      <c r="BF454" s="17"/>
      <c r="BI454" s="11"/>
    </row>
    <row r="455" spans="18:61" ht="48.75" customHeight="1">
      <c r="S455" s="300"/>
      <c r="T455" s="300"/>
      <c r="U455" s="300"/>
      <c r="V455" s="1753" t="s">
        <v>1379</v>
      </c>
      <c r="W455" s="1754"/>
      <c r="X455" s="1754"/>
      <c r="Y455" s="1754"/>
      <c r="Z455" s="1754"/>
      <c r="AA455" s="1754"/>
      <c r="AB455" s="1754"/>
      <c r="AC455" s="1754"/>
      <c r="AD455" s="1754"/>
      <c r="AE455" s="1754"/>
      <c r="AF455" s="1754"/>
      <c r="AG455" s="1754"/>
      <c r="AH455" s="1755"/>
      <c r="BE455" s="19"/>
      <c r="BF455" s="17"/>
      <c r="BI455" s="11"/>
    </row>
    <row r="456" spans="18:61" ht="48.75" customHeight="1">
      <c r="R456" s="300"/>
      <c r="S456" s="300"/>
      <c r="T456" s="300"/>
      <c r="U456" s="300"/>
      <c r="V456" s="1756"/>
      <c r="W456" s="1757"/>
      <c r="X456" s="1757"/>
      <c r="Y456" s="1757"/>
      <c r="Z456" s="1757"/>
      <c r="AA456" s="1757"/>
      <c r="AB456" s="1757"/>
      <c r="AC456" s="1757"/>
      <c r="AD456" s="1757"/>
      <c r="AE456" s="1757"/>
      <c r="AF456" s="1757"/>
      <c r="AG456" s="1757"/>
      <c r="AH456" s="1758"/>
      <c r="BE456" s="19"/>
      <c r="BF456" s="17"/>
      <c r="BI456" s="11"/>
    </row>
    <row r="457" spans="18:61" ht="48.75" customHeight="1">
      <c r="R457" s="300"/>
      <c r="S457" s="300"/>
      <c r="T457" s="300"/>
      <c r="U457" s="300"/>
      <c r="V457" s="300"/>
      <c r="W457" s="300"/>
      <c r="X457" s="300"/>
      <c r="Y457" s="300"/>
      <c r="Z457" s="300"/>
      <c r="BE457" s="19"/>
      <c r="BF457" s="17"/>
      <c r="BI457" s="11"/>
    </row>
    <row r="458" spans="18:61" ht="48.75" customHeight="1">
      <c r="R458" s="300"/>
      <c r="S458" s="300"/>
      <c r="T458" s="300"/>
      <c r="U458" s="300"/>
      <c r="V458" s="300"/>
      <c r="W458" s="300"/>
      <c r="X458" s="300"/>
      <c r="Y458" s="300"/>
      <c r="Z458" s="300"/>
      <c r="BE458" s="19"/>
      <c r="BF458" s="17"/>
      <c r="BI458" s="11"/>
    </row>
    <row r="459" spans="18:61" ht="48.75" customHeight="1">
      <c r="R459" s="300"/>
      <c r="S459" s="300"/>
      <c r="T459" s="300"/>
      <c r="U459" s="300"/>
      <c r="V459" s="300"/>
      <c r="W459" s="300"/>
      <c r="X459" s="300"/>
      <c r="Y459" s="300"/>
      <c r="Z459" s="300"/>
      <c r="BE459" s="19"/>
      <c r="BF459" s="17"/>
      <c r="BI459" s="11"/>
    </row>
    <row r="460" spans="18:61" ht="48.75" customHeight="1">
      <c r="R460" s="300"/>
      <c r="S460" s="300"/>
      <c r="T460" s="300"/>
      <c r="U460" s="300"/>
      <c r="V460" s="300"/>
      <c r="W460" s="300"/>
      <c r="X460" s="300"/>
      <c r="Y460" s="300"/>
      <c r="Z460" s="300"/>
      <c r="BE460" s="19"/>
      <c r="BF460" s="17"/>
      <c r="BI460" s="11"/>
    </row>
    <row r="461" spans="18:61" ht="48.75" customHeight="1">
      <c r="R461" s="300"/>
      <c r="S461" s="300"/>
      <c r="T461" s="300"/>
      <c r="U461" s="300"/>
      <c r="V461" s="300"/>
      <c r="W461" s="300"/>
      <c r="X461" s="300"/>
      <c r="Y461" s="300"/>
      <c r="Z461" s="300"/>
      <c r="BE461" s="19"/>
      <c r="BF461" s="17"/>
      <c r="BI461" s="11"/>
    </row>
    <row r="462" spans="18:61" ht="48.75" customHeight="1">
      <c r="R462" s="300"/>
      <c r="S462" s="300"/>
      <c r="T462" s="300"/>
      <c r="U462" s="300"/>
      <c r="V462" s="300"/>
      <c r="W462" s="300"/>
      <c r="X462" s="300"/>
      <c r="Y462" s="300"/>
      <c r="Z462" s="300"/>
      <c r="BE462" s="19"/>
      <c r="BF462" s="17"/>
      <c r="BI462" s="11"/>
    </row>
    <row r="463" spans="18:61" ht="48.75" customHeight="1">
      <c r="BE463" s="19"/>
      <c r="BF463" s="17"/>
      <c r="BI463" s="11"/>
    </row>
    <row r="464" spans="18:61"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49">
    <mergeCell ref="I6:P6"/>
    <mergeCell ref="V98:Y98"/>
    <mergeCell ref="N102:Q103"/>
    <mergeCell ref="M232:O233"/>
    <mergeCell ref="BI306:BJ306"/>
    <mergeCell ref="BI307:BJ307"/>
    <mergeCell ref="BG306:BH306"/>
    <mergeCell ref="BG307:BH307"/>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Z92:AA92"/>
    <mergeCell ref="T98:U98"/>
    <mergeCell ref="T96:U96"/>
    <mergeCell ref="AI236:AK236"/>
    <mergeCell ref="AK89:AL89"/>
    <mergeCell ref="S327:S328"/>
    <mergeCell ref="AG345:AG346"/>
    <mergeCell ref="BH59:BP75"/>
    <mergeCell ref="BH55:BO55"/>
    <mergeCell ref="M329:S338"/>
    <mergeCell ref="AK327:AQ338"/>
    <mergeCell ref="M310:W323"/>
    <mergeCell ref="AH222:AS222"/>
    <mergeCell ref="AO219:AU219"/>
    <mergeCell ref="V247:X247"/>
    <mergeCell ref="AH248:AH249"/>
    <mergeCell ref="BP56:BP58"/>
    <mergeCell ref="BG301:BO301"/>
    <mergeCell ref="BI56:BO58"/>
    <mergeCell ref="Z280:Z281"/>
    <mergeCell ref="AA281:AJ281"/>
    <mergeCell ref="AK91:AL91"/>
    <mergeCell ref="V222:AF222"/>
    <mergeCell ref="AI246:AK246"/>
    <mergeCell ref="AI230:AK230"/>
    <mergeCell ref="V250:X251"/>
    <mergeCell ref="V243:X243"/>
    <mergeCell ref="V244:X244"/>
    <mergeCell ref="V245:X245"/>
    <mergeCell ref="Y172:Z172"/>
    <mergeCell ref="AH250:AH251"/>
    <mergeCell ref="V224:X224"/>
    <mergeCell ref="V223:X223"/>
    <mergeCell ref="AI235:AK235"/>
    <mergeCell ref="AI240:AK240"/>
    <mergeCell ref="T103:U103"/>
    <mergeCell ref="O300:P300"/>
    <mergeCell ref="V445:V447"/>
    <mergeCell ref="V448:V450"/>
    <mergeCell ref="V439:V441"/>
    <mergeCell ref="AC448:AH450"/>
    <mergeCell ref="V442:V444"/>
    <mergeCell ref="BV10:BW10"/>
    <mergeCell ref="CS28:DE29"/>
    <mergeCell ref="DF28:DF29"/>
    <mergeCell ref="BG29:BH29"/>
    <mergeCell ref="BJ29:BK29"/>
    <mergeCell ref="BM29:BN29"/>
    <mergeCell ref="BP29:BQ29"/>
    <mergeCell ref="BS29:BT29"/>
    <mergeCell ref="BV29:BW29"/>
    <mergeCell ref="CL52:CL83"/>
    <mergeCell ref="CQ14:CQ15"/>
    <mergeCell ref="AI237:AK237"/>
    <mergeCell ref="AI238:AK238"/>
    <mergeCell ref="AI250:AK251"/>
    <mergeCell ref="AM123:AR123"/>
    <mergeCell ref="CS30:DA41"/>
    <mergeCell ref="DB30:DB41"/>
    <mergeCell ref="DC30:DF41"/>
    <mergeCell ref="CR52:CR68"/>
    <mergeCell ref="Z99:AA99"/>
    <mergeCell ref="AC89:AH89"/>
    <mergeCell ref="Z91:AA91"/>
    <mergeCell ref="V238:X238"/>
    <mergeCell ref="AI252:AK252"/>
    <mergeCell ref="AI253:AK253"/>
    <mergeCell ref="V260:X261"/>
    <mergeCell ref="V256:X257"/>
    <mergeCell ref="T107:U107"/>
    <mergeCell ref="T111:U111"/>
    <mergeCell ref="T113:U113"/>
    <mergeCell ref="T114:U114"/>
    <mergeCell ref="Z97:AA97"/>
    <mergeCell ref="AK90:AL90"/>
    <mergeCell ref="AD87:AG87"/>
    <mergeCell ref="T87:U87"/>
    <mergeCell ref="V86:AA86"/>
    <mergeCell ref="T221:T222"/>
    <mergeCell ref="T239:T242"/>
    <mergeCell ref="AI239:AK239"/>
    <mergeCell ref="AI226:AK226"/>
    <mergeCell ref="AI227:AK227"/>
    <mergeCell ref="AI228:AK228"/>
    <mergeCell ref="T223:T230"/>
    <mergeCell ref="V225:X225"/>
    <mergeCell ref="T231:T238"/>
    <mergeCell ref="AI233:AK233"/>
    <mergeCell ref="AK144:AL144"/>
    <mergeCell ref="AI223:AK223"/>
    <mergeCell ref="AI224:AK224"/>
    <mergeCell ref="AI225:AK225"/>
    <mergeCell ref="AL115:AL119"/>
    <mergeCell ref="V104:AA104"/>
    <mergeCell ref="V111:AA111"/>
    <mergeCell ref="AK121:AL121"/>
    <mergeCell ref="AK141:AL141"/>
    <mergeCell ref="AD101:AG101"/>
    <mergeCell ref="Z98:AA98"/>
    <mergeCell ref="T110:U110"/>
    <mergeCell ref="Y171:AD171"/>
    <mergeCell ref="V252:X252"/>
    <mergeCell ref="AC442:AH444"/>
    <mergeCell ref="V436:V438"/>
    <mergeCell ref="AR399:AS399"/>
    <mergeCell ref="AC439:AH441"/>
    <mergeCell ref="X330:AC342"/>
    <mergeCell ref="X327:AB329"/>
    <mergeCell ref="AH432:AH433"/>
    <mergeCell ref="W435:AB435"/>
    <mergeCell ref="DJ12:DK12"/>
    <mergeCell ref="DH52:DH68"/>
    <mergeCell ref="U260:U261"/>
    <mergeCell ref="U250:U251"/>
    <mergeCell ref="AN154:AQ154"/>
    <mergeCell ref="U256:U257"/>
    <mergeCell ref="AU154:AX154"/>
    <mergeCell ref="AK122:AL122"/>
    <mergeCell ref="AD102:AG102"/>
    <mergeCell ref="AK103:AL103"/>
    <mergeCell ref="AK105:AL105"/>
    <mergeCell ref="AG222:AG224"/>
    <mergeCell ref="U221:U222"/>
    <mergeCell ref="AK143:AL143"/>
    <mergeCell ref="V229:X229"/>
    <mergeCell ref="AL156:AL164"/>
    <mergeCell ref="AK155:AL155"/>
    <mergeCell ref="AL145:AL152"/>
    <mergeCell ref="AI174:AL174"/>
    <mergeCell ref="V221:AR221"/>
    <mergeCell ref="AI231:AK231"/>
    <mergeCell ref="AK154:AL154"/>
    <mergeCell ref="AU112:AX112"/>
    <mergeCell ref="AT123:AY123"/>
    <mergeCell ref="AN112:AQ112"/>
    <mergeCell ref="T109:U109"/>
    <mergeCell ref="W109:Z109"/>
    <mergeCell ref="AL124:AL139"/>
    <mergeCell ref="M89:O90"/>
    <mergeCell ref="Q61:Q63"/>
    <mergeCell ref="AM86:AR86"/>
    <mergeCell ref="AI86:AI89"/>
    <mergeCell ref="AN102:AQ102"/>
    <mergeCell ref="AK112:AL112"/>
    <mergeCell ref="AN88:AQ88"/>
    <mergeCell ref="AK87:AL87"/>
    <mergeCell ref="V89:AA89"/>
    <mergeCell ref="T91:U91"/>
    <mergeCell ref="T92:U92"/>
    <mergeCell ref="T89:U89"/>
    <mergeCell ref="V91:X91"/>
    <mergeCell ref="V92:X92"/>
    <mergeCell ref="AU102:AX102"/>
    <mergeCell ref="AM104:AR104"/>
    <mergeCell ref="O97:Q97"/>
    <mergeCell ref="L88:N88"/>
    <mergeCell ref="O88:P88"/>
    <mergeCell ref="AC90:AE90"/>
    <mergeCell ref="AA73:AC73"/>
    <mergeCell ref="AC86:AH86"/>
    <mergeCell ref="T102:U102"/>
    <mergeCell ref="AK113:AL113"/>
    <mergeCell ref="V97:Y97"/>
    <mergeCell ref="T99:U99"/>
    <mergeCell ref="V96:AA96"/>
    <mergeCell ref="N9:O9"/>
    <mergeCell ref="AD51:AE51"/>
    <mergeCell ref="AD52:AE52"/>
    <mergeCell ref="AD50:AI50"/>
    <mergeCell ref="T105:U105"/>
    <mergeCell ref="W94:Z94"/>
    <mergeCell ref="T94:U94"/>
    <mergeCell ref="AK102:AL102"/>
    <mergeCell ref="T97:U97"/>
    <mergeCell ref="AK123:AL123"/>
    <mergeCell ref="T88:U88"/>
    <mergeCell ref="U52:X52"/>
    <mergeCell ref="V90:X90"/>
    <mergeCell ref="T90:U90"/>
    <mergeCell ref="N10:O10"/>
    <mergeCell ref="N19:O19"/>
    <mergeCell ref="W87:Z87"/>
    <mergeCell ref="P9:T9"/>
    <mergeCell ref="AK88:AL88"/>
    <mergeCell ref="AF90:AG90"/>
    <mergeCell ref="T95:U95"/>
    <mergeCell ref="N100:Q101"/>
    <mergeCell ref="AD94:AG94"/>
    <mergeCell ref="T112:U112"/>
    <mergeCell ref="U85:AX85"/>
    <mergeCell ref="Y75:AB75"/>
    <mergeCell ref="AE58:AM59"/>
    <mergeCell ref="N28:O28"/>
    <mergeCell ref="N29:O29"/>
    <mergeCell ref="AU87:AX87"/>
    <mergeCell ref="L93:Q94"/>
    <mergeCell ref="Z90:AA90"/>
    <mergeCell ref="L100:L101"/>
    <mergeCell ref="M100:M101"/>
    <mergeCell ref="F98:F99"/>
    <mergeCell ref="F100:F101"/>
    <mergeCell ref="J96:K96"/>
    <mergeCell ref="K221:K224"/>
    <mergeCell ref="K225:K227"/>
    <mergeCell ref="B98:B99"/>
    <mergeCell ref="B223:B229"/>
    <mergeCell ref="AK104:AL104"/>
    <mergeCell ref="D211:D217"/>
    <mergeCell ref="J200:J201"/>
    <mergeCell ref="H203:I203"/>
    <mergeCell ref="K199:K201"/>
    <mergeCell ref="F199:F201"/>
    <mergeCell ref="G199:J199"/>
    <mergeCell ref="H209:I209"/>
    <mergeCell ref="H135:J135"/>
    <mergeCell ref="K138:L138"/>
    <mergeCell ref="K139:L139"/>
    <mergeCell ref="K136:L137"/>
    <mergeCell ref="E136:F137"/>
    <mergeCell ref="J136:J137"/>
    <mergeCell ref="B177:H192"/>
    <mergeCell ref="B199:C201"/>
    <mergeCell ref="H216:I217"/>
    <mergeCell ref="E212:E217"/>
    <mergeCell ref="E135:G135"/>
    <mergeCell ref="H138:I138"/>
    <mergeCell ref="H139:I139"/>
    <mergeCell ref="K140:L140"/>
    <mergeCell ref="M234:O235"/>
    <mergeCell ref="M228:O228"/>
    <mergeCell ref="P229:R229"/>
    <mergeCell ref="P234:R235"/>
    <mergeCell ref="L234:L235"/>
    <mergeCell ref="G230:I230"/>
    <mergeCell ref="M227:O227"/>
    <mergeCell ref="M229:O229"/>
    <mergeCell ref="J176:S176"/>
    <mergeCell ref="P224:R224"/>
    <mergeCell ref="L212:L213"/>
    <mergeCell ref="H210:I210"/>
    <mergeCell ref="F208:I208"/>
    <mergeCell ref="P230:R230"/>
    <mergeCell ref="P225:R225"/>
    <mergeCell ref="L197:L198"/>
    <mergeCell ref="L232:L233"/>
    <mergeCell ref="G227:I227"/>
    <mergeCell ref="CD419:CH420"/>
    <mergeCell ref="BQ419:BU419"/>
    <mergeCell ref="B347:B348"/>
    <mergeCell ref="AT402:AU402"/>
    <mergeCell ref="B364:B366"/>
    <mergeCell ref="B361:B363"/>
    <mergeCell ref="B349:B354"/>
    <mergeCell ref="L416:P416"/>
    <mergeCell ref="E358:K360"/>
    <mergeCell ref="E355:K357"/>
    <mergeCell ref="E352:K354"/>
    <mergeCell ref="E349:K351"/>
    <mergeCell ref="B433:J433"/>
    <mergeCell ref="AC445:AH447"/>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B423:C432"/>
    <mergeCell ref="I419:I421"/>
    <mergeCell ref="G419:G421"/>
    <mergeCell ref="E419:E421"/>
    <mergeCell ref="F419:F421"/>
    <mergeCell ref="BX421:CB433"/>
    <mergeCell ref="H419:H421"/>
    <mergeCell ref="B434:J435"/>
    <mergeCell ref="W434:AH434"/>
    <mergeCell ref="V434:V435"/>
    <mergeCell ref="AV396:AX396"/>
    <mergeCell ref="AQ396:AU397"/>
    <mergeCell ref="AQ395:AW395"/>
    <mergeCell ref="AV397:AX402"/>
    <mergeCell ref="I418:J418"/>
    <mergeCell ref="E417:J417"/>
    <mergeCell ref="AV403:AX403"/>
    <mergeCell ref="BK419:BN419"/>
    <mergeCell ref="BK420:BO426"/>
    <mergeCell ref="J419:J421"/>
    <mergeCell ref="G418:H418"/>
    <mergeCell ref="D419:D422"/>
    <mergeCell ref="D417:D418"/>
    <mergeCell ref="B416:I416"/>
    <mergeCell ref="B419:C422"/>
    <mergeCell ref="B417:C418"/>
    <mergeCell ref="BM434:BU434"/>
    <mergeCell ref="BB419:BH420"/>
    <mergeCell ref="BB421:BI440"/>
    <mergeCell ref="W439:AB441"/>
    <mergeCell ref="CB419:CB420"/>
    <mergeCell ref="BX419:CA420"/>
    <mergeCell ref="BI419:BI420"/>
    <mergeCell ref="T396:AA402"/>
    <mergeCell ref="AB396:AB402"/>
    <mergeCell ref="AC396:AE402"/>
    <mergeCell ref="N396:N402"/>
    <mergeCell ref="W442:AB444"/>
    <mergeCell ref="W445:AB447"/>
    <mergeCell ref="AC436:AH438"/>
    <mergeCell ref="AT398:AU398"/>
    <mergeCell ref="AT399:AU399"/>
    <mergeCell ref="AT403:AU403"/>
    <mergeCell ref="AR403:AS403"/>
    <mergeCell ref="AR402:AS402"/>
    <mergeCell ref="P417:Q417"/>
    <mergeCell ref="P418:Q418"/>
    <mergeCell ref="P419:Q419"/>
    <mergeCell ref="L422:R422"/>
    <mergeCell ref="N420:O420"/>
    <mergeCell ref="D425:D426"/>
    <mergeCell ref="D423:D424"/>
    <mergeCell ref="L423:M424"/>
    <mergeCell ref="L425:M425"/>
    <mergeCell ref="L426:M426"/>
    <mergeCell ref="N423:S423"/>
    <mergeCell ref="P420:Q420"/>
    <mergeCell ref="L418:M418"/>
    <mergeCell ref="L419:M419"/>
    <mergeCell ref="L420:M420"/>
    <mergeCell ref="L417:M417"/>
    <mergeCell ref="N417:O417"/>
    <mergeCell ref="N418:O418"/>
    <mergeCell ref="N419:O419"/>
    <mergeCell ref="AC435:AH435"/>
    <mergeCell ref="V432:AG433"/>
    <mergeCell ref="W436:AB438"/>
    <mergeCell ref="AR439:AV440"/>
    <mergeCell ref="AR441:AW449"/>
    <mergeCell ref="D95:E95"/>
    <mergeCell ref="D93:E94"/>
    <mergeCell ref="F93:F94"/>
    <mergeCell ref="K89:K90"/>
    <mergeCell ref="G88:I88"/>
    <mergeCell ref="O38:R38"/>
    <mergeCell ref="P89:Q90"/>
    <mergeCell ref="C85:P85"/>
    <mergeCell ref="I64:I81"/>
    <mergeCell ref="L86:Q86"/>
    <mergeCell ref="Q64:Q81"/>
    <mergeCell ref="J61:J63"/>
    <mergeCell ref="G86:K86"/>
    <mergeCell ref="B91:B92"/>
    <mergeCell ref="C86:E86"/>
    <mergeCell ref="G91:K92"/>
    <mergeCell ref="L91:L92"/>
    <mergeCell ref="L89:L90"/>
    <mergeCell ref="B61:B63"/>
    <mergeCell ref="C61:C63"/>
    <mergeCell ref="C91:C94"/>
    <mergeCell ref="F91:F92"/>
    <mergeCell ref="D91:E92"/>
    <mergeCell ref="E64:E81"/>
    <mergeCell ref="E61:E63"/>
    <mergeCell ref="B38:B39"/>
    <mergeCell ref="C87:E87"/>
    <mergeCell ref="C89:E90"/>
    <mergeCell ref="B41:B46"/>
    <mergeCell ref="F26:G26"/>
    <mergeCell ref="D33:E33"/>
    <mergeCell ref="H34:I34"/>
    <mergeCell ref="F34:G34"/>
    <mergeCell ref="M91:Q92"/>
    <mergeCell ref="P61:P63"/>
    <mergeCell ref="J32:K32"/>
    <mergeCell ref="C88:E88"/>
    <mergeCell ref="F89:F90"/>
    <mergeCell ref="G89:J90"/>
    <mergeCell ref="G61:G63"/>
    <mergeCell ref="H61:H63"/>
    <mergeCell ref="D27:E27"/>
    <mergeCell ref="L61:L63"/>
    <mergeCell ref="I61:I63"/>
    <mergeCell ref="N61:N63"/>
    <mergeCell ref="O61:O63"/>
    <mergeCell ref="K61:K63"/>
    <mergeCell ref="N34:O34"/>
    <mergeCell ref="N31:O31"/>
    <mergeCell ref="N27:O27"/>
    <mergeCell ref="N30:O30"/>
    <mergeCell ref="N32:O32"/>
    <mergeCell ref="J31:K31"/>
    <mergeCell ref="H33:I33"/>
    <mergeCell ref="C38:K39"/>
    <mergeCell ref="D28:E28"/>
    <mergeCell ref="N20:O20"/>
    <mergeCell ref="N21:O21"/>
    <mergeCell ref="N22:O22"/>
    <mergeCell ref="N33:O33"/>
    <mergeCell ref="G40:G46"/>
    <mergeCell ref="F30:G30"/>
    <mergeCell ref="J34:K34"/>
    <mergeCell ref="B48:G48"/>
    <mergeCell ref="M64:M81"/>
    <mergeCell ref="D61:D63"/>
    <mergeCell ref="D31:E31"/>
    <mergeCell ref="F29:G29"/>
    <mergeCell ref="D34:E34"/>
    <mergeCell ref="M61:M63"/>
    <mergeCell ref="F61:F63"/>
    <mergeCell ref="H25:I25"/>
    <mergeCell ref="J27:K27"/>
    <mergeCell ref="D29:E29"/>
    <mergeCell ref="D30:E30"/>
    <mergeCell ref="L30:M30"/>
    <mergeCell ref="J28:K28"/>
    <mergeCell ref="J29:K29"/>
    <mergeCell ref="F31:G31"/>
    <mergeCell ref="F32:G32"/>
    <mergeCell ref="F25:G25"/>
    <mergeCell ref="L31:M31"/>
    <mergeCell ref="L32:M32"/>
    <mergeCell ref="L34:M34"/>
    <mergeCell ref="N26:O26"/>
    <mergeCell ref="B60:T60"/>
    <mergeCell ref="D32:E32"/>
    <mergeCell ref="L28:M28"/>
    <mergeCell ref="U53:X53"/>
    <mergeCell ref="F24:G24"/>
    <mergeCell ref="J33:K33"/>
    <mergeCell ref="D25:E25"/>
    <mergeCell ref="D26:E26"/>
    <mergeCell ref="F27:G27"/>
    <mergeCell ref="F28:G28"/>
    <mergeCell ref="N23:O23"/>
    <mergeCell ref="N24:O24"/>
    <mergeCell ref="N25:O25"/>
    <mergeCell ref="L24:M24"/>
    <mergeCell ref="L26:M26"/>
    <mergeCell ref="J26:K26"/>
    <mergeCell ref="J24:K24"/>
    <mergeCell ref="L22:M22"/>
    <mergeCell ref="F22:G22"/>
    <mergeCell ref="F23:G23"/>
    <mergeCell ref="F33:G33"/>
    <mergeCell ref="H26:I26"/>
    <mergeCell ref="H27:I27"/>
    <mergeCell ref="D24:E24"/>
    <mergeCell ref="L33:M33"/>
    <mergeCell ref="H31:I31"/>
    <mergeCell ref="H32:I32"/>
    <mergeCell ref="L29:M29"/>
    <mergeCell ref="L27:M27"/>
    <mergeCell ref="H28:I28"/>
    <mergeCell ref="H29:I29"/>
    <mergeCell ref="H30:I30"/>
    <mergeCell ref="J30:K30"/>
    <mergeCell ref="L25:M25"/>
    <mergeCell ref="J25:K25"/>
    <mergeCell ref="H11:I11"/>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D15:E15"/>
    <mergeCell ref="N15:O15"/>
    <mergeCell ref="N16:O16"/>
    <mergeCell ref="N17:O17"/>
    <mergeCell ref="N18:O18"/>
    <mergeCell ref="H18:I18"/>
    <mergeCell ref="J15:K15"/>
    <mergeCell ref="J16:K16"/>
    <mergeCell ref="J17:K17"/>
    <mergeCell ref="J18:K18"/>
    <mergeCell ref="J19:K19"/>
    <mergeCell ref="J20:K20"/>
    <mergeCell ref="L11:M11"/>
    <mergeCell ref="F11:G11"/>
    <mergeCell ref="N280:N281"/>
    <mergeCell ref="E347:K348"/>
    <mergeCell ref="G313:H313"/>
    <mergeCell ref="E309:F309"/>
    <mergeCell ref="B345:J346"/>
    <mergeCell ref="I311:J311"/>
    <mergeCell ref="C307:J307"/>
    <mergeCell ref="B306:I306"/>
    <mergeCell ref="M279:M281"/>
    <mergeCell ref="B279:K279"/>
    <mergeCell ref="B280:B281"/>
    <mergeCell ref="M309:V309"/>
    <mergeCell ref="M327:R328"/>
    <mergeCell ref="G100:G101"/>
    <mergeCell ref="H140:I140"/>
    <mergeCell ref="H136:I137"/>
    <mergeCell ref="U263:U264"/>
    <mergeCell ref="V263:X264"/>
    <mergeCell ref="T252:T257"/>
    <mergeCell ref="J216:J217"/>
    <mergeCell ref="D228:F228"/>
    <mergeCell ref="G214:G215"/>
    <mergeCell ref="G233:I233"/>
    <mergeCell ref="G246:I246"/>
    <mergeCell ref="V246:X246"/>
    <mergeCell ref="V240:X240"/>
    <mergeCell ref="V241:X241"/>
    <mergeCell ref="E246:F246"/>
    <mergeCell ref="V231:X231"/>
    <mergeCell ref="V232:X232"/>
    <mergeCell ref="V226:X226"/>
    <mergeCell ref="B176:G176"/>
    <mergeCell ref="H10:I10"/>
    <mergeCell ref="J10:K10"/>
    <mergeCell ref="L10:M10"/>
    <mergeCell ref="F15:G15"/>
    <mergeCell ref="F16:G16"/>
    <mergeCell ref="F17:G17"/>
    <mergeCell ref="F18:G18"/>
    <mergeCell ref="F19:G19"/>
    <mergeCell ref="L19:M19"/>
    <mergeCell ref="H19:I19"/>
    <mergeCell ref="D11:E11"/>
    <mergeCell ref="J11:K11"/>
    <mergeCell ref="L98:Q99"/>
    <mergeCell ref="G102:G103"/>
    <mergeCell ref="D223:F223"/>
    <mergeCell ref="H206:I206"/>
    <mergeCell ref="E139:F139"/>
    <mergeCell ref="E199:E201"/>
    <mergeCell ref="L38:L39"/>
    <mergeCell ref="D12:E12"/>
    <mergeCell ref="D13:E13"/>
    <mergeCell ref="D14:E14"/>
    <mergeCell ref="D16:E16"/>
    <mergeCell ref="D17:E17"/>
    <mergeCell ref="F13:G13"/>
    <mergeCell ref="F14:G14"/>
    <mergeCell ref="L21:M21"/>
    <mergeCell ref="D19:E19"/>
    <mergeCell ref="D20:E20"/>
    <mergeCell ref="D23:E23"/>
    <mergeCell ref="D18:E18"/>
    <mergeCell ref="H12:I12"/>
    <mergeCell ref="H13:I13"/>
    <mergeCell ref="H14:I14"/>
    <mergeCell ref="J12:K12"/>
    <mergeCell ref="J13:K13"/>
    <mergeCell ref="J14:K14"/>
    <mergeCell ref="L15:M15"/>
    <mergeCell ref="L16:M16"/>
    <mergeCell ref="H16:I16"/>
    <mergeCell ref="H17:I17"/>
    <mergeCell ref="H24:I24"/>
    <mergeCell ref="H15:I15"/>
    <mergeCell ref="D21:E21"/>
    <mergeCell ref="F21:G21"/>
    <mergeCell ref="D22:E22"/>
    <mergeCell ref="L23:M23"/>
    <mergeCell ref="H23:I23"/>
    <mergeCell ref="J22:K22"/>
    <mergeCell ref="H22:I22"/>
    <mergeCell ref="J23:K23"/>
    <mergeCell ref="H21:I21"/>
    <mergeCell ref="J21:K21"/>
    <mergeCell ref="F12:G12"/>
    <mergeCell ref="L18:M18"/>
    <mergeCell ref="C358:D360"/>
    <mergeCell ref="C361:D363"/>
    <mergeCell ref="E361:K363"/>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B355:B357"/>
    <mergeCell ref="J327:J328"/>
    <mergeCell ref="I312:J312"/>
    <mergeCell ref="I313:J313"/>
    <mergeCell ref="B329:J339"/>
    <mergeCell ref="B327:I328"/>
    <mergeCell ref="G310:H310"/>
    <mergeCell ref="G311:H311"/>
    <mergeCell ref="B307:B309"/>
    <mergeCell ref="C308:F308"/>
    <mergeCell ref="C349:D351"/>
    <mergeCell ref="C352:D354"/>
    <mergeCell ref="C347:D348"/>
    <mergeCell ref="G239:I239"/>
    <mergeCell ref="D231:F231"/>
    <mergeCell ref="B238:B241"/>
    <mergeCell ref="K228:K231"/>
    <mergeCell ref="D232:F232"/>
    <mergeCell ref="K232:K235"/>
    <mergeCell ref="C355:D357"/>
    <mergeCell ref="G231:I231"/>
    <mergeCell ref="G232:I232"/>
    <mergeCell ref="B230:B237"/>
    <mergeCell ref="D229:F229"/>
    <mergeCell ref="G238:I238"/>
    <mergeCell ref="J221:J241"/>
    <mergeCell ref="G223:I223"/>
    <mergeCell ref="G224:I224"/>
    <mergeCell ref="G222:I222"/>
    <mergeCell ref="G225:I225"/>
    <mergeCell ref="G226:I226"/>
    <mergeCell ref="K236:K239"/>
    <mergeCell ref="N361:N367"/>
    <mergeCell ref="AK106:AL106"/>
    <mergeCell ref="AK107:AL107"/>
    <mergeCell ref="B93:B94"/>
    <mergeCell ref="H100:H101"/>
    <mergeCell ref="I100:K101"/>
    <mergeCell ref="G93:K94"/>
    <mergeCell ref="F102:F103"/>
    <mergeCell ref="J97:K97"/>
    <mergeCell ref="B102:B103"/>
    <mergeCell ref="C98:E99"/>
    <mergeCell ref="C95:C97"/>
    <mergeCell ref="D96:E96"/>
    <mergeCell ref="G98:K99"/>
    <mergeCell ref="I102:K103"/>
    <mergeCell ref="L102:L103"/>
    <mergeCell ref="O96:Q96"/>
    <mergeCell ref="O95:Q95"/>
    <mergeCell ref="J95:K95"/>
    <mergeCell ref="D97:E97"/>
    <mergeCell ref="W101:Z101"/>
    <mergeCell ref="W102:Z102"/>
    <mergeCell ref="C100:D103"/>
    <mergeCell ref="E100:E101"/>
    <mergeCell ref="E102:E103"/>
    <mergeCell ref="H102:H103"/>
    <mergeCell ref="B220:Q220"/>
    <mergeCell ref="B100:B101"/>
    <mergeCell ref="D222:F222"/>
    <mergeCell ref="D221:I221"/>
    <mergeCell ref="B358:B360"/>
    <mergeCell ref="K345:K346"/>
    <mergeCell ref="P222:R222"/>
    <mergeCell ref="H207:I207"/>
    <mergeCell ref="M102:M103"/>
    <mergeCell ref="M133:M134"/>
    <mergeCell ref="P223:R223"/>
    <mergeCell ref="J177:T184"/>
    <mergeCell ref="D202:D210"/>
    <mergeCell ref="F212:F213"/>
    <mergeCell ref="F216:F217"/>
    <mergeCell ref="F214:F215"/>
    <mergeCell ref="J212:J213"/>
    <mergeCell ref="K212:K213"/>
    <mergeCell ref="B211:C217"/>
    <mergeCell ref="H212:I213"/>
    <mergeCell ref="D199:D201"/>
    <mergeCell ref="B135:B137"/>
    <mergeCell ref="L216:L217"/>
    <mergeCell ref="K214:K215"/>
    <mergeCell ref="G216:G217"/>
    <mergeCell ref="K216:K217"/>
    <mergeCell ref="C135:C137"/>
    <mergeCell ref="E140:F140"/>
    <mergeCell ref="L214:L215"/>
    <mergeCell ref="F211:I211"/>
    <mergeCell ref="J214:J215"/>
    <mergeCell ref="B202:C210"/>
    <mergeCell ref="G136:G137"/>
    <mergeCell ref="K135:M135"/>
    <mergeCell ref="M136:M137"/>
    <mergeCell ref="AK142:AL142"/>
    <mergeCell ref="P236:R237"/>
    <mergeCell ref="G240:I240"/>
    <mergeCell ref="C221:C222"/>
    <mergeCell ref="D230:F230"/>
    <mergeCell ref="D226:F226"/>
    <mergeCell ref="B221:B222"/>
    <mergeCell ref="M222:O222"/>
    <mergeCell ref="M223:O223"/>
    <mergeCell ref="M224:O224"/>
    <mergeCell ref="L238:L239"/>
    <mergeCell ref="M231:O231"/>
    <mergeCell ref="P232:R233"/>
    <mergeCell ref="G228:I228"/>
    <mergeCell ref="G229:I229"/>
    <mergeCell ref="M225:O225"/>
    <mergeCell ref="G236:I236"/>
    <mergeCell ref="G237:I237"/>
    <mergeCell ref="L236:L237"/>
    <mergeCell ref="P227:R227"/>
    <mergeCell ref="M226:O226"/>
    <mergeCell ref="P226:R226"/>
    <mergeCell ref="M230:O230"/>
    <mergeCell ref="M221:O221"/>
    <mergeCell ref="P228:R228"/>
    <mergeCell ref="P221:R221"/>
    <mergeCell ref="B197:K198"/>
    <mergeCell ref="L199:L201"/>
    <mergeCell ref="G200:I200"/>
    <mergeCell ref="H214:I215"/>
    <mergeCell ref="G212:G213"/>
    <mergeCell ref="F205:I205"/>
    <mergeCell ref="AD109:AG109"/>
    <mergeCell ref="T104:U104"/>
    <mergeCell ref="T106:U106"/>
    <mergeCell ref="D233:F233"/>
    <mergeCell ref="D234:F234"/>
    <mergeCell ref="G241:I241"/>
    <mergeCell ref="M238:O239"/>
    <mergeCell ref="D236:F236"/>
    <mergeCell ref="D237:F237"/>
    <mergeCell ref="G234:I234"/>
    <mergeCell ref="G235:I235"/>
    <mergeCell ref="D235:F235"/>
    <mergeCell ref="D224:F224"/>
    <mergeCell ref="D225:F225"/>
    <mergeCell ref="V239:X239"/>
    <mergeCell ref="V233:X233"/>
    <mergeCell ref="V234:X234"/>
    <mergeCell ref="V235:X235"/>
    <mergeCell ref="V236:X236"/>
    <mergeCell ref="V237:X237"/>
    <mergeCell ref="V227:X227"/>
    <mergeCell ref="V228:X228"/>
    <mergeCell ref="V230:X230"/>
    <mergeCell ref="P231:R231"/>
    <mergeCell ref="M236:O237"/>
    <mergeCell ref="D227:F227"/>
    <mergeCell ref="D135:D137"/>
    <mergeCell ref="E138:F138"/>
    <mergeCell ref="B133:L134"/>
    <mergeCell ref="F202:I202"/>
    <mergeCell ref="E208:E210"/>
    <mergeCell ref="H204:I204"/>
    <mergeCell ref="CG298:CH298"/>
    <mergeCell ref="CG299:CH299"/>
    <mergeCell ref="DE298:DF298"/>
    <mergeCell ref="DE299:DF299"/>
    <mergeCell ref="DE300:DF300"/>
    <mergeCell ref="DE301:DF301"/>
    <mergeCell ref="AH260:AH261"/>
    <mergeCell ref="Y279:Y281"/>
    <mergeCell ref="O281:X281"/>
    <mergeCell ref="P238:R239"/>
    <mergeCell ref="AH263:AH264"/>
    <mergeCell ref="AI256:AK257"/>
    <mergeCell ref="AI258:AK259"/>
    <mergeCell ref="AI260:AK261"/>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43:AK243"/>
    <mergeCell ref="AI244:AK244"/>
    <mergeCell ref="U248:U249"/>
    <mergeCell ref="V248:X249"/>
    <mergeCell ref="CG300:CH300"/>
    <mergeCell ref="BU304:BV304"/>
    <mergeCell ref="AI245:AK245"/>
    <mergeCell ref="AI229:AK229"/>
    <mergeCell ref="AI232:AK232"/>
    <mergeCell ref="AY304:BE305"/>
    <mergeCell ref="DJ296:DM307"/>
    <mergeCell ref="CR297:CT297"/>
    <mergeCell ref="CX314:DA324"/>
    <mergeCell ref="CF315:CH315"/>
    <mergeCell ref="DJ330:DM341"/>
    <mergeCell ref="DE318:DF318"/>
    <mergeCell ref="DE319:DF319"/>
    <mergeCell ref="DE320:DF320"/>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CS298:CT298"/>
    <mergeCell ref="CS299:CT299"/>
    <mergeCell ref="CS300:CT300"/>
    <mergeCell ref="CS301:CT301"/>
    <mergeCell ref="CS302:CT302"/>
    <mergeCell ref="CS303:CT303"/>
    <mergeCell ref="DD366:DE366"/>
    <mergeCell ref="DD367:DE367"/>
    <mergeCell ref="DJ314:DM325"/>
    <mergeCell ref="DD315:DF315"/>
    <mergeCell ref="CG350:CH350"/>
    <mergeCell ref="CG351:CH351"/>
    <mergeCell ref="CG352:CH352"/>
    <mergeCell ref="CG353:CH353"/>
    <mergeCell ref="DE335:DF335"/>
    <mergeCell ref="DE336:DF336"/>
    <mergeCell ref="DE337:DF337"/>
    <mergeCell ref="DD331:DF331"/>
    <mergeCell ref="DK348:DN354"/>
    <mergeCell ref="CG364:CH364"/>
    <mergeCell ref="CG365:CH365"/>
    <mergeCell ref="CG366:CH366"/>
    <mergeCell ref="DI362:DL368"/>
    <mergeCell ref="CX330:DA341"/>
    <mergeCell ref="CR315:CT315"/>
    <mergeCell ref="CR331:CT331"/>
    <mergeCell ref="CS364:CT364"/>
    <mergeCell ref="CS365:CT365"/>
    <mergeCell ref="CS366:CT366"/>
    <mergeCell ref="DE333:DF333"/>
    <mergeCell ref="DE334:DF334"/>
    <mergeCell ref="CG354:CH354"/>
    <mergeCell ref="CG333:CH333"/>
    <mergeCell ref="DD349:DF349"/>
    <mergeCell ref="DE316:DF316"/>
    <mergeCell ref="DE317:DF317"/>
    <mergeCell ref="CG316:CH316"/>
    <mergeCell ref="DD365:DE365"/>
    <mergeCell ref="CX375:DA385"/>
    <mergeCell ref="CX362:CZ372"/>
    <mergeCell ref="CL348:CO358"/>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DD364:DE364"/>
    <mergeCell ref="CS350:CT350"/>
    <mergeCell ref="CS351:CT351"/>
    <mergeCell ref="CS352:CT352"/>
    <mergeCell ref="CS353:CT353"/>
    <mergeCell ref="CG377:CH377"/>
    <mergeCell ref="CG378:CH378"/>
    <mergeCell ref="CG379:CH379"/>
    <mergeCell ref="CG380:CH380"/>
    <mergeCell ref="CF363:CH363"/>
    <mergeCell ref="CF376:CH376"/>
    <mergeCell ref="CM375:CO384"/>
    <mergeCell ref="CS355:CT355"/>
    <mergeCell ref="CR349:CT349"/>
    <mergeCell ref="CF349:CH349"/>
    <mergeCell ref="CF331:CH331"/>
    <mergeCell ref="CG336:CH336"/>
    <mergeCell ref="CG337:CH337"/>
    <mergeCell ref="CG334:CH334"/>
    <mergeCell ref="CG335:CH335"/>
    <mergeCell ref="CS337:CT337"/>
    <mergeCell ref="CS316:CT316"/>
    <mergeCell ref="CS317:CT317"/>
    <mergeCell ref="CS318:CT318"/>
    <mergeCell ref="CS319:CT319"/>
    <mergeCell ref="CS320:CT320"/>
    <mergeCell ref="CS321:CT321"/>
    <mergeCell ref="CG332:CH332"/>
    <mergeCell ref="CS354:CT354"/>
    <mergeCell ref="CG320:CH320"/>
    <mergeCell ref="CG321:CH321"/>
    <mergeCell ref="CG322:CH322"/>
    <mergeCell ref="CL314:CO325"/>
    <mergeCell ref="CL330:CO341"/>
    <mergeCell ref="CG317:CH317"/>
    <mergeCell ref="CG318:CH318"/>
    <mergeCell ref="CG319:CH319"/>
    <mergeCell ref="V455:AH456"/>
    <mergeCell ref="W451:AB453"/>
    <mergeCell ref="V451:V453"/>
    <mergeCell ref="AW439:AW440"/>
    <mergeCell ref="CI419:CI420"/>
    <mergeCell ref="CD421:CI432"/>
    <mergeCell ref="BQ420:BV429"/>
    <mergeCell ref="V454:AH45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V371:BW371"/>
    <mergeCell ref="BU365:BY365"/>
    <mergeCell ref="BY366:BZ366"/>
    <mergeCell ref="BY367:BZ367"/>
    <mergeCell ref="BY368:BZ368"/>
    <mergeCell ref="BY369:BZ369"/>
    <mergeCell ref="BY370:BZ370"/>
    <mergeCell ref="BM435:BV448"/>
    <mergeCell ref="BG374:BI374"/>
    <mergeCell ref="BG375:BI375"/>
    <mergeCell ref="BG376:BI376"/>
    <mergeCell ref="BG377:BI377"/>
    <mergeCell ref="BG378:BI378"/>
    <mergeCell ref="BG379:BI379"/>
    <mergeCell ref="BG380:BI380"/>
    <mergeCell ref="BG381:BI381"/>
    <mergeCell ref="BG366:BI366"/>
    <mergeCell ref="BG367:BI367"/>
    <mergeCell ref="BG368:BI368"/>
    <mergeCell ref="BG369:BI369"/>
    <mergeCell ref="BW305:BX305"/>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CR73:CR89"/>
    <mergeCell ref="CV73:CV89"/>
    <mergeCell ref="CZ73:CZ89"/>
    <mergeCell ref="DD73:DD89"/>
    <mergeCell ref="DH73:DH89"/>
    <mergeCell ref="CO50:DJ50"/>
    <mergeCell ref="CO71:DJ71"/>
    <mergeCell ref="FG23:FL23"/>
    <mergeCell ref="FG24:FL24"/>
    <mergeCell ref="FG25:FL25"/>
    <mergeCell ref="FG26:FL26"/>
    <mergeCell ref="FG27:FL27"/>
    <mergeCell ref="FG28:FL28"/>
    <mergeCell ref="FG29:FL29"/>
    <mergeCell ref="DC16:DF26"/>
    <mergeCell ref="AA2:AC2"/>
    <mergeCell ref="AX55:BE55"/>
    <mergeCell ref="AY56:BE58"/>
    <mergeCell ref="AD53:AE55"/>
    <mergeCell ref="AN58:AN59"/>
    <mergeCell ref="CV52:CV68"/>
    <mergeCell ref="DD52:DD68"/>
    <mergeCell ref="BB59:BD59"/>
    <mergeCell ref="U54:X54"/>
    <mergeCell ref="CJ14:CP15"/>
    <mergeCell ref="AT86:AY86"/>
    <mergeCell ref="AS86:AS89"/>
    <mergeCell ref="AU88:AX88"/>
    <mergeCell ref="AR34:AX34"/>
    <mergeCell ref="BM10:BN10"/>
    <mergeCell ref="FG22:FL22"/>
    <mergeCell ref="CZ52:CZ68"/>
    <mergeCell ref="R61:U65"/>
    <mergeCell ref="AE60:AN70"/>
    <mergeCell ref="AN87:AQ87"/>
    <mergeCell ref="AZ337:BD339"/>
    <mergeCell ref="B2:M3"/>
    <mergeCell ref="O2:Q2"/>
    <mergeCell ref="O3:Q3"/>
    <mergeCell ref="F9:G9"/>
    <mergeCell ref="AK92:AL92"/>
    <mergeCell ref="AK93:AL93"/>
    <mergeCell ref="AK114:AL114"/>
    <mergeCell ref="AI234:AK234"/>
    <mergeCell ref="AU121:AX121"/>
    <mergeCell ref="AI247:AK247"/>
    <mergeCell ref="AI248:AK249"/>
    <mergeCell ref="AK326:AP326"/>
    <mergeCell ref="AI262:AK262"/>
    <mergeCell ref="AI263:AK264"/>
    <mergeCell ref="AN142:AQ142"/>
    <mergeCell ref="AU142:AX142"/>
    <mergeCell ref="AS141:AS144"/>
    <mergeCell ref="AI241:AK241"/>
    <mergeCell ref="AW304:AX305"/>
    <mergeCell ref="AN121:AQ121"/>
    <mergeCell ref="AN141:AQ141"/>
    <mergeCell ref="AU141:AX141"/>
    <mergeCell ref="T247:T251"/>
    <mergeCell ref="V253:X253"/>
    <mergeCell ref="U254:U255"/>
    <mergeCell ref="V254:X255"/>
    <mergeCell ref="B245:H245"/>
    <mergeCell ref="D238:F238"/>
    <mergeCell ref="D239:F239"/>
    <mergeCell ref="D240:F240"/>
    <mergeCell ref="D241:F241"/>
    <mergeCell ref="T347:AA347"/>
    <mergeCell ref="T348:AA353"/>
    <mergeCell ref="AC347:AE353"/>
    <mergeCell ref="AF350:AG353"/>
    <mergeCell ref="T354:AA360"/>
    <mergeCell ref="AF348:AF349"/>
    <mergeCell ref="AG348:AG349"/>
    <mergeCell ref="AU336:AY336"/>
    <mergeCell ref="AU337:AY339"/>
    <mergeCell ref="AU340:AY342"/>
    <mergeCell ref="AB354:AB360"/>
    <mergeCell ref="AC354:AE360"/>
    <mergeCell ref="N354:N360"/>
    <mergeCell ref="P345:P346"/>
    <mergeCell ref="V345:AF346"/>
    <mergeCell ref="Q345:U346"/>
    <mergeCell ref="R351:S351"/>
    <mergeCell ref="AI254:AK255"/>
    <mergeCell ref="AH254:AH255"/>
    <mergeCell ref="AI242:AK242"/>
    <mergeCell ref="AF376:AF377"/>
    <mergeCell ref="N368:N374"/>
    <mergeCell ref="AG355:AG356"/>
    <mergeCell ref="AF357:AG360"/>
    <mergeCell ref="T375:AA381"/>
    <mergeCell ref="AB375:AB381"/>
    <mergeCell ref="O350:P350"/>
    <mergeCell ref="N345:O346"/>
    <mergeCell ref="O348:P348"/>
    <mergeCell ref="O349:P349"/>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O352:P352"/>
    <mergeCell ref="O347:S347"/>
    <mergeCell ref="O353:P353"/>
    <mergeCell ref="N348:N353"/>
    <mergeCell ref="AB348:AB353"/>
    <mergeCell ref="O351:P351"/>
    <mergeCell ref="AC361:AE367"/>
    <mergeCell ref="AF355:AF356"/>
    <mergeCell ref="O299:P299"/>
    <mergeCell ref="BK306:BL306"/>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AB403:AB406"/>
    <mergeCell ref="AC389:AE395"/>
    <mergeCell ref="AC403:AE406"/>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Z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AN105:AO105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46"/>
  <sheetViews>
    <sheetView topLeftCell="A8" zoomScale="40" zoomScaleNormal="40" workbookViewId="0">
      <selection activeCell="AB29" sqref="AB29"/>
    </sheetView>
  </sheetViews>
  <sheetFormatPr defaultRowHeight="48" customHeight="1"/>
  <cols>
    <col min="24" max="24" width="11.57031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расчетов'!AW16</f>
        <v>2</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438</v>
      </c>
      <c r="AM12" s="15"/>
      <c r="AN12" s="15"/>
      <c r="AO12" s="15"/>
      <c r="AP12" s="15" t="s">
        <v>435</v>
      </c>
      <c r="AQ12" s="15"/>
      <c r="AR12" s="15"/>
      <c r="AS12" s="15"/>
      <c r="AT12" s="15"/>
      <c r="AU12" s="76" t="s">
        <v>439</v>
      </c>
      <c r="AV12" s="15"/>
      <c r="AW12" s="20"/>
      <c r="AX12" s="15"/>
      <c r="AY12" s="15"/>
      <c r="AZ12" s="15"/>
      <c r="BA12" s="15"/>
      <c r="BB12" s="15"/>
      <c r="BC12" s="15"/>
      <c r="BD12" s="15"/>
      <c r="BE12" s="15"/>
      <c r="BF12" s="84" t="s">
        <v>729</v>
      </c>
      <c r="BG12" s="15"/>
      <c r="BH12" s="73" t="s">
        <v>465</v>
      </c>
      <c r="BI12" s="15"/>
      <c r="BJ12" s="73" t="s">
        <v>465</v>
      </c>
      <c r="BK12" s="15"/>
      <c r="BL12" s="66" t="s">
        <v>477</v>
      </c>
      <c r="BM12" s="15"/>
      <c r="BN12" s="67" t="s">
        <v>467</v>
      </c>
      <c r="BO12" s="15"/>
      <c r="BP12" s="66" t="s">
        <v>466</v>
      </c>
      <c r="BQ12" s="15"/>
      <c r="BR12" s="66" t="s">
        <v>471</v>
      </c>
      <c r="BS12" s="15"/>
      <c r="BT12" s="66" t="s">
        <v>476</v>
      </c>
      <c r="BU12" s="15"/>
      <c r="BV12" s="66" t="s">
        <v>468</v>
      </c>
      <c r="BX12" s="84" t="s">
        <v>745</v>
      </c>
    </row>
    <row r="13" spans="13:117" ht="48" customHeight="1">
      <c r="M13" s="15"/>
      <c r="N13" s="15"/>
      <c r="O13" s="15"/>
      <c r="P13" s="15"/>
      <c r="Q13" s="15"/>
      <c r="R13" s="15"/>
      <c r="S13" s="15"/>
      <c r="T13" s="15"/>
      <c r="U13" s="1836" t="s">
        <v>1</v>
      </c>
      <c r="V13" s="1836"/>
      <c r="W13" s="1836"/>
      <c r="X13" s="54">
        <v>25000</v>
      </c>
      <c r="Y13" s="15"/>
      <c r="Z13" s="15"/>
      <c r="AA13" s="15"/>
      <c r="AB13" s="15"/>
      <c r="AC13" s="15" t="s">
        <v>441</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1836" t="s">
        <v>445</v>
      </c>
      <c r="V14" s="1836"/>
      <c r="W14" s="1836"/>
      <c r="X14" s="54">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1836" t="s">
        <v>9</v>
      </c>
      <c r="V15" s="1836"/>
      <c r="W15" s="1836"/>
      <c r="X15" s="54">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58"/>
      <c r="BX15" s="158"/>
      <c r="BY15" s="158"/>
      <c r="BZ15" s="158"/>
      <c r="CA15" s="158"/>
      <c r="CB15" s="158"/>
      <c r="CC15" s="158"/>
      <c r="CD15" s="158"/>
      <c r="CE15" s="158"/>
      <c r="CF15" s="158"/>
      <c r="CG15" s="158"/>
      <c r="CH15" s="158"/>
      <c r="CI15" s="158"/>
      <c r="CJ15" s="158"/>
      <c r="CK15" s="158"/>
      <c r="CL15" s="158"/>
      <c r="CM15" s="158"/>
      <c r="CN15" s="158"/>
      <c r="CO15" s="158"/>
      <c r="CP15" s="158"/>
      <c r="CQ15" s="158"/>
      <c r="CR15" s="158"/>
      <c r="CS15" s="158"/>
      <c r="CT15" s="158"/>
      <c r="CU15" s="158"/>
      <c r="CV15" s="158"/>
      <c r="CW15" s="158"/>
      <c r="CX15" s="158"/>
      <c r="CY15" s="158"/>
      <c r="CZ15" s="158"/>
      <c r="DA15" s="158"/>
      <c r="DB15" s="158"/>
      <c r="DC15" s="158"/>
      <c r="DD15" s="158"/>
      <c r="DE15" s="158"/>
      <c r="DF15" s="158"/>
      <c r="DG15" s="158"/>
      <c r="DH15" s="158"/>
      <c r="DI15" s="158"/>
      <c r="DJ15" s="158"/>
      <c r="DK15" s="158"/>
      <c r="DL15" s="158"/>
      <c r="DM15" s="158"/>
    </row>
    <row r="16" spans="13:117" ht="48" customHeight="1">
      <c r="M16" s="15"/>
      <c r="N16" s="15"/>
      <c r="O16" s="15"/>
      <c r="P16" s="15"/>
      <c r="Q16" s="15"/>
      <c r="R16" s="15"/>
      <c r="S16" s="15"/>
      <c r="T16" s="15"/>
      <c r="U16" s="1836" t="s">
        <v>443</v>
      </c>
      <c r="V16" s="1836"/>
      <c r="W16" s="1836"/>
      <c r="X16" s="40">
        <f xml:space="preserve">
IF(X23&gt;11,12,
IF(X23&gt;9,10,
IF(X23&gt;7,8,
IF(X23&gt;5,6,
IF(X23&gt;3,4,
IF(X23&lt;3,2,
CONCATENATE("Введна недопутимая частота вращения или частота тока")
))))))</f>
        <v>2</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58"/>
      <c r="BX16" s="158"/>
      <c r="BY16" s="158"/>
      <c r="BZ16" s="158"/>
      <c r="CA16" s="158"/>
      <c r="CB16" s="158"/>
      <c r="CC16" s="158"/>
      <c r="CD16" s="158"/>
      <c r="CE16" s="158"/>
      <c r="CF16" s="158"/>
      <c r="CG16" s="158"/>
      <c r="CH16" s="158"/>
      <c r="CI16" s="158"/>
      <c r="CJ16" s="158"/>
      <c r="CK16" s="158"/>
      <c r="CL16" s="158"/>
      <c r="CM16" s="158"/>
      <c r="CN16" s="158"/>
      <c r="CO16" s="158"/>
      <c r="CP16" s="158"/>
      <c r="CQ16" s="158"/>
      <c r="CR16" s="158"/>
      <c r="CS16" s="158"/>
      <c r="CT16" s="158"/>
      <c r="CU16" s="158"/>
      <c r="CV16" s="158"/>
      <c r="CW16" s="158"/>
      <c r="CX16" s="158"/>
      <c r="CY16" s="158"/>
      <c r="CZ16" s="158"/>
      <c r="DA16" s="158"/>
      <c r="DB16" s="158"/>
      <c r="DC16" s="158"/>
      <c r="DD16" s="158"/>
      <c r="DE16" s="158"/>
      <c r="DF16" s="158"/>
      <c r="DG16" s="158"/>
      <c r="DH16" s="158"/>
      <c r="DI16" s="158"/>
      <c r="DJ16" s="158"/>
      <c r="DK16" s="158"/>
      <c r="DL16" s="158"/>
      <c r="DM16" s="158"/>
    </row>
    <row r="17" spans="13:117" ht="48" customHeight="1" thickBot="1">
      <c r="M17" s="15"/>
      <c r="N17" s="15"/>
      <c r="O17" s="15"/>
      <c r="P17" s="15"/>
      <c r="Q17" s="15"/>
      <c r="R17" s="15"/>
      <c r="S17" s="15"/>
      <c r="T17" s="15"/>
      <c r="U17" s="1836" t="s">
        <v>443</v>
      </c>
      <c r="V17" s="1836"/>
      <c r="W17" s="1836"/>
      <c r="X17" s="54">
        <f>IF(X16="Введна недопутимая частота вращения или частота тока",0,X16)</f>
        <v>2</v>
      </c>
      <c r="Y17" s="15"/>
      <c r="Z17" s="1835" t="s">
        <v>1</v>
      </c>
      <c r="AA17" s="1835"/>
      <c r="AB17" s="1835"/>
      <c r="AC17" s="1835"/>
      <c r="AD17" s="38">
        <f>'Ввод значений статус решения'!X21</f>
        <v>30000</v>
      </c>
      <c r="AE17" s="34"/>
      <c r="AF17" s="34"/>
      <c r="AG17" s="34"/>
      <c r="AH17" s="34"/>
      <c r="AI17" s="34"/>
      <c r="AJ17" s="1825"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1826"/>
      <c r="AL17" s="1826"/>
      <c r="AM17" s="1826"/>
      <c r="AN17" s="1826"/>
      <c r="AO17" s="1826"/>
      <c r="AP17" s="1826"/>
      <c r="AQ17" s="1827"/>
      <c r="AR17" s="42"/>
      <c r="AS17" s="39"/>
      <c r="AT17" s="39"/>
      <c r="AU17" s="39"/>
      <c r="AV17" s="15"/>
      <c r="AW17" s="20"/>
      <c r="BF17" s="15"/>
      <c r="BG17" s="15"/>
      <c r="BH17" s="15"/>
      <c r="BI17" s="15"/>
      <c r="BJ17" s="15"/>
      <c r="BK17" s="15"/>
      <c r="BL17" s="15"/>
      <c r="BM17" s="15"/>
      <c r="BN17" s="15"/>
      <c r="BO17" s="15"/>
      <c r="BP17" s="15"/>
      <c r="BQ17" s="15"/>
      <c r="BR17" s="15"/>
      <c r="BS17" s="15"/>
      <c r="BT17" s="15"/>
      <c r="BU17" s="15"/>
      <c r="BW17" s="158"/>
      <c r="BX17" s="158"/>
      <c r="BY17" s="158"/>
      <c r="BZ17" s="158"/>
      <c r="CA17" s="158"/>
      <c r="CB17" s="158"/>
      <c r="CC17" s="158"/>
      <c r="CD17" s="158"/>
      <c r="CE17" s="158"/>
      <c r="CF17" s="158"/>
      <c r="CG17" s="158"/>
      <c r="CH17" s="158"/>
      <c r="CI17" s="158"/>
      <c r="CJ17" s="158"/>
      <c r="CK17" s="158"/>
      <c r="CL17" s="158"/>
      <c r="CM17" s="158"/>
      <c r="CN17" s="158"/>
      <c r="CO17" s="158"/>
      <c r="CP17" s="158"/>
      <c r="CQ17" s="158"/>
      <c r="CR17" s="158"/>
      <c r="CS17" s="158"/>
      <c r="CT17" s="158"/>
      <c r="CU17" s="158"/>
      <c r="CV17" s="158"/>
      <c r="CW17" s="158"/>
      <c r="CX17" s="158"/>
      <c r="CY17" s="158"/>
      <c r="CZ17" s="158"/>
      <c r="DA17" s="158"/>
      <c r="DB17" s="158"/>
      <c r="DC17" s="158"/>
      <c r="DD17" s="158"/>
      <c r="DE17" s="158"/>
      <c r="DF17" s="158"/>
      <c r="DG17" s="158"/>
      <c r="DH17" s="158"/>
      <c r="DI17" s="158"/>
      <c r="DJ17" s="158"/>
      <c r="DK17" s="158"/>
      <c r="DL17" s="158"/>
      <c r="DM17" s="158"/>
    </row>
    <row r="18" spans="13:117" ht="48" customHeight="1">
      <c r="M18" s="15"/>
      <c r="N18" s="15"/>
      <c r="O18" s="15"/>
      <c r="P18" s="15"/>
      <c r="Q18" s="15"/>
      <c r="R18" s="15"/>
      <c r="S18" s="15"/>
      <c r="T18" s="15"/>
      <c r="U18" s="15"/>
      <c r="V18" s="15"/>
      <c r="W18" s="15"/>
      <c r="X18" s="15"/>
      <c r="Y18" s="15"/>
      <c r="Z18" s="1836" t="s">
        <v>444</v>
      </c>
      <c r="AA18" s="1836"/>
      <c r="AB18" s="1836"/>
      <c r="AC18" s="1836"/>
      <c r="AD18" s="51">
        <v>3600</v>
      </c>
      <c r="AE18" s="51">
        <v>3000</v>
      </c>
      <c r="AF18" s="51">
        <v>1800</v>
      </c>
      <c r="AG18" s="51">
        <v>1500</v>
      </c>
      <c r="AH18" s="52"/>
      <c r="AI18" s="43"/>
      <c r="AJ18" s="43"/>
      <c r="AK18" s="44"/>
      <c r="AL18" s="44"/>
      <c r="AM18" s="44"/>
      <c r="AN18" s="44"/>
      <c r="AO18" s="44"/>
      <c r="AP18" s="44"/>
      <c r="AQ18" s="44"/>
      <c r="AR18" s="45"/>
      <c r="AS18" s="33"/>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58"/>
      <c r="BX18" s="158"/>
      <c r="BY18" s="158"/>
      <c r="BZ18" s="158"/>
      <c r="CA18" s="158"/>
      <c r="CB18" s="158"/>
      <c r="CC18" s="158"/>
      <c r="CD18" s="158"/>
      <c r="CE18" s="158"/>
      <c r="CF18" s="158"/>
      <c r="CG18" s="158"/>
      <c r="CH18" s="158"/>
      <c r="CI18" s="158"/>
      <c r="CJ18" s="158"/>
      <c r="CK18" s="158"/>
      <c r="CL18" s="158"/>
      <c r="CM18" s="158"/>
      <c r="CN18" s="158"/>
      <c r="CO18" s="158"/>
      <c r="CP18" s="158"/>
      <c r="CQ18" s="158"/>
      <c r="CR18" s="158"/>
      <c r="CS18" s="158"/>
      <c r="CT18" s="158"/>
      <c r="CU18" s="158"/>
      <c r="CV18" s="158"/>
      <c r="CW18" s="158"/>
      <c r="CX18" s="158"/>
      <c r="CY18" s="158"/>
      <c r="CZ18" s="158"/>
      <c r="DA18" s="158"/>
      <c r="DB18" s="158"/>
      <c r="DC18" s="158"/>
      <c r="DD18" s="158"/>
      <c r="DE18" s="158"/>
      <c r="DF18" s="158"/>
      <c r="DG18" s="158"/>
      <c r="DH18" s="158"/>
      <c r="DI18" s="158"/>
      <c r="DJ18" s="158"/>
      <c r="DK18" s="158"/>
      <c r="DL18" s="158"/>
      <c r="DM18" s="158"/>
    </row>
    <row r="19" spans="13:117" ht="48" customHeight="1">
      <c r="M19" s="15"/>
      <c r="N19" s="15"/>
      <c r="O19" s="15"/>
      <c r="P19" s="15"/>
      <c r="Q19" s="15"/>
      <c r="R19" s="15"/>
      <c r="S19" s="15"/>
      <c r="T19" s="15"/>
      <c r="U19" s="15"/>
      <c r="V19" s="15"/>
      <c r="W19" s="15"/>
      <c r="X19" s="15"/>
      <c r="Y19" s="15"/>
      <c r="Z19" s="1836"/>
      <c r="AA19" s="1836"/>
      <c r="AB19" s="1836"/>
      <c r="AC19" s="1836"/>
      <c r="AD19" s="49">
        <f>X14</f>
        <v>3600</v>
      </c>
      <c r="AE19" s="47">
        <f>X14</f>
        <v>3600</v>
      </c>
      <c r="AF19" s="47">
        <f>X14</f>
        <v>3600</v>
      </c>
      <c r="AG19" s="50">
        <f>X14</f>
        <v>3600</v>
      </c>
      <c r="AH19" s="35"/>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row>
    <row r="20" spans="13:117" ht="48" customHeight="1">
      <c r="M20" s="15"/>
      <c r="N20" s="15"/>
      <c r="O20" s="15"/>
      <c r="P20" s="15"/>
      <c r="Q20" s="15"/>
      <c r="R20" s="15"/>
      <c r="S20" s="15"/>
      <c r="T20" s="15"/>
      <c r="U20" s="15"/>
      <c r="V20" s="15"/>
      <c r="W20" s="15"/>
      <c r="X20" s="15"/>
      <c r="Y20" s="15"/>
      <c r="Z20" s="1836"/>
      <c r="AA20" s="1836"/>
      <c r="AB20" s="1836"/>
      <c r="AC20" s="1836"/>
      <c r="AD20" s="32">
        <v>1200</v>
      </c>
      <c r="AE20" s="32">
        <v>1000</v>
      </c>
      <c r="AF20" s="32">
        <v>900</v>
      </c>
      <c r="AG20" s="32">
        <v>750</v>
      </c>
      <c r="AH20" s="13"/>
      <c r="AI20" s="13"/>
      <c r="AJ20" s="1828"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1829"/>
      <c r="AL20" s="1829"/>
      <c r="AM20" s="1829"/>
      <c r="AN20" s="1829"/>
      <c r="AO20" s="1829"/>
      <c r="AP20" s="1829"/>
      <c r="AQ20" s="1830"/>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58"/>
      <c r="BX20" s="158"/>
      <c r="BY20" s="158"/>
      <c r="BZ20" s="158"/>
      <c r="CA20" s="158"/>
      <c r="CB20" s="158"/>
      <c r="CC20" s="158"/>
      <c r="CD20" s="158"/>
      <c r="CE20" s="158"/>
      <c r="CF20" s="158"/>
      <c r="CG20" s="158"/>
      <c r="CH20" s="158"/>
      <c r="CI20" s="158"/>
      <c r="CJ20" s="158"/>
      <c r="CK20" s="158"/>
      <c r="CL20" s="158"/>
      <c r="CM20" s="158"/>
      <c r="CN20" s="158"/>
      <c r="CO20" s="158"/>
      <c r="CP20" s="158"/>
      <c r="CQ20" s="158"/>
      <c r="CR20" s="158"/>
      <c r="CS20" s="158"/>
      <c r="CT20" s="158"/>
      <c r="CU20" s="158"/>
      <c r="CV20" s="158"/>
      <c r="CW20" s="158"/>
      <c r="CX20" s="158"/>
      <c r="CY20" s="158"/>
      <c r="CZ20" s="158"/>
      <c r="DA20" s="158"/>
      <c r="DB20" s="158"/>
      <c r="DC20" s="158"/>
      <c r="DD20" s="158"/>
      <c r="DE20" s="158"/>
      <c r="DF20" s="158"/>
      <c r="DG20" s="158"/>
      <c r="DH20" s="158"/>
      <c r="DI20" s="158"/>
      <c r="DJ20" s="158"/>
      <c r="DK20" s="158"/>
      <c r="DL20" s="158"/>
      <c r="DM20" s="158"/>
    </row>
    <row r="21" spans="13:117" ht="48" customHeight="1" thickBot="1">
      <c r="M21" s="15"/>
      <c r="S21" s="62">
        <v>1</v>
      </c>
      <c r="T21" s="1837" t="s">
        <v>446</v>
      </c>
      <c r="U21" s="1838"/>
      <c r="V21" s="1839"/>
      <c r="W21" s="55"/>
      <c r="X21" s="55">
        <f>'Вывод расчетов'!AQ4</f>
        <v>30000</v>
      </c>
      <c r="Y21" s="15"/>
      <c r="Z21" s="1836"/>
      <c r="AA21" s="1836"/>
      <c r="AB21" s="1836"/>
      <c r="AC21" s="1836"/>
      <c r="AD21" s="46">
        <f>$X$14</f>
        <v>3600</v>
      </c>
      <c r="AE21" s="46">
        <f>$X$14</f>
        <v>3600</v>
      </c>
      <c r="AF21" s="46">
        <f>$X$14</f>
        <v>3600</v>
      </c>
      <c r="AG21" s="46">
        <f>$X$14</f>
        <v>3600</v>
      </c>
      <c r="AH21" s="41"/>
      <c r="AI21" s="41"/>
      <c r="AJ21" s="41"/>
      <c r="AK21" s="41"/>
      <c r="AL21" s="41"/>
      <c r="AM21" s="41"/>
      <c r="AN21" s="41"/>
      <c r="AO21" s="41"/>
      <c r="AP21" s="41"/>
      <c r="AQ21" s="41"/>
      <c r="AR21" s="41"/>
      <c r="AS21" s="15"/>
      <c r="AT21" s="15"/>
      <c r="AU21" s="1834"/>
      <c r="AV21" s="1834"/>
      <c r="AW21" s="1834"/>
      <c r="AX21" s="1834"/>
      <c r="AY21" s="1834"/>
      <c r="AZ21" s="15"/>
      <c r="BA21" s="15"/>
      <c r="BB21" s="15"/>
      <c r="BC21" s="15"/>
      <c r="BD21" s="15"/>
      <c r="BE21" s="15"/>
      <c r="BF21" s="15"/>
      <c r="BG21" s="15"/>
      <c r="BH21" s="15"/>
      <c r="BI21" s="15"/>
      <c r="BJ21" s="15"/>
      <c r="BK21" s="15"/>
      <c r="BL21" s="15"/>
      <c r="BM21" s="15"/>
      <c r="BN21" s="15"/>
      <c r="BO21" s="15"/>
      <c r="BP21" s="15"/>
      <c r="BQ21" s="15"/>
      <c r="BR21" s="15"/>
      <c r="BS21" s="15"/>
      <c r="BT21" s="15"/>
      <c r="BU21" s="15"/>
      <c r="BW21" s="158"/>
      <c r="BX21" s="158"/>
      <c r="BY21" s="158"/>
      <c r="BZ21" s="158"/>
      <c r="CA21" s="158"/>
      <c r="CB21" s="158"/>
      <c r="CC21" s="158"/>
      <c r="CD21" s="158"/>
      <c r="CE21" s="158"/>
      <c r="CF21" s="158"/>
      <c r="CG21" s="158"/>
      <c r="CH21" s="158"/>
      <c r="CI21" s="158"/>
      <c r="CJ21" s="158"/>
      <c r="CK21" s="158"/>
      <c r="CL21" s="158"/>
      <c r="CM21" s="158"/>
      <c r="CN21" s="158"/>
      <c r="CO21" s="158"/>
      <c r="CP21" s="158"/>
      <c r="CQ21" s="158"/>
      <c r="CR21" s="158"/>
      <c r="CS21" s="158"/>
      <c r="CT21" s="158"/>
      <c r="CU21" s="158"/>
      <c r="CV21" s="158"/>
      <c r="CW21" s="158"/>
      <c r="CX21" s="158"/>
      <c r="CY21" s="158"/>
      <c r="CZ21" s="158"/>
      <c r="DA21" s="158"/>
      <c r="DB21" s="158"/>
      <c r="DC21" s="158"/>
      <c r="DD21" s="158"/>
      <c r="DE21" s="158"/>
      <c r="DF21" s="158"/>
      <c r="DG21" s="158"/>
      <c r="DH21" s="158"/>
      <c r="DI21" s="158"/>
      <c r="DJ21" s="158"/>
      <c r="DK21" s="158"/>
      <c r="DL21" s="158"/>
      <c r="DM21" s="158"/>
    </row>
    <row r="22" spans="13:117" ht="48" customHeight="1">
      <c r="M22" s="15"/>
      <c r="S22" s="62"/>
      <c r="T22" s="1837" t="s">
        <v>447</v>
      </c>
      <c r="U22" s="1838"/>
      <c r="V22" s="1839"/>
      <c r="W22" s="55"/>
      <c r="X22" s="55">
        <f>X21/1000</f>
        <v>30</v>
      </c>
      <c r="Y22" s="15"/>
      <c r="Z22" s="1835" t="s">
        <v>443</v>
      </c>
      <c r="AA22" s="1835"/>
      <c r="AB22" s="1835"/>
      <c r="AC22" s="1835"/>
      <c r="AD22" s="36">
        <v>2</v>
      </c>
      <c r="AE22" s="36">
        <v>4</v>
      </c>
      <c r="AF22" s="36">
        <v>6</v>
      </c>
      <c r="AG22" s="36">
        <v>8</v>
      </c>
      <c r="AH22" s="36">
        <v>10</v>
      </c>
      <c r="AI22" s="36">
        <v>12</v>
      </c>
      <c r="AJ22" s="35"/>
      <c r="AK22" s="35"/>
      <c r="AL22" s="35"/>
      <c r="AM22" s="35"/>
      <c r="AN22" s="35"/>
      <c r="AO22" s="35"/>
      <c r="AP22" s="35"/>
      <c r="AQ22" s="35"/>
      <c r="AR22" s="35"/>
      <c r="AS22" s="15"/>
      <c r="AT22" s="15"/>
      <c r="AU22" s="15"/>
      <c r="AV22" s="15"/>
      <c r="AW22" s="20"/>
      <c r="AX22" s="15"/>
      <c r="BE22" s="15"/>
      <c r="BF22" s="15"/>
      <c r="BW22" s="158"/>
      <c r="BX22" s="158"/>
      <c r="BY22" s="158"/>
      <c r="BZ22" s="158"/>
      <c r="CA22" s="158"/>
      <c r="CB22" s="158"/>
      <c r="CC22" s="158"/>
      <c r="CD22" s="158"/>
      <c r="CE22" s="158"/>
      <c r="CF22" s="158"/>
      <c r="CG22" s="158"/>
      <c r="CH22" s="158"/>
      <c r="CI22" s="158"/>
      <c r="CJ22" s="158"/>
      <c r="CK22" s="158"/>
      <c r="CL22" s="158"/>
      <c r="CM22" s="158"/>
      <c r="CN22" s="158"/>
      <c r="CO22" s="158"/>
      <c r="CP22" s="158"/>
      <c r="CQ22" s="158"/>
      <c r="CR22" s="158"/>
      <c r="CS22" s="158"/>
      <c r="CT22" s="158"/>
      <c r="CU22" s="158"/>
      <c r="CV22" s="158"/>
      <c r="CW22" s="158"/>
      <c r="CX22" s="158"/>
      <c r="CY22" s="158"/>
      <c r="CZ22" s="158"/>
      <c r="DA22" s="158"/>
      <c r="DB22" s="158"/>
      <c r="DC22" s="158"/>
      <c r="DD22" s="158"/>
      <c r="DE22" s="158"/>
      <c r="DF22" s="158"/>
      <c r="DG22" s="158"/>
      <c r="DH22" s="158"/>
      <c r="DI22" s="158"/>
      <c r="DJ22" s="158"/>
      <c r="DK22" s="158"/>
      <c r="DL22" s="158"/>
      <c r="DM22" s="158"/>
    </row>
    <row r="23" spans="13:117" ht="48" customHeight="1" thickBot="1">
      <c r="M23" s="15"/>
      <c r="S23" s="62">
        <v>2</v>
      </c>
      <c r="T23" s="1837" t="s">
        <v>463</v>
      </c>
      <c r="U23" s="1838"/>
      <c r="V23" s="1839"/>
      <c r="W23" s="55"/>
      <c r="X23" s="55">
        <f>'Вывод расчетов'!AW16</f>
        <v>2</v>
      </c>
      <c r="Y23" s="14"/>
      <c r="Z23" s="1835"/>
      <c r="AA23" s="1835"/>
      <c r="AB23" s="1835"/>
      <c r="AC23" s="1835"/>
      <c r="AD23" s="48">
        <f t="shared" ref="AD23:AI23" si="0">$X$17</f>
        <v>2</v>
      </c>
      <c r="AE23" s="48">
        <f t="shared" si="0"/>
        <v>2</v>
      </c>
      <c r="AF23" s="48">
        <f t="shared" si="0"/>
        <v>2</v>
      </c>
      <c r="AG23" s="48">
        <f t="shared" si="0"/>
        <v>2</v>
      </c>
      <c r="AH23" s="48">
        <f t="shared" si="0"/>
        <v>2</v>
      </c>
      <c r="AI23" s="48">
        <f t="shared" si="0"/>
        <v>2</v>
      </c>
      <c r="AJ23" s="41"/>
      <c r="AK23" s="1831" t="s">
        <v>448</v>
      </c>
      <c r="AL23" s="1832"/>
      <c r="AM23" s="1832"/>
      <c r="AN23" s="1832"/>
      <c r="AO23" s="1832"/>
      <c r="AP23" s="1832"/>
      <c r="AQ23" s="1833"/>
      <c r="AR23" s="41"/>
      <c r="AS23" s="15"/>
      <c r="AT23" s="15"/>
      <c r="AU23" s="15"/>
      <c r="AV23" s="15"/>
      <c r="AW23" s="20"/>
      <c r="AX23" s="15"/>
      <c r="BE23" s="15"/>
      <c r="BF23" s="15"/>
      <c r="BG23" s="75"/>
      <c r="BH23" s="15"/>
      <c r="BI23" s="15"/>
      <c r="BJ23" s="15"/>
      <c r="BK23" s="15"/>
      <c r="BL23" s="15"/>
      <c r="BM23" s="15"/>
      <c r="BN23" s="15"/>
      <c r="BO23" s="15"/>
      <c r="BP23" s="15"/>
      <c r="BQ23" s="15"/>
      <c r="BR23" s="15"/>
      <c r="BS23" s="15"/>
      <c r="BT23" s="15"/>
      <c r="BU23" s="15"/>
      <c r="BW23" s="158"/>
      <c r="BX23" s="158"/>
      <c r="BY23" s="158"/>
      <c r="BZ23" s="158"/>
      <c r="CA23" s="158"/>
      <c r="CB23" s="158"/>
      <c r="CC23" s="158"/>
      <c r="CD23" s="158"/>
      <c r="CE23" s="158"/>
      <c r="CF23" s="158"/>
      <c r="CG23" s="158"/>
      <c r="CH23" s="158"/>
      <c r="CI23" s="158"/>
      <c r="CJ23" s="158"/>
      <c r="CK23" s="158"/>
      <c r="CL23" s="158"/>
      <c r="CM23" s="158"/>
      <c r="CN23" s="158"/>
      <c r="CO23" s="158"/>
      <c r="CP23" s="158"/>
      <c r="CQ23" s="158"/>
      <c r="CR23" s="158"/>
      <c r="CS23" s="158"/>
      <c r="CT23" s="158"/>
      <c r="CU23" s="158"/>
      <c r="CV23" s="158"/>
      <c r="CW23" s="158"/>
      <c r="CX23" s="158"/>
      <c r="CY23" s="158"/>
      <c r="CZ23" s="158"/>
      <c r="DA23" s="158"/>
      <c r="DB23" s="158"/>
      <c r="DC23" s="158"/>
      <c r="DD23" s="158"/>
      <c r="DE23" s="158"/>
      <c r="DF23" s="158"/>
      <c r="DG23" s="158"/>
      <c r="DH23" s="158"/>
      <c r="DI23" s="158"/>
      <c r="DJ23" s="158"/>
      <c r="DK23" s="158"/>
      <c r="DL23" s="158"/>
      <c r="DM23" s="158"/>
    </row>
    <row r="24" spans="13:117" ht="48" customHeight="1">
      <c r="M24" s="15"/>
      <c r="N24" s="15"/>
      <c r="O24" s="15"/>
      <c r="P24" s="15"/>
      <c r="Q24" s="15"/>
      <c r="R24" s="15"/>
      <c r="S24" s="15"/>
      <c r="T24" s="15"/>
      <c r="U24" s="15"/>
      <c r="V24" s="15"/>
      <c r="W24" s="15"/>
      <c r="X24" s="14"/>
      <c r="Y24" s="14"/>
      <c r="Z24" s="1836" t="s">
        <v>440</v>
      </c>
      <c r="AA24" s="1836"/>
      <c r="AB24" s="1836"/>
      <c r="AC24" s="1836"/>
      <c r="AD24" s="47">
        <f>'Программные таблицы'!Q6</f>
        <v>0.313</v>
      </c>
      <c r="AE24" s="35"/>
      <c r="AF24" s="35"/>
      <c r="AG24" s="35"/>
      <c r="AH24" s="35"/>
      <c r="AI24" s="35"/>
      <c r="AJ24" s="35"/>
      <c r="AK24" s="35"/>
      <c r="AL24" s="35"/>
      <c r="AM24" s="35"/>
      <c r="AN24" s="35"/>
      <c r="AO24" s="35"/>
      <c r="AP24" s="35"/>
      <c r="AQ24" s="35"/>
      <c r="AR24" s="35"/>
      <c r="AS24" s="15"/>
      <c r="AT24" s="15"/>
      <c r="AU24" s="15"/>
      <c r="AV24" s="15"/>
      <c r="AW24" s="20"/>
      <c r="AX24" s="15"/>
      <c r="BE24" s="15"/>
      <c r="BF24" s="15"/>
      <c r="BG24" s="75"/>
      <c r="BH24" s="15"/>
      <c r="BI24" s="15"/>
      <c r="BJ24" s="15"/>
      <c r="BK24" s="15"/>
      <c r="BL24" s="15"/>
      <c r="BM24" s="15"/>
      <c r="BN24" s="15"/>
      <c r="BO24" s="15"/>
      <c r="BP24" s="15"/>
      <c r="BQ24" s="15"/>
      <c r="BR24" s="15"/>
      <c r="BS24" s="15"/>
      <c r="BT24" s="15"/>
      <c r="BU24" s="15"/>
      <c r="BW24" s="158"/>
      <c r="BX24" s="158"/>
      <c r="BY24" s="158"/>
      <c r="BZ24" s="158"/>
      <c r="CA24" s="158"/>
      <c r="CB24" s="158"/>
      <c r="CC24" s="158"/>
      <c r="CD24" s="158"/>
      <c r="CE24" s="158"/>
      <c r="CF24" s="158"/>
      <c r="CG24" s="158"/>
      <c r="CH24" s="158"/>
      <c r="CI24" s="158"/>
      <c r="CJ24" s="158"/>
      <c r="CK24" s="158"/>
      <c r="CL24" s="158"/>
      <c r="CM24" s="158"/>
      <c r="CN24" s="158"/>
      <c r="CO24" s="158"/>
      <c r="CP24" s="158"/>
      <c r="CQ24" s="158"/>
      <c r="CR24" s="158"/>
      <c r="CS24" s="158"/>
      <c r="CT24" s="158"/>
      <c r="CU24" s="158"/>
      <c r="CV24" s="158"/>
      <c r="CW24" s="158"/>
      <c r="CX24" s="158"/>
      <c r="CY24" s="158"/>
      <c r="CZ24" s="158"/>
      <c r="DA24" s="158"/>
      <c r="DB24" s="158"/>
      <c r="DC24" s="158"/>
      <c r="DD24" s="158"/>
      <c r="DE24" s="158"/>
      <c r="DF24" s="158"/>
      <c r="DG24" s="158"/>
      <c r="DH24" s="158"/>
      <c r="DI24" s="158"/>
      <c r="DJ24" s="158"/>
      <c r="DK24" s="158"/>
      <c r="DL24" s="158"/>
      <c r="DM24" s="158"/>
    </row>
    <row r="25" spans="13:117" ht="48" customHeight="1">
      <c r="M25" s="15"/>
      <c r="N25" s="15"/>
      <c r="O25" s="15"/>
      <c r="P25" s="15"/>
      <c r="Q25" s="15"/>
      <c r="R25" s="15"/>
      <c r="S25" s="15"/>
      <c r="T25" s="15"/>
      <c r="U25" s="15"/>
      <c r="V25" s="15"/>
      <c r="W25" s="15"/>
      <c r="X25" s="15"/>
      <c r="Y25" s="14"/>
      <c r="Z25" s="1836" t="s">
        <v>437</v>
      </c>
      <c r="AA25" s="1836"/>
      <c r="AB25" s="1836"/>
      <c r="AC25" s="1836"/>
      <c r="AD25" s="37">
        <f>'Программные таблицы'!V10</f>
        <v>180</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58"/>
      <c r="BX25" s="158"/>
      <c r="BY25" s="158"/>
      <c r="BZ25" s="158"/>
      <c r="CA25" s="158"/>
      <c r="CB25" s="158"/>
      <c r="CC25" s="158"/>
      <c r="CD25" s="158"/>
      <c r="CE25" s="158"/>
      <c r="CF25" s="158"/>
      <c r="CG25" s="158"/>
      <c r="CH25" s="158"/>
      <c r="CI25" s="158"/>
      <c r="CJ25" s="158"/>
      <c r="CK25" s="158"/>
      <c r="CL25" s="158"/>
      <c r="CM25" s="158"/>
      <c r="CN25" s="158"/>
      <c r="CO25" s="158"/>
      <c r="CP25" s="158"/>
      <c r="CQ25" s="158"/>
      <c r="CR25" s="158"/>
      <c r="CS25" s="158"/>
      <c r="CT25" s="158"/>
      <c r="CU25" s="158"/>
      <c r="CV25" s="158"/>
      <c r="CW25" s="158"/>
      <c r="CX25" s="158"/>
      <c r="CY25" s="158"/>
      <c r="CZ25" s="158"/>
      <c r="DA25" s="158"/>
      <c r="DB25" s="158"/>
      <c r="DC25" s="158"/>
      <c r="DD25" s="158"/>
      <c r="DE25" s="158"/>
      <c r="DF25" s="158"/>
      <c r="DG25" s="158"/>
      <c r="DH25" s="158"/>
      <c r="DI25" s="158"/>
      <c r="DJ25" s="158"/>
      <c r="DK25" s="158"/>
      <c r="DL25" s="158"/>
      <c r="DM25" s="158"/>
    </row>
    <row r="26" spans="13:117" ht="48" customHeight="1">
      <c r="M26" s="15"/>
      <c r="N26" s="15"/>
      <c r="O26" s="15"/>
      <c r="P26" s="15"/>
      <c r="Q26" s="15"/>
      <c r="R26" s="15"/>
      <c r="S26" s="15"/>
      <c r="T26" s="15"/>
      <c r="U26" s="15"/>
      <c r="V26" s="15"/>
      <c r="W26" s="15"/>
      <c r="X26" s="15"/>
      <c r="Y26" s="15"/>
      <c r="Z26" s="1836" t="s">
        <v>13</v>
      </c>
      <c r="AA26" s="1836"/>
      <c r="AB26" s="1836"/>
      <c r="AC26" s="1836"/>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58"/>
      <c r="BX26" s="158"/>
      <c r="BY26" s="158"/>
      <c r="BZ26" s="158"/>
      <c r="CA26" s="158"/>
      <c r="CB26" s="158"/>
      <c r="CC26" s="158"/>
      <c r="CD26" s="158"/>
      <c r="CE26" s="158"/>
      <c r="CF26" s="158"/>
      <c r="CG26" s="158"/>
      <c r="CH26" s="158"/>
      <c r="CI26" s="158"/>
      <c r="CJ26" s="158"/>
      <c r="CK26" s="158"/>
      <c r="CL26" s="158"/>
      <c r="CM26" s="158"/>
      <c r="CN26" s="158"/>
      <c r="CO26" s="158"/>
      <c r="CP26" s="158"/>
      <c r="CQ26" s="158"/>
      <c r="CR26" s="158"/>
      <c r="CS26" s="158"/>
      <c r="CT26" s="158"/>
      <c r="CU26" s="158"/>
      <c r="CV26" s="158"/>
      <c r="CW26" s="158"/>
      <c r="CX26" s="158"/>
      <c r="CY26" s="158"/>
      <c r="CZ26" s="158"/>
      <c r="DA26" s="158"/>
      <c r="DB26" s="158"/>
      <c r="DC26" s="158"/>
      <c r="DD26" s="158"/>
      <c r="DE26" s="158"/>
      <c r="DF26" s="158"/>
      <c r="DG26" s="158"/>
      <c r="DH26" s="158"/>
      <c r="DI26" s="158"/>
      <c r="DJ26" s="158"/>
      <c r="DK26" s="158"/>
      <c r="DL26" s="158"/>
      <c r="DM26" s="158"/>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58"/>
      <c r="BX27" s="158"/>
      <c r="BY27" s="158"/>
      <c r="BZ27" s="158"/>
      <c r="CA27" s="158"/>
      <c r="CB27" s="158"/>
      <c r="CC27" s="158"/>
      <c r="CD27" s="158"/>
      <c r="CE27" s="158"/>
      <c r="CF27" s="158"/>
      <c r="CG27" s="158"/>
      <c r="CH27" s="158"/>
      <c r="CI27" s="158"/>
      <c r="CJ27" s="158"/>
      <c r="CK27" s="158"/>
      <c r="CL27" s="158"/>
      <c r="CM27" s="158"/>
      <c r="CN27" s="158"/>
      <c r="CO27" s="158"/>
      <c r="CP27" s="158"/>
      <c r="CQ27" s="158"/>
      <c r="CR27" s="158"/>
      <c r="CS27" s="158"/>
      <c r="CT27" s="158"/>
      <c r="CU27" s="158"/>
      <c r="CV27" s="158"/>
      <c r="CW27" s="158"/>
      <c r="CX27" s="158"/>
      <c r="CY27" s="158"/>
      <c r="CZ27" s="158"/>
      <c r="DA27" s="158"/>
      <c r="DB27" s="158"/>
      <c r="DC27" s="158"/>
      <c r="DD27" s="158"/>
      <c r="DE27" s="158"/>
      <c r="DF27" s="158"/>
      <c r="DG27" s="158"/>
      <c r="DH27" s="158"/>
      <c r="DI27" s="158"/>
      <c r="DJ27" s="158"/>
      <c r="DK27" s="158"/>
      <c r="DL27" s="158"/>
      <c r="DM27" s="158"/>
    </row>
    <row r="28" spans="13:117" ht="48" customHeight="1">
      <c r="M28" s="15"/>
      <c r="N28" s="15"/>
      <c r="O28" s="15"/>
      <c r="P28" s="15"/>
      <c r="Q28" s="15"/>
      <c r="R28" s="15"/>
      <c r="S28" s="15"/>
      <c r="T28" s="15"/>
      <c r="U28" s="15"/>
      <c r="V28" s="15"/>
      <c r="W28" s="15"/>
      <c r="X28" s="15"/>
      <c r="Y28" s="15"/>
      <c r="Z28" s="15"/>
      <c r="AA28" s="15"/>
      <c r="AB28" s="15"/>
      <c r="AC28" s="15"/>
      <c r="AD28" s="15"/>
      <c r="AE28" s="15"/>
      <c r="AF28" s="15"/>
      <c r="BW28" s="158"/>
      <c r="BX28" s="158"/>
      <c r="BY28" s="158"/>
      <c r="BZ28" s="158"/>
      <c r="CA28" s="158"/>
      <c r="CB28" s="158"/>
      <c r="CC28" s="158"/>
      <c r="CD28" s="158"/>
      <c r="CE28" s="158"/>
      <c r="CF28" s="158"/>
      <c r="CG28" s="158"/>
      <c r="CH28" s="158"/>
      <c r="CI28" s="158"/>
      <c r="CJ28" s="158"/>
      <c r="CK28" s="158"/>
      <c r="CL28" s="158"/>
      <c r="CM28" s="158"/>
      <c r="CN28" s="158"/>
      <c r="CO28" s="158"/>
      <c r="CP28" s="158"/>
      <c r="CQ28" s="158"/>
      <c r="CR28" s="158"/>
      <c r="CS28" s="158"/>
      <c r="CT28" s="158"/>
      <c r="CU28" s="158"/>
      <c r="CV28" s="158"/>
      <c r="CW28" s="158"/>
      <c r="CX28" s="158"/>
      <c r="CY28" s="158"/>
      <c r="CZ28" s="158"/>
      <c r="DA28" s="158"/>
      <c r="DB28" s="158"/>
      <c r="DC28" s="158"/>
      <c r="DD28" s="158"/>
      <c r="DE28" s="158"/>
      <c r="DF28" s="158"/>
      <c r="DG28" s="158"/>
      <c r="DH28" s="158"/>
      <c r="DI28" s="158"/>
      <c r="DJ28" s="158"/>
      <c r="DK28" s="158"/>
      <c r="DL28" s="158"/>
      <c r="DM28" s="158"/>
    </row>
    <row r="29" spans="13:117" ht="48" customHeight="1">
      <c r="M29" s="15"/>
      <c r="N29" s="15"/>
      <c r="O29" s="15"/>
      <c r="P29" s="15"/>
      <c r="Q29" s="15"/>
      <c r="R29" s="15"/>
      <c r="S29" s="15"/>
      <c r="T29" s="15"/>
      <c r="U29" s="15"/>
      <c r="V29" s="15"/>
      <c r="W29" s="15"/>
      <c r="X29" s="15"/>
      <c r="Y29" s="15"/>
      <c r="Z29" s="15"/>
      <c r="AA29" s="15"/>
      <c r="AB29" s="15"/>
      <c r="AC29" s="15"/>
      <c r="AD29" s="15"/>
      <c r="AE29" s="15"/>
      <c r="AF29" s="15"/>
      <c r="BW29" s="158"/>
      <c r="BX29" s="158"/>
      <c r="BY29" s="158"/>
      <c r="BZ29" s="158"/>
      <c r="CA29" s="158"/>
      <c r="CB29" s="158"/>
      <c r="CC29" s="158"/>
      <c r="CD29" s="158"/>
      <c r="CE29" s="158"/>
      <c r="CF29" s="158"/>
      <c r="CG29" s="158"/>
      <c r="CH29" s="158"/>
      <c r="CI29" s="158"/>
      <c r="CJ29" s="158"/>
      <c r="CK29" s="158"/>
      <c r="CL29" s="158"/>
      <c r="CM29" s="158"/>
      <c r="CN29" s="158"/>
      <c r="CO29" s="158"/>
      <c r="CP29" s="158"/>
      <c r="CQ29" s="158"/>
      <c r="CR29" s="158"/>
      <c r="CS29" s="158"/>
      <c r="CT29" s="158"/>
      <c r="CU29" s="158"/>
      <c r="CV29" s="158"/>
      <c r="CW29" s="158"/>
      <c r="CX29" s="158"/>
      <c r="CY29" s="158"/>
      <c r="CZ29" s="158"/>
      <c r="DA29" s="158"/>
      <c r="DB29" s="158"/>
      <c r="DC29" s="158"/>
      <c r="DD29" s="158"/>
      <c r="DE29" s="158"/>
      <c r="DF29" s="158"/>
      <c r="DG29" s="158"/>
      <c r="DH29" s="158"/>
      <c r="DI29" s="158"/>
      <c r="DJ29" s="158"/>
      <c r="DK29" s="158"/>
      <c r="DL29" s="158"/>
      <c r="DM29" s="158"/>
    </row>
    <row r="30" spans="13:117" ht="48" customHeight="1">
      <c r="M30" s="15"/>
      <c r="N30" s="15"/>
      <c r="O30" s="15"/>
      <c r="P30" s="15"/>
      <c r="Q30" s="15"/>
      <c r="R30" s="15"/>
      <c r="S30" s="15"/>
      <c r="T30" s="15"/>
      <c r="U30" s="15"/>
      <c r="V30" s="15"/>
      <c r="W30" s="15"/>
      <c r="X30" s="15"/>
      <c r="Y30" s="15"/>
      <c r="Z30" s="15"/>
      <c r="AA30" s="15"/>
      <c r="AB30" s="15"/>
      <c r="AC30" s="15"/>
      <c r="AD30" s="15"/>
      <c r="AE30" s="15"/>
      <c r="AF30" s="15"/>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c r="DL30" s="158"/>
      <c r="DM30" s="158"/>
    </row>
    <row r="31" spans="13:117" ht="48" customHeight="1">
      <c r="M31" s="15"/>
      <c r="N31" s="15"/>
      <c r="O31" s="15"/>
      <c r="P31" s="15"/>
      <c r="Q31" s="15"/>
      <c r="R31" s="15"/>
      <c r="S31" s="15"/>
      <c r="T31" s="15"/>
      <c r="U31" s="15"/>
      <c r="V31" s="15"/>
      <c r="W31" s="15"/>
      <c r="X31" s="15"/>
      <c r="Y31" s="15"/>
      <c r="Z31" s="15"/>
      <c r="AA31" s="15"/>
      <c r="AB31" s="15"/>
      <c r="AC31" s="15"/>
      <c r="AD31" s="15"/>
      <c r="AE31" s="15"/>
      <c r="AF31" s="15"/>
      <c r="BW31" s="158"/>
      <c r="BX31" s="158"/>
      <c r="BY31" s="158"/>
      <c r="BZ31" s="158"/>
      <c r="CA31" s="158"/>
      <c r="CB31" s="158"/>
      <c r="CC31" s="158"/>
      <c r="CD31" s="158"/>
      <c r="CE31" s="158"/>
      <c r="CF31" s="158"/>
      <c r="CG31" s="158"/>
      <c r="CH31" s="158"/>
      <c r="CI31" s="158"/>
      <c r="CJ31" s="158"/>
      <c r="CK31" s="158"/>
      <c r="CL31" s="158"/>
      <c r="CM31" s="158"/>
      <c r="CN31" s="158"/>
      <c r="CO31" s="158"/>
      <c r="CP31" s="158"/>
      <c r="CQ31" s="158"/>
      <c r="CR31" s="158"/>
      <c r="CS31" s="158"/>
      <c r="CT31" s="158"/>
      <c r="CU31" s="158"/>
      <c r="CV31" s="158"/>
      <c r="CW31" s="158"/>
      <c r="CX31" s="158"/>
      <c r="CY31" s="158"/>
      <c r="CZ31" s="158"/>
      <c r="DA31" s="158"/>
      <c r="DB31" s="158"/>
      <c r="DC31" s="158"/>
      <c r="DD31" s="158"/>
      <c r="DE31" s="158"/>
      <c r="DF31" s="158"/>
      <c r="DG31" s="158"/>
      <c r="DH31" s="158"/>
      <c r="DI31" s="158"/>
      <c r="DJ31" s="158"/>
      <c r="DK31" s="158"/>
      <c r="DL31" s="158"/>
      <c r="DM31" s="158"/>
    </row>
    <row r="32" spans="13:117" ht="48" customHeight="1">
      <c r="M32" s="15"/>
      <c r="N32" s="15"/>
      <c r="O32" s="15"/>
      <c r="P32" s="15"/>
      <c r="Q32" s="15"/>
      <c r="R32" s="15"/>
      <c r="S32" s="15"/>
      <c r="T32" s="15"/>
      <c r="U32" s="15"/>
      <c r="V32" s="15"/>
      <c r="W32" s="15"/>
      <c r="X32" s="15"/>
      <c r="Y32" s="15"/>
      <c r="Z32" s="15"/>
      <c r="AA32" s="15"/>
      <c r="AB32" s="15"/>
      <c r="AC32" s="15"/>
      <c r="AD32" s="15"/>
      <c r="AE32" s="15"/>
      <c r="AF32" s="15"/>
      <c r="BW32" s="158"/>
      <c r="BX32" s="158"/>
      <c r="BY32" s="158"/>
      <c r="BZ32" s="158"/>
      <c r="CA32" s="158"/>
      <c r="CB32" s="158"/>
      <c r="CC32" s="158"/>
      <c r="CD32" s="158"/>
      <c r="CE32" s="158"/>
      <c r="CF32" s="158"/>
      <c r="CG32" s="158"/>
      <c r="CH32" s="158"/>
      <c r="CI32" s="158"/>
      <c r="CJ32" s="158"/>
      <c r="CK32" s="158"/>
      <c r="CL32" s="158"/>
      <c r="CM32" s="158"/>
      <c r="CN32" s="158"/>
      <c r="CO32" s="158"/>
      <c r="CP32" s="158"/>
      <c r="CQ32" s="158"/>
      <c r="CR32" s="158"/>
      <c r="CS32" s="158"/>
      <c r="CT32" s="158"/>
      <c r="CU32" s="158"/>
      <c r="CV32" s="158"/>
      <c r="CW32" s="158"/>
      <c r="CX32" s="158"/>
      <c r="CY32" s="158"/>
      <c r="CZ32" s="158"/>
      <c r="DA32" s="158"/>
      <c r="DB32" s="158"/>
      <c r="DC32" s="158"/>
      <c r="DD32" s="158"/>
      <c r="DE32" s="158"/>
      <c r="DF32" s="158"/>
      <c r="DG32" s="158"/>
      <c r="DH32" s="158"/>
      <c r="DI32" s="158"/>
      <c r="DJ32" s="158"/>
      <c r="DK32" s="158"/>
      <c r="DL32" s="158"/>
      <c r="DM32" s="158"/>
    </row>
    <row r="33" spans="13:117" ht="48" customHeight="1">
      <c r="M33" s="15"/>
      <c r="N33" s="15"/>
      <c r="O33" s="15"/>
      <c r="P33" s="15"/>
      <c r="Q33" s="15"/>
      <c r="R33" s="15"/>
      <c r="S33" s="15"/>
      <c r="T33" s="15"/>
      <c r="U33" s="15"/>
      <c r="V33" s="15"/>
      <c r="W33" s="15"/>
      <c r="X33" s="15"/>
      <c r="Y33" s="15"/>
      <c r="Z33" s="15"/>
      <c r="AA33" s="15"/>
      <c r="AB33" s="15"/>
      <c r="AC33" s="15"/>
      <c r="AD33" s="15"/>
      <c r="AE33" s="15"/>
      <c r="AF33" s="15"/>
      <c r="BW33" s="158"/>
      <c r="BX33" s="158"/>
      <c r="BY33" s="158"/>
      <c r="BZ33" s="158"/>
      <c r="CA33" s="158"/>
      <c r="CB33" s="158"/>
      <c r="CC33" s="158"/>
      <c r="CD33" s="158"/>
      <c r="CE33" s="158"/>
      <c r="CF33" s="158"/>
      <c r="CG33" s="158"/>
      <c r="CH33" s="158"/>
      <c r="CI33" s="158"/>
      <c r="CJ33" s="158"/>
      <c r="CK33" s="158"/>
      <c r="CL33" s="158"/>
      <c r="CM33" s="158"/>
      <c r="CN33" s="158"/>
      <c r="CO33" s="158"/>
      <c r="CP33" s="158"/>
      <c r="CQ33" s="158"/>
      <c r="CR33" s="158"/>
      <c r="CS33" s="158"/>
      <c r="CT33" s="158"/>
      <c r="CU33" s="158"/>
      <c r="CV33" s="158"/>
      <c r="CW33" s="158"/>
      <c r="CX33" s="158"/>
      <c r="CY33" s="158"/>
      <c r="CZ33" s="158"/>
      <c r="DA33" s="158"/>
      <c r="DB33" s="158"/>
      <c r="DC33" s="158"/>
      <c r="DD33" s="158"/>
      <c r="DE33" s="158"/>
      <c r="DF33" s="158"/>
      <c r="DG33" s="158"/>
      <c r="DH33" s="158"/>
      <c r="DI33" s="158"/>
      <c r="DJ33" s="158"/>
      <c r="DK33" s="158"/>
      <c r="DL33" s="158"/>
      <c r="DM33" s="158"/>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6"/>
      <c r="N38" s="76"/>
      <c r="O38" s="76"/>
      <c r="P38" s="76"/>
      <c r="Q38" s="76"/>
      <c r="R38" s="76"/>
      <c r="S38" s="76"/>
      <c r="T38" s="76"/>
      <c r="U38" s="76"/>
      <c r="V38" s="76"/>
      <c r="W38" s="76"/>
      <c r="X38" s="76"/>
      <c r="Y38" s="76"/>
      <c r="Z38" s="76"/>
      <c r="AA38" s="76"/>
      <c r="AB38" s="76"/>
      <c r="AC38" s="76"/>
      <c r="AD38" s="76"/>
      <c r="AE38" s="76"/>
      <c r="AF38" s="76"/>
    </row>
    <row r="39" spans="13:117" ht="48" customHeight="1">
      <c r="M39" s="15"/>
      <c r="N39" s="15"/>
      <c r="O39" s="15"/>
      <c r="P39" s="15"/>
      <c r="Q39" s="15"/>
      <c r="R39" s="15"/>
      <c r="S39" s="15"/>
      <c r="T39" s="15"/>
      <c r="U39" s="15"/>
      <c r="V39" s="15"/>
      <c r="W39" s="15"/>
      <c r="X39" s="15"/>
      <c r="Y39" s="15"/>
      <c r="Z39" s="15"/>
      <c r="AA39" s="15"/>
      <c r="AB39" s="15"/>
      <c r="AC39" s="15"/>
      <c r="AD39" s="15"/>
      <c r="AE39" s="15"/>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6"/>
      <c r="AV40" s="76"/>
      <c r="AW40" s="76"/>
      <c r="AX40" s="76"/>
      <c r="AY40" s="76"/>
      <c r="AZ40" s="76"/>
      <c r="BA40" s="76"/>
      <c r="BB40" s="76"/>
      <c r="BC40" s="76"/>
      <c r="BD40" s="76"/>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M42" s="15"/>
      <c r="N42" s="15"/>
      <c r="O42" s="15"/>
      <c r="P42" s="15"/>
      <c r="Q42" s="15"/>
      <c r="R42" s="15"/>
      <c r="S42" s="15"/>
      <c r="T42" s="15"/>
      <c r="U42" s="15"/>
      <c r="V42" s="15"/>
      <c r="W42" s="15"/>
      <c r="X42" s="15"/>
      <c r="Y42" s="15"/>
      <c r="Z42" s="15"/>
      <c r="AA42" s="15"/>
      <c r="AB42" s="15"/>
      <c r="AC42" s="15"/>
      <c r="AD42" s="15"/>
      <c r="AE42" s="53"/>
      <c r="AF42" s="53"/>
      <c r="AG42" s="59"/>
      <c r="AH42" s="53"/>
      <c r="AI42" s="53"/>
      <c r="AJ42" s="53"/>
      <c r="AK42" s="58"/>
      <c r="AL42" s="53"/>
      <c r="AM42" s="53"/>
      <c r="AN42" s="57"/>
      <c r="AO42" s="53"/>
      <c r="AP42" s="53"/>
      <c r="AQ42" s="53"/>
      <c r="AR42" s="53"/>
      <c r="AS42" s="53"/>
      <c r="AT42" s="53"/>
      <c r="AU42" s="15"/>
      <c r="AV42" s="53"/>
      <c r="AW42" s="61"/>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row>
    <row r="43" spans="13:117" ht="48" customHeight="1">
      <c r="M43" s="76"/>
      <c r="N43" s="76"/>
      <c r="O43" s="76"/>
      <c r="P43" s="76"/>
      <c r="Q43" s="76"/>
      <c r="R43" s="76"/>
      <c r="S43" s="76"/>
      <c r="T43" s="76"/>
      <c r="U43" s="76"/>
      <c r="V43" s="76"/>
      <c r="W43" s="76"/>
      <c r="X43" s="76"/>
      <c r="Y43" s="76"/>
      <c r="Z43" s="76"/>
      <c r="AA43" s="76"/>
      <c r="AB43" s="76"/>
      <c r="AC43" s="76"/>
      <c r="AD43" s="76"/>
      <c r="AE43" s="77"/>
      <c r="AF43" s="77"/>
      <c r="AG43" s="82"/>
      <c r="AH43" s="77"/>
      <c r="AI43" s="77"/>
      <c r="AJ43" s="77"/>
      <c r="AK43" s="81"/>
      <c r="AL43" s="77"/>
      <c r="AM43" s="77"/>
      <c r="AN43" s="78"/>
      <c r="AO43" s="77"/>
      <c r="AP43" s="77"/>
      <c r="AQ43" s="77"/>
      <c r="AR43" s="77"/>
      <c r="AS43" s="77"/>
      <c r="AT43" s="77"/>
      <c r="AU43" s="76"/>
      <c r="AV43" s="77"/>
      <c r="AW43" s="83"/>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row>
    <row r="44" spans="13:117" ht="48" customHeight="1">
      <c r="M44" s="76"/>
      <c r="N44" s="76"/>
      <c r="O44" s="76"/>
      <c r="P44" s="76"/>
      <c r="Q44" s="76"/>
      <c r="R44" s="76"/>
      <c r="S44" s="76"/>
      <c r="T44" s="76"/>
      <c r="U44" s="76"/>
      <c r="V44" s="76"/>
      <c r="W44" s="76"/>
      <c r="X44" s="76"/>
      <c r="Y44" s="76"/>
      <c r="Z44" s="76"/>
      <c r="AA44" s="76"/>
      <c r="AB44" s="76"/>
      <c r="AC44" s="76"/>
      <c r="AD44" s="76"/>
      <c r="AE44" s="77"/>
      <c r="AF44" s="77"/>
      <c r="AG44" s="82"/>
      <c r="AH44" s="77"/>
      <c r="AI44" s="77"/>
      <c r="AJ44" s="77"/>
      <c r="AK44" s="81"/>
      <c r="AL44" s="77"/>
      <c r="AM44" s="77"/>
      <c r="AN44" s="78"/>
      <c r="AO44" s="77"/>
      <c r="AP44" s="77"/>
      <c r="AQ44" s="77"/>
      <c r="AR44" s="77"/>
      <c r="AS44" s="77"/>
      <c r="AT44" s="77"/>
      <c r="AU44" s="76"/>
      <c r="AV44" s="77"/>
      <c r="AW44" s="83"/>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row>
    <row r="45" spans="13:117" ht="48" customHeight="1">
      <c r="M45" s="76"/>
      <c r="N45" s="76"/>
      <c r="O45" s="76"/>
      <c r="P45" s="76"/>
      <c r="Q45" s="76"/>
      <c r="R45" s="76"/>
      <c r="S45" s="76"/>
      <c r="T45" s="76"/>
      <c r="U45" s="76"/>
      <c r="V45" s="76"/>
      <c r="W45" s="76"/>
      <c r="X45" s="76"/>
      <c r="Y45" s="76"/>
      <c r="Z45" s="76"/>
      <c r="AA45" s="76"/>
      <c r="AB45" s="76"/>
      <c r="AC45" s="76"/>
      <c r="AD45" s="76"/>
      <c r="AE45" s="77"/>
      <c r="AF45" s="77"/>
      <c r="AG45" s="82"/>
      <c r="AH45" s="77"/>
      <c r="AI45" s="77"/>
      <c r="AJ45" s="77"/>
      <c r="AK45" s="81"/>
      <c r="AL45" s="77"/>
      <c r="AM45" s="77"/>
      <c r="AN45" s="78"/>
      <c r="AO45" s="77"/>
      <c r="AP45" s="77"/>
      <c r="AQ45" s="77"/>
      <c r="AR45" s="77"/>
      <c r="AS45" s="77"/>
      <c r="AT45" s="77"/>
      <c r="AU45" s="76"/>
      <c r="AV45" s="77"/>
      <c r="AW45" s="83"/>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row>
    <row r="46" spans="13:117" ht="48" customHeight="1">
      <c r="M46" s="76"/>
      <c r="N46" s="76"/>
      <c r="O46" s="76"/>
      <c r="P46" s="76"/>
      <c r="Q46" s="76"/>
      <c r="R46" s="76"/>
      <c r="S46" s="76"/>
      <c r="T46" s="76"/>
      <c r="U46" s="76"/>
      <c r="V46" s="76"/>
      <c r="W46" s="76"/>
      <c r="X46" s="76"/>
      <c r="Y46" s="76"/>
      <c r="Z46" s="76"/>
      <c r="AA46" s="76"/>
      <c r="AB46" s="76"/>
      <c r="AC46" s="76"/>
      <c r="AD46" s="76"/>
      <c r="AE46" s="77"/>
      <c r="AF46" s="77"/>
      <c r="AG46" s="82"/>
      <c r="AH46" s="77"/>
      <c r="AI46" s="77"/>
      <c r="AJ46" s="77"/>
      <c r="AK46" s="81"/>
      <c r="AL46" s="77"/>
      <c r="AM46" s="77"/>
      <c r="AN46" s="78"/>
      <c r="AO46" s="77"/>
      <c r="AP46" s="77"/>
      <c r="AQ46" s="77"/>
      <c r="AR46" s="77"/>
      <c r="AS46" s="77"/>
      <c r="AT46" s="77"/>
      <c r="AU46" s="76"/>
      <c r="AV46" s="77"/>
      <c r="AW46" s="83"/>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row>
  </sheetData>
  <mergeCells count="18">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containsText" priority="23" operator="containsText" id="{30CE83EA-9888-4157-8C2D-B5981583C4E8}">
            <xm:f>NOT(ISERROR(SEARCH("отсутствует значение",AD24)))</xm:f>
            <xm:f>"отсутствует значение"</xm:f>
            <x14:dxf>
              <fill>
                <patternFill>
                  <bgColor rgb="FFFF0000"/>
                </patternFill>
              </fill>
            </x14:dxf>
          </x14:cfRule>
          <x14:cfRule type="iconSet" priority="24" id="{F394D35C-F17A-4A33-A9AC-E88978A49A5F}">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5" id="{46F4CFC3-8D23-417F-AA6A-E01A3B8A74CB}">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AD25</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zoomScale="10" zoomScaleNormal="10" workbookViewId="0">
      <selection activeCell="A88" sqref="A88:XFD88"/>
    </sheetView>
  </sheetViews>
  <sheetFormatPr defaultColWidth="9.140625" defaultRowHeight="15"/>
  <cols>
    <col min="1" max="1" width="9.140625" style="22"/>
    <col min="2" max="2" width="26.7109375" style="22" bestFit="1" customWidth="1"/>
    <col min="3" max="3" width="10" style="22" bestFit="1" customWidth="1"/>
    <col min="4" max="5" width="9.140625" style="22"/>
    <col min="6" max="6" width="11.5703125" style="22" bestFit="1" customWidth="1"/>
    <col min="7" max="18" width="9.140625" style="22"/>
    <col min="19" max="19" width="11.42578125" style="22" bestFit="1" customWidth="1"/>
    <col min="20" max="25" width="9.140625" style="22"/>
    <col min="26" max="26" width="8.85546875" style="22" bestFit="1" customWidth="1"/>
    <col min="27" max="28" width="9.140625" style="22"/>
    <col min="29" max="29" width="26" style="22" bestFit="1" customWidth="1"/>
    <col min="30" max="42" width="9.140625" style="22"/>
    <col min="43" max="43" width="25.7109375" style="22" bestFit="1" customWidth="1"/>
    <col min="44" max="55" width="9.140625" style="22"/>
    <col min="56" max="56" width="26.140625" style="22" bestFit="1" customWidth="1"/>
    <col min="57" max="16384" width="9.1406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632" t="s">
        <v>12</v>
      </c>
      <c r="C67" s="1859" t="s">
        <v>190</v>
      </c>
      <c r="D67" s="1862" t="s">
        <v>191</v>
      </c>
      <c r="E67" s="1863"/>
      <c r="F67" s="1863"/>
      <c r="G67" s="1864"/>
      <c r="H67" s="1862" t="s">
        <v>192</v>
      </c>
      <c r="I67" s="1863"/>
      <c r="J67" s="1863"/>
      <c r="K67" s="1863"/>
      <c r="L67" s="1863"/>
      <c r="M67" s="1863"/>
      <c r="N67" s="1864"/>
      <c r="O67" s="638"/>
      <c r="P67" s="638"/>
      <c r="Q67" s="638"/>
      <c r="R67" s="1846" t="s">
        <v>229</v>
      </c>
      <c r="S67" s="1846" t="s">
        <v>190</v>
      </c>
      <c r="T67" s="1853" t="s">
        <v>230</v>
      </c>
      <c r="U67" s="1854"/>
      <c r="V67" s="1854"/>
      <c r="W67" s="1854"/>
      <c r="X67" s="1854"/>
      <c r="Y67" s="1854"/>
      <c r="Z67" s="1854"/>
      <c r="AA67" s="1854"/>
      <c r="AB67" s="1854"/>
      <c r="AC67" s="1855"/>
      <c r="AG67" s="1843" t="s">
        <v>229</v>
      </c>
      <c r="AH67" s="1843" t="s">
        <v>190</v>
      </c>
      <c r="AI67" s="1840" t="s">
        <v>230</v>
      </c>
      <c r="AJ67" s="1841"/>
      <c r="AK67" s="1841"/>
      <c r="AL67" s="1841"/>
      <c r="AM67" s="1841"/>
      <c r="AN67" s="1841"/>
      <c r="AO67" s="1841"/>
      <c r="AP67" s="1841"/>
      <c r="AQ67" s="1842"/>
      <c r="AR67" s="629" t="s">
        <v>249</v>
      </c>
    </row>
    <row r="68" spans="2:44" ht="21" thickBot="1">
      <c r="B68" s="633" t="s">
        <v>187</v>
      </c>
      <c r="C68" s="1860"/>
      <c r="D68" s="1865" t="s">
        <v>50</v>
      </c>
      <c r="E68" s="1866"/>
      <c r="F68" s="1866"/>
      <c r="G68" s="1867"/>
      <c r="H68" s="1865"/>
      <c r="I68" s="1871"/>
      <c r="J68" s="1871"/>
      <c r="K68" s="1871"/>
      <c r="L68" s="1871"/>
      <c r="M68" s="1871"/>
      <c r="N68" s="1867"/>
      <c r="O68" s="638"/>
      <c r="P68" s="638"/>
      <c r="Q68" s="638"/>
      <c r="R68" s="1848"/>
      <c r="S68" s="1852"/>
      <c r="T68" s="23" t="s">
        <v>237</v>
      </c>
      <c r="U68" s="23" t="s">
        <v>238</v>
      </c>
      <c r="V68" s="23" t="s">
        <v>239</v>
      </c>
      <c r="W68" s="23" t="s">
        <v>240</v>
      </c>
      <c r="X68" s="23" t="s">
        <v>241</v>
      </c>
      <c r="Y68" s="23" t="s">
        <v>242</v>
      </c>
      <c r="Z68" s="23" t="s">
        <v>243</v>
      </c>
      <c r="AA68" s="23" t="s">
        <v>244</v>
      </c>
      <c r="AB68" s="23" t="s">
        <v>245</v>
      </c>
      <c r="AC68" s="23" t="s">
        <v>231</v>
      </c>
      <c r="AG68" s="1844"/>
      <c r="AH68" s="1844"/>
      <c r="AI68" s="639" t="s">
        <v>251</v>
      </c>
      <c r="AJ68" s="639" t="s">
        <v>252</v>
      </c>
      <c r="AK68" s="639" t="s">
        <v>253</v>
      </c>
      <c r="AL68" s="639" t="s">
        <v>254</v>
      </c>
      <c r="AM68" s="639" t="s">
        <v>255</v>
      </c>
      <c r="AN68" s="639" t="s">
        <v>256</v>
      </c>
      <c r="AO68" s="639" t="s">
        <v>257</v>
      </c>
      <c r="AP68" s="639" t="s">
        <v>258</v>
      </c>
      <c r="AQ68" s="639" t="s">
        <v>259</v>
      </c>
      <c r="AR68" s="631" t="s">
        <v>250</v>
      </c>
    </row>
    <row r="69" spans="2:44" ht="39.75" customHeight="1" thickBot="1">
      <c r="B69" s="633" t="s">
        <v>188</v>
      </c>
      <c r="C69" s="1860"/>
      <c r="D69" s="1868"/>
      <c r="E69" s="1869"/>
      <c r="F69" s="1869"/>
      <c r="G69" s="1870"/>
      <c r="H69" s="1868"/>
      <c r="I69" s="1869"/>
      <c r="J69" s="1869"/>
      <c r="K69" s="1869"/>
      <c r="L69" s="1869"/>
      <c r="M69" s="1869"/>
      <c r="N69" s="1870"/>
      <c r="O69" s="638"/>
      <c r="P69" s="638"/>
      <c r="Q69" s="638"/>
      <c r="R69" s="636">
        <v>50</v>
      </c>
      <c r="S69" s="1846">
        <v>2.4</v>
      </c>
      <c r="T69" s="1846">
        <v>72</v>
      </c>
      <c r="U69" s="24" t="s">
        <v>203</v>
      </c>
      <c r="V69" s="24">
        <v>3</v>
      </c>
      <c r="W69" s="24">
        <v>3</v>
      </c>
      <c r="X69" s="24">
        <v>80</v>
      </c>
      <c r="Y69" s="24">
        <v>102</v>
      </c>
      <c r="Z69" s="24">
        <v>22</v>
      </c>
      <c r="AA69" s="1846">
        <v>62</v>
      </c>
      <c r="AB69" s="1846">
        <v>36</v>
      </c>
      <c r="AC69" s="24">
        <v>50</v>
      </c>
      <c r="AG69" s="628">
        <v>50</v>
      </c>
      <c r="AH69" s="1843">
        <v>2.4</v>
      </c>
      <c r="AI69" s="631">
        <v>3</v>
      </c>
      <c r="AJ69" s="631">
        <v>3</v>
      </c>
      <c r="AK69" s="631">
        <v>10.199999999999999</v>
      </c>
      <c r="AL69" s="631">
        <v>6</v>
      </c>
      <c r="AM69" s="631">
        <v>124</v>
      </c>
      <c r="AN69" s="631">
        <v>9</v>
      </c>
      <c r="AO69" s="1843">
        <v>5.8</v>
      </c>
      <c r="AP69" s="631">
        <v>9</v>
      </c>
      <c r="AQ69" s="631">
        <v>10.199999999999999</v>
      </c>
      <c r="AR69" s="631">
        <v>3.3</v>
      </c>
    </row>
    <row r="70" spans="2:44" ht="57.75" customHeight="1" thickBot="1">
      <c r="B70" s="634" t="s">
        <v>189</v>
      </c>
      <c r="C70" s="1861"/>
      <c r="D70" s="635" t="s">
        <v>219</v>
      </c>
      <c r="E70" s="635" t="s">
        <v>219</v>
      </c>
      <c r="F70" s="635" t="s">
        <v>220</v>
      </c>
      <c r="G70" s="635" t="s">
        <v>221</v>
      </c>
      <c r="H70" s="635" t="s">
        <v>222</v>
      </c>
      <c r="I70" s="635" t="s">
        <v>223</v>
      </c>
      <c r="J70" s="635" t="s">
        <v>224</v>
      </c>
      <c r="K70" s="635" t="s">
        <v>225</v>
      </c>
      <c r="L70" s="635" t="s">
        <v>226</v>
      </c>
      <c r="M70" s="635" t="s">
        <v>227</v>
      </c>
      <c r="N70" s="635" t="s">
        <v>228</v>
      </c>
      <c r="R70" s="636">
        <v>56</v>
      </c>
      <c r="S70" s="1848"/>
      <c r="T70" s="1847"/>
      <c r="U70" s="24" t="s">
        <v>203</v>
      </c>
      <c r="V70" s="24">
        <v>4</v>
      </c>
      <c r="W70" s="24">
        <v>4</v>
      </c>
      <c r="X70" s="24">
        <v>90</v>
      </c>
      <c r="Y70" s="24">
        <v>116</v>
      </c>
      <c r="Z70" s="24">
        <v>23</v>
      </c>
      <c r="AA70" s="1847"/>
      <c r="AB70" s="1847"/>
      <c r="AC70" s="24">
        <v>56</v>
      </c>
      <c r="AG70" s="628">
        <v>56</v>
      </c>
      <c r="AH70" s="1844"/>
      <c r="AI70" s="631">
        <v>4</v>
      </c>
      <c r="AJ70" s="631">
        <v>4</v>
      </c>
      <c r="AK70" s="631">
        <v>12.5</v>
      </c>
      <c r="AL70" s="1843">
        <v>7</v>
      </c>
      <c r="AM70" s="631">
        <v>134</v>
      </c>
      <c r="AN70" s="631">
        <v>11</v>
      </c>
      <c r="AO70" s="1844"/>
      <c r="AP70" s="631">
        <v>11</v>
      </c>
      <c r="AQ70" s="631">
        <v>12.5</v>
      </c>
      <c r="AR70" s="631">
        <v>4.5</v>
      </c>
    </row>
    <row r="71" spans="2:44" ht="19.5" thickBot="1">
      <c r="B71" s="634">
        <v>50</v>
      </c>
      <c r="C71" s="1856" t="s">
        <v>193</v>
      </c>
      <c r="D71" s="635">
        <v>174</v>
      </c>
      <c r="E71" s="635">
        <v>198</v>
      </c>
      <c r="F71" s="635">
        <v>142</v>
      </c>
      <c r="G71" s="635">
        <v>112</v>
      </c>
      <c r="H71" s="635">
        <v>20</v>
      </c>
      <c r="I71" s="635">
        <v>20</v>
      </c>
      <c r="J71" s="635">
        <v>63</v>
      </c>
      <c r="K71" s="635">
        <v>77</v>
      </c>
      <c r="L71" s="25" t="s">
        <v>194</v>
      </c>
      <c r="M71" s="635">
        <v>32</v>
      </c>
      <c r="N71" s="635">
        <v>61</v>
      </c>
      <c r="O71" s="638"/>
      <c r="P71" s="638"/>
      <c r="Q71" s="638"/>
      <c r="R71" s="636">
        <v>63</v>
      </c>
      <c r="S71" s="24" t="s">
        <v>232</v>
      </c>
      <c r="T71" s="1848"/>
      <c r="U71" s="24" t="s">
        <v>203</v>
      </c>
      <c r="V71" s="24">
        <v>5</v>
      </c>
      <c r="W71" s="24">
        <v>5</v>
      </c>
      <c r="X71" s="24">
        <v>100</v>
      </c>
      <c r="Y71" s="24">
        <v>129</v>
      </c>
      <c r="Z71" s="24">
        <v>27</v>
      </c>
      <c r="AA71" s="1848"/>
      <c r="AB71" s="1848"/>
      <c r="AC71" s="24">
        <v>63</v>
      </c>
      <c r="AG71" s="628">
        <v>63</v>
      </c>
      <c r="AH71" s="631" t="s">
        <v>232</v>
      </c>
      <c r="AI71" s="631">
        <v>5</v>
      </c>
      <c r="AJ71" s="631">
        <v>5</v>
      </c>
      <c r="AK71" s="631">
        <v>16</v>
      </c>
      <c r="AL71" s="1844"/>
      <c r="AM71" s="631">
        <v>146</v>
      </c>
      <c r="AN71" s="631">
        <v>14</v>
      </c>
      <c r="AO71" s="1843">
        <v>7</v>
      </c>
      <c r="AP71" s="631">
        <v>14</v>
      </c>
      <c r="AQ71" s="631">
        <v>16</v>
      </c>
      <c r="AR71" s="631">
        <v>6.3</v>
      </c>
    </row>
    <row r="72" spans="2:44" ht="19.5" thickBot="1">
      <c r="B72" s="634">
        <v>56</v>
      </c>
      <c r="C72" s="1857"/>
      <c r="D72" s="635">
        <v>194</v>
      </c>
      <c r="E72" s="635">
        <v>221</v>
      </c>
      <c r="F72" s="635">
        <v>152</v>
      </c>
      <c r="G72" s="635">
        <v>128</v>
      </c>
      <c r="H72" s="635">
        <v>23</v>
      </c>
      <c r="I72" s="635">
        <v>23</v>
      </c>
      <c r="J72" s="635">
        <v>71</v>
      </c>
      <c r="K72" s="635">
        <v>85</v>
      </c>
      <c r="L72" s="635" t="s">
        <v>194</v>
      </c>
      <c r="M72" s="635">
        <v>36</v>
      </c>
      <c r="N72" s="635">
        <v>65</v>
      </c>
      <c r="O72" s="638"/>
      <c r="P72" s="638"/>
      <c r="Q72" s="638"/>
      <c r="R72" s="636">
        <v>71</v>
      </c>
      <c r="S72" s="1846" t="s">
        <v>247</v>
      </c>
      <c r="T72" s="1846">
        <v>93</v>
      </c>
      <c r="U72" s="24" t="s">
        <v>203</v>
      </c>
      <c r="V72" s="1846">
        <v>6</v>
      </c>
      <c r="W72" s="1846">
        <v>6</v>
      </c>
      <c r="X72" s="24">
        <v>112</v>
      </c>
      <c r="Y72" s="24">
        <v>135</v>
      </c>
      <c r="Z72" s="24">
        <v>28.5</v>
      </c>
      <c r="AA72" s="1846" t="s">
        <v>233</v>
      </c>
      <c r="AB72" s="1846">
        <v>48</v>
      </c>
      <c r="AC72" s="24">
        <v>71</v>
      </c>
      <c r="AG72" s="628">
        <v>71</v>
      </c>
      <c r="AH72" s="630">
        <v>2.4</v>
      </c>
      <c r="AI72" s="1843">
        <v>6</v>
      </c>
      <c r="AJ72" s="1843">
        <v>6</v>
      </c>
      <c r="AK72" s="631">
        <v>21.5</v>
      </c>
      <c r="AL72" s="631">
        <v>9</v>
      </c>
      <c r="AM72" s="631" t="s">
        <v>260</v>
      </c>
      <c r="AN72" s="631">
        <v>19</v>
      </c>
      <c r="AO72" s="1844"/>
      <c r="AP72" s="631">
        <v>19</v>
      </c>
      <c r="AQ72" s="631">
        <v>21.5</v>
      </c>
      <c r="AR72" s="631">
        <v>15.1</v>
      </c>
    </row>
    <row r="73" spans="2:44" ht="19.5" thickBot="1">
      <c r="B73" s="634">
        <v>63</v>
      </c>
      <c r="C73" s="635" t="s">
        <v>195</v>
      </c>
      <c r="D73" s="635">
        <v>216</v>
      </c>
      <c r="E73" s="635">
        <v>250</v>
      </c>
      <c r="F73" s="635" t="s">
        <v>196</v>
      </c>
      <c r="G73" s="635">
        <v>138</v>
      </c>
      <c r="H73" s="635">
        <v>30</v>
      </c>
      <c r="I73" s="635">
        <v>30</v>
      </c>
      <c r="J73" s="635">
        <v>80</v>
      </c>
      <c r="K73" s="635">
        <v>96</v>
      </c>
      <c r="L73" s="635" t="s">
        <v>194</v>
      </c>
      <c r="M73" s="635">
        <v>40</v>
      </c>
      <c r="N73" s="635">
        <v>67</v>
      </c>
      <c r="O73" s="638"/>
      <c r="P73" s="638"/>
      <c r="Q73" s="638"/>
      <c r="R73" s="636" t="s">
        <v>234</v>
      </c>
      <c r="S73" s="1847"/>
      <c r="T73" s="1847"/>
      <c r="U73" s="24" t="s">
        <v>203</v>
      </c>
      <c r="V73" s="1847"/>
      <c r="W73" s="1847"/>
      <c r="X73" s="1846">
        <v>125</v>
      </c>
      <c r="Y73" s="1846">
        <v>155</v>
      </c>
      <c r="Z73" s="1846">
        <v>33</v>
      </c>
      <c r="AA73" s="1847"/>
      <c r="AB73" s="1847"/>
      <c r="AC73" s="1846">
        <v>80</v>
      </c>
      <c r="AG73" s="628" t="s">
        <v>234</v>
      </c>
      <c r="AH73" s="630">
        <v>6.8</v>
      </c>
      <c r="AI73" s="1845"/>
      <c r="AJ73" s="1845"/>
      <c r="AK73" s="1843">
        <v>24.5</v>
      </c>
      <c r="AL73" s="1843">
        <v>10</v>
      </c>
      <c r="AM73" s="1843" t="s">
        <v>261</v>
      </c>
      <c r="AN73" s="1843">
        <v>22</v>
      </c>
      <c r="AO73" s="1843">
        <v>10</v>
      </c>
      <c r="AP73" s="1843">
        <v>22</v>
      </c>
      <c r="AQ73" s="1843">
        <v>24.5</v>
      </c>
      <c r="AR73" s="631">
        <v>17.399999999999999</v>
      </c>
    </row>
    <row r="74" spans="2:44" ht="38.25" customHeight="1" thickBot="1">
      <c r="B74" s="634">
        <v>71</v>
      </c>
      <c r="C74" s="1856" t="s">
        <v>247</v>
      </c>
      <c r="D74" s="635">
        <v>285</v>
      </c>
      <c r="E74" s="635">
        <v>330</v>
      </c>
      <c r="F74" s="635" t="s">
        <v>201</v>
      </c>
      <c r="G74" s="635">
        <v>170</v>
      </c>
      <c r="H74" s="635">
        <v>40</v>
      </c>
      <c r="I74" s="635">
        <v>40</v>
      </c>
      <c r="J74" s="635">
        <v>90</v>
      </c>
      <c r="K74" s="635" t="s">
        <v>263</v>
      </c>
      <c r="L74" s="635" t="s">
        <v>194</v>
      </c>
      <c r="M74" s="635">
        <v>45</v>
      </c>
      <c r="N74" s="635">
        <v>73.5</v>
      </c>
      <c r="O74" s="638"/>
      <c r="P74" s="638"/>
      <c r="Q74" s="638"/>
      <c r="R74" s="636" t="s">
        <v>235</v>
      </c>
      <c r="S74" s="1847"/>
      <c r="T74" s="1847"/>
      <c r="U74" s="24" t="s">
        <v>203</v>
      </c>
      <c r="V74" s="1848"/>
      <c r="W74" s="1848"/>
      <c r="X74" s="1848"/>
      <c r="Y74" s="1848"/>
      <c r="Z74" s="1848"/>
      <c r="AA74" s="1847"/>
      <c r="AB74" s="1847"/>
      <c r="AC74" s="1848"/>
      <c r="AG74" s="628" t="s">
        <v>235</v>
      </c>
      <c r="AH74" s="640"/>
      <c r="AI74" s="1844"/>
      <c r="AJ74" s="1844"/>
      <c r="AK74" s="1844"/>
      <c r="AL74" s="1844"/>
      <c r="AM74" s="1844"/>
      <c r="AN74" s="1844"/>
      <c r="AO74" s="1845"/>
      <c r="AP74" s="1844"/>
      <c r="AQ74" s="1844"/>
      <c r="AR74" s="631">
        <v>20.399999999999999</v>
      </c>
    </row>
    <row r="75" spans="2:44" ht="19.5" thickBot="1">
      <c r="B75" s="634" t="s">
        <v>197</v>
      </c>
      <c r="C75" s="1858"/>
      <c r="D75" s="635">
        <v>300</v>
      </c>
      <c r="E75" s="635">
        <v>355</v>
      </c>
      <c r="F75" s="1856" t="s">
        <v>200</v>
      </c>
      <c r="G75" s="1856">
        <v>186</v>
      </c>
      <c r="H75" s="1856">
        <v>50</v>
      </c>
      <c r="I75" s="1856">
        <v>50</v>
      </c>
      <c r="J75" s="1856">
        <v>100</v>
      </c>
      <c r="K75" s="1856">
        <v>125</v>
      </c>
      <c r="L75" s="1856" t="s">
        <v>194</v>
      </c>
      <c r="M75" s="1856">
        <v>50</v>
      </c>
      <c r="N75" s="1856">
        <v>76</v>
      </c>
      <c r="O75" s="638"/>
      <c r="P75" s="638"/>
      <c r="Q75" s="638"/>
      <c r="R75" s="636" t="s">
        <v>199</v>
      </c>
      <c r="S75" s="1848"/>
      <c r="T75" s="1848"/>
      <c r="U75" s="24" t="s">
        <v>236</v>
      </c>
      <c r="V75" s="24">
        <v>8</v>
      </c>
      <c r="W75" s="24">
        <v>8</v>
      </c>
      <c r="X75" s="24">
        <v>140</v>
      </c>
      <c r="Y75" s="24">
        <v>175</v>
      </c>
      <c r="Z75" s="24">
        <v>38</v>
      </c>
      <c r="AA75" s="1848"/>
      <c r="AB75" s="1848"/>
      <c r="AC75" s="24">
        <v>90</v>
      </c>
      <c r="AG75" s="628" t="s">
        <v>199</v>
      </c>
      <c r="AH75" s="641"/>
      <c r="AI75" s="631">
        <v>7</v>
      </c>
      <c r="AJ75" s="631">
        <v>7</v>
      </c>
      <c r="AK75" s="631">
        <v>27</v>
      </c>
      <c r="AL75" s="631">
        <v>11</v>
      </c>
      <c r="AM75" s="631" t="s">
        <v>262</v>
      </c>
      <c r="AN75" s="631">
        <v>24</v>
      </c>
      <c r="AO75" s="1844"/>
      <c r="AP75" s="631">
        <v>24</v>
      </c>
      <c r="AQ75" s="631">
        <v>27</v>
      </c>
      <c r="AR75" s="631">
        <v>28.7</v>
      </c>
    </row>
    <row r="76" spans="2:44" ht="40.5" customHeight="1" thickBot="1">
      <c r="B76" s="634" t="s">
        <v>198</v>
      </c>
      <c r="C76" s="1858"/>
      <c r="D76" s="635">
        <v>320</v>
      </c>
      <c r="E76" s="635">
        <v>375</v>
      </c>
      <c r="F76" s="1857"/>
      <c r="G76" s="1857"/>
      <c r="H76" s="1858"/>
      <c r="I76" s="1858"/>
      <c r="J76" s="1857"/>
      <c r="K76" s="1857"/>
      <c r="L76" s="1857"/>
      <c r="M76" s="1857"/>
      <c r="N76" s="1857"/>
      <c r="O76" s="638"/>
      <c r="P76" s="638"/>
      <c r="Q76" s="638"/>
      <c r="R76" s="27" t="s">
        <v>202</v>
      </c>
      <c r="S76" s="637">
        <v>2.4</v>
      </c>
      <c r="T76" s="1846">
        <v>93</v>
      </c>
      <c r="U76" s="1846">
        <v>228.5</v>
      </c>
      <c r="V76" s="1846">
        <v>8</v>
      </c>
      <c r="W76" s="1846">
        <v>8</v>
      </c>
      <c r="X76" s="1846">
        <v>160</v>
      </c>
      <c r="Y76" s="1846">
        <v>200</v>
      </c>
      <c r="Z76" s="1846">
        <v>44</v>
      </c>
      <c r="AA76" s="1846" t="s">
        <v>246</v>
      </c>
      <c r="AB76" s="1846">
        <v>48</v>
      </c>
      <c r="AC76" s="1846">
        <v>100</v>
      </c>
      <c r="AG76" s="1849" t="s">
        <v>202</v>
      </c>
      <c r="AH76" s="1849" t="s">
        <v>193</v>
      </c>
      <c r="AI76" s="1849">
        <v>7</v>
      </c>
      <c r="AJ76" s="1849">
        <v>7</v>
      </c>
      <c r="AK76" s="1849">
        <v>31</v>
      </c>
      <c r="AL76" s="1849">
        <v>12</v>
      </c>
      <c r="AM76" s="1849">
        <v>231</v>
      </c>
      <c r="AN76" s="1849">
        <v>28</v>
      </c>
      <c r="AO76" s="1849">
        <v>12</v>
      </c>
      <c r="AP76" s="1849">
        <v>28</v>
      </c>
      <c r="AQ76" s="1849">
        <v>31</v>
      </c>
      <c r="AR76" s="1849">
        <v>36</v>
      </c>
    </row>
    <row r="77" spans="2:44" ht="19.5" thickBot="1">
      <c r="B77" s="634" t="s">
        <v>199</v>
      </c>
      <c r="C77" s="1857"/>
      <c r="D77" s="635">
        <v>350</v>
      </c>
      <c r="E77" s="635">
        <v>405</v>
      </c>
      <c r="F77" s="635">
        <v>243260</v>
      </c>
      <c r="G77" s="635">
        <v>208</v>
      </c>
      <c r="H77" s="1857"/>
      <c r="I77" s="1857"/>
      <c r="J77" s="635">
        <v>125</v>
      </c>
      <c r="K77" s="635">
        <v>155</v>
      </c>
      <c r="L77" s="635" t="s">
        <v>194</v>
      </c>
      <c r="M77" s="635">
        <v>56</v>
      </c>
      <c r="N77" s="635">
        <v>79</v>
      </c>
      <c r="O77" s="638"/>
      <c r="P77" s="638"/>
      <c r="Q77" s="638"/>
      <c r="R77" s="636" t="s">
        <v>204</v>
      </c>
      <c r="S77" s="26">
        <v>2.4</v>
      </c>
      <c r="T77" s="1848"/>
      <c r="U77" s="1848"/>
      <c r="V77" s="1848"/>
      <c r="W77" s="1848"/>
      <c r="X77" s="1848"/>
      <c r="Y77" s="1848"/>
      <c r="Z77" s="1848"/>
      <c r="AA77" s="1848"/>
      <c r="AB77" s="1848"/>
      <c r="AC77" s="1848"/>
      <c r="AG77" s="1850"/>
      <c r="AH77" s="1850"/>
      <c r="AI77" s="1851"/>
      <c r="AJ77" s="1851"/>
      <c r="AK77" s="1851"/>
      <c r="AL77" s="1851"/>
      <c r="AM77" s="1850"/>
      <c r="AN77" s="1851"/>
      <c r="AO77" s="1851"/>
      <c r="AP77" s="1851"/>
      <c r="AQ77" s="1851"/>
      <c r="AR77" s="1850"/>
    </row>
    <row r="78" spans="2:44" ht="19.5" thickBot="1">
      <c r="B78" s="27" t="s">
        <v>202</v>
      </c>
      <c r="C78" s="637">
        <v>2.4</v>
      </c>
      <c r="D78" s="637">
        <v>365</v>
      </c>
      <c r="E78" s="637">
        <v>427</v>
      </c>
      <c r="F78" s="637">
        <v>265</v>
      </c>
      <c r="G78" s="1846">
        <v>235</v>
      </c>
      <c r="H78" s="1846">
        <v>60</v>
      </c>
      <c r="I78" s="1846">
        <v>60</v>
      </c>
      <c r="J78" s="637">
        <v>112</v>
      </c>
      <c r="K78" s="637">
        <v>147</v>
      </c>
      <c r="L78" s="1846" t="s">
        <v>203</v>
      </c>
      <c r="M78" s="1846">
        <v>63</v>
      </c>
      <c r="N78" s="1846">
        <v>83.5</v>
      </c>
      <c r="O78" s="638"/>
      <c r="P78" s="638"/>
      <c r="Q78" s="638"/>
      <c r="R78" s="636" t="s">
        <v>205</v>
      </c>
      <c r="S78" s="24">
        <v>6.8</v>
      </c>
      <c r="T78" s="1846">
        <v>126</v>
      </c>
      <c r="U78" s="24">
        <v>268</v>
      </c>
      <c r="V78" s="1846">
        <v>10</v>
      </c>
      <c r="W78" s="1846">
        <v>10</v>
      </c>
      <c r="X78" s="24">
        <v>190</v>
      </c>
      <c r="Y78" s="24">
        <v>230</v>
      </c>
      <c r="Z78" s="24">
        <v>40</v>
      </c>
      <c r="AA78" s="1846">
        <v>115</v>
      </c>
      <c r="AB78" s="24">
        <v>30</v>
      </c>
      <c r="AC78" s="24">
        <v>112</v>
      </c>
      <c r="AG78" s="1849" t="s">
        <v>204</v>
      </c>
      <c r="AH78" s="642" t="s">
        <v>264</v>
      </c>
      <c r="AI78" s="1851"/>
      <c r="AJ78" s="1851"/>
      <c r="AK78" s="1851"/>
      <c r="AL78" s="1851"/>
      <c r="AM78" s="1849">
        <v>240</v>
      </c>
      <c r="AN78" s="1851"/>
      <c r="AO78" s="1851"/>
      <c r="AP78" s="1851"/>
      <c r="AQ78" s="1851"/>
      <c r="AR78" s="1849">
        <v>42</v>
      </c>
    </row>
    <row r="79" spans="2:44" ht="19.5" thickBot="1">
      <c r="B79" s="636" t="s">
        <v>204</v>
      </c>
      <c r="C79" s="26">
        <v>2.4</v>
      </c>
      <c r="D79" s="24">
        <v>395</v>
      </c>
      <c r="E79" s="24">
        <v>457</v>
      </c>
      <c r="F79" s="24">
        <v>280</v>
      </c>
      <c r="G79" s="1848"/>
      <c r="H79" s="1848"/>
      <c r="I79" s="1848"/>
      <c r="J79" s="1846">
        <v>140</v>
      </c>
      <c r="K79" s="24">
        <v>175</v>
      </c>
      <c r="L79" s="1848"/>
      <c r="M79" s="1848"/>
      <c r="N79" s="1848"/>
      <c r="O79" s="638"/>
      <c r="P79" s="638"/>
      <c r="Q79" s="638"/>
      <c r="R79" s="636" t="s">
        <v>206</v>
      </c>
      <c r="S79" s="24" t="s">
        <v>207</v>
      </c>
      <c r="T79" s="1847"/>
      <c r="U79" s="1846">
        <v>277</v>
      </c>
      <c r="V79" s="1847"/>
      <c r="W79" s="1847"/>
      <c r="X79" s="1846">
        <v>216</v>
      </c>
      <c r="Y79" s="1846">
        <v>265</v>
      </c>
      <c r="Z79" s="1846">
        <v>44</v>
      </c>
      <c r="AA79" s="1847"/>
      <c r="AB79" s="1846">
        <v>40</v>
      </c>
      <c r="AC79" s="1846">
        <v>132</v>
      </c>
      <c r="AG79" s="1851"/>
      <c r="AH79" s="642" t="s">
        <v>265</v>
      </c>
      <c r="AI79" s="1851"/>
      <c r="AJ79" s="1851"/>
      <c r="AK79" s="1851"/>
      <c r="AL79" s="1851"/>
      <c r="AM79" s="1851"/>
      <c r="AN79" s="1851"/>
      <c r="AO79" s="1851"/>
      <c r="AP79" s="1851"/>
      <c r="AQ79" s="1851"/>
      <c r="AR79" s="1851"/>
    </row>
    <row r="80" spans="2:44" ht="19.5" thickBot="1">
      <c r="B80" s="636" t="s">
        <v>205</v>
      </c>
      <c r="C80" s="24">
        <v>6.8</v>
      </c>
      <c r="D80" s="24">
        <v>452</v>
      </c>
      <c r="E80" s="24">
        <v>534</v>
      </c>
      <c r="F80" s="24">
        <v>310</v>
      </c>
      <c r="G80" s="24">
        <v>260</v>
      </c>
      <c r="H80" s="1846">
        <v>80</v>
      </c>
      <c r="I80" s="1846">
        <v>80</v>
      </c>
      <c r="J80" s="1847"/>
      <c r="K80" s="24">
        <v>180</v>
      </c>
      <c r="L80" s="24" t="s">
        <v>203</v>
      </c>
      <c r="M80" s="24">
        <v>70</v>
      </c>
      <c r="N80" s="1846">
        <v>100</v>
      </c>
      <c r="O80" s="638"/>
      <c r="P80" s="638"/>
      <c r="Q80" s="638"/>
      <c r="R80" s="1846" t="s">
        <v>208</v>
      </c>
      <c r="S80" s="1846" t="s">
        <v>247</v>
      </c>
      <c r="T80" s="1847"/>
      <c r="U80" s="1847"/>
      <c r="V80" s="1847"/>
      <c r="W80" s="1847"/>
      <c r="X80" s="1847"/>
      <c r="Y80" s="1847"/>
      <c r="Z80" s="1847"/>
      <c r="AA80" s="1847"/>
      <c r="AB80" s="1847"/>
      <c r="AC80" s="1847"/>
      <c r="AG80" s="1850"/>
      <c r="AH80" s="642"/>
      <c r="AI80" s="1850"/>
      <c r="AJ80" s="1850"/>
      <c r="AK80" s="1850"/>
      <c r="AL80" s="1851"/>
      <c r="AM80" s="1850"/>
      <c r="AN80" s="1850"/>
      <c r="AO80" s="1851"/>
      <c r="AP80" s="1850"/>
      <c r="AQ80" s="1850"/>
      <c r="AR80" s="1850"/>
    </row>
    <row r="81" spans="2:44" ht="19.5" thickBot="1">
      <c r="B81" s="636" t="s">
        <v>206</v>
      </c>
      <c r="C81" s="24" t="s">
        <v>207</v>
      </c>
      <c r="D81" s="24">
        <v>480</v>
      </c>
      <c r="E81" s="24">
        <v>560</v>
      </c>
      <c r="F81" s="1846">
        <v>350</v>
      </c>
      <c r="G81" s="1846">
        <v>302</v>
      </c>
      <c r="H81" s="1847"/>
      <c r="I81" s="1847"/>
      <c r="J81" s="1848"/>
      <c r="K81" s="24">
        <v>185</v>
      </c>
      <c r="L81" s="1846" t="s">
        <v>203</v>
      </c>
      <c r="M81" s="1846">
        <v>89</v>
      </c>
      <c r="N81" s="1847"/>
      <c r="O81" s="638"/>
      <c r="P81" s="638"/>
      <c r="Q81" s="638"/>
      <c r="R81" s="1848"/>
      <c r="S81" s="1848"/>
      <c r="T81" s="1848"/>
      <c r="U81" s="1848"/>
      <c r="V81" s="1848"/>
      <c r="W81" s="1848"/>
      <c r="X81" s="1848"/>
      <c r="Y81" s="1848"/>
      <c r="Z81" s="1848"/>
      <c r="AA81" s="1848"/>
      <c r="AB81" s="1848"/>
      <c r="AC81" s="1848"/>
      <c r="AG81" s="1849" t="s">
        <v>266</v>
      </c>
      <c r="AH81" s="642"/>
      <c r="AI81" s="642"/>
      <c r="AJ81" s="1849">
        <v>8</v>
      </c>
      <c r="AK81" s="1849">
        <v>35</v>
      </c>
      <c r="AL81" s="1851"/>
      <c r="AM81" s="1849">
        <v>262</v>
      </c>
      <c r="AN81" s="1849">
        <v>32</v>
      </c>
      <c r="AO81" s="1851"/>
      <c r="AP81" s="1849">
        <v>32</v>
      </c>
      <c r="AQ81" s="1849">
        <v>35</v>
      </c>
      <c r="AR81" s="1849">
        <v>56</v>
      </c>
    </row>
    <row r="82" spans="2:44" ht="19.5" thickBot="1">
      <c r="B82" s="1846" t="s">
        <v>208</v>
      </c>
      <c r="C82" s="1846" t="s">
        <v>247</v>
      </c>
      <c r="D82" s="1846">
        <v>530</v>
      </c>
      <c r="E82" s="1846">
        <v>610</v>
      </c>
      <c r="F82" s="1847"/>
      <c r="G82" s="1847"/>
      <c r="H82" s="1847"/>
      <c r="I82" s="1847"/>
      <c r="J82" s="1846">
        <v>178</v>
      </c>
      <c r="K82" s="1846">
        <v>223</v>
      </c>
      <c r="L82" s="1847"/>
      <c r="M82" s="1847"/>
      <c r="N82" s="1847"/>
      <c r="O82" s="638"/>
      <c r="P82" s="638"/>
      <c r="Q82" s="638"/>
      <c r="R82" s="1846" t="s">
        <v>209</v>
      </c>
      <c r="S82" s="24">
        <v>2</v>
      </c>
      <c r="T82" s="1846">
        <v>175</v>
      </c>
      <c r="U82" s="1846">
        <v>354</v>
      </c>
      <c r="V82" s="24">
        <v>12</v>
      </c>
      <c r="W82" s="1846">
        <v>12</v>
      </c>
      <c r="X82" s="1846">
        <v>254</v>
      </c>
      <c r="Y82" s="1846">
        <v>304</v>
      </c>
      <c r="Z82" s="1846">
        <v>50</v>
      </c>
      <c r="AA82" s="1846">
        <v>205</v>
      </c>
      <c r="AB82" s="1846">
        <v>115</v>
      </c>
      <c r="AC82" s="1846">
        <v>160</v>
      </c>
      <c r="AG82" s="1851"/>
      <c r="AH82" s="643"/>
      <c r="AI82" s="642">
        <v>8</v>
      </c>
      <c r="AJ82" s="1851"/>
      <c r="AK82" s="1851"/>
      <c r="AL82" s="1851"/>
      <c r="AM82" s="1851"/>
      <c r="AN82" s="1851"/>
      <c r="AO82" s="1851"/>
      <c r="AP82" s="1851"/>
      <c r="AQ82" s="1851"/>
      <c r="AR82" s="1851"/>
    </row>
    <row r="83" spans="2:44" ht="19.5" thickBot="1">
      <c r="B83" s="1848"/>
      <c r="C83" s="1848"/>
      <c r="D83" s="1848"/>
      <c r="E83" s="1848"/>
      <c r="F83" s="1848"/>
      <c r="G83" s="1848"/>
      <c r="H83" s="1848"/>
      <c r="I83" s="1848"/>
      <c r="J83" s="1847"/>
      <c r="K83" s="1848"/>
      <c r="L83" s="1848"/>
      <c r="M83" s="1848"/>
      <c r="N83" s="1848"/>
      <c r="O83" s="638"/>
      <c r="P83" s="638"/>
      <c r="Q83" s="638"/>
      <c r="R83" s="1848"/>
      <c r="S83" s="24" t="s">
        <v>207</v>
      </c>
      <c r="T83" s="1847"/>
      <c r="U83" s="1847"/>
      <c r="V83" s="24">
        <v>14</v>
      </c>
      <c r="W83" s="1847"/>
      <c r="X83" s="1847"/>
      <c r="Y83" s="1847"/>
      <c r="Z83" s="1847"/>
      <c r="AA83" s="1847"/>
      <c r="AB83" s="1847"/>
      <c r="AC83" s="1847"/>
      <c r="AG83" s="1850"/>
      <c r="AH83" s="644"/>
      <c r="AI83" s="642"/>
      <c r="AJ83" s="1851"/>
      <c r="AK83" s="1850"/>
      <c r="AL83" s="1850"/>
      <c r="AM83" s="1850"/>
      <c r="AN83" s="1850"/>
      <c r="AO83" s="1851"/>
      <c r="AP83" s="1850"/>
      <c r="AQ83" s="1850"/>
      <c r="AR83" s="1850"/>
    </row>
    <row r="84" spans="2:44" ht="19.5" thickBot="1">
      <c r="B84" s="1846" t="s">
        <v>209</v>
      </c>
      <c r="C84" s="24">
        <v>2</v>
      </c>
      <c r="D84" s="1846">
        <v>624</v>
      </c>
      <c r="E84" s="1846">
        <v>737</v>
      </c>
      <c r="F84" s="1846">
        <v>430</v>
      </c>
      <c r="G84" s="1846">
        <v>358</v>
      </c>
      <c r="H84" s="1846">
        <v>110</v>
      </c>
      <c r="I84" s="1846">
        <v>110</v>
      </c>
      <c r="J84" s="1847"/>
      <c r="K84" s="1846">
        <v>228</v>
      </c>
      <c r="L84" s="1846" t="s">
        <v>203</v>
      </c>
      <c r="M84" s="1846">
        <v>108</v>
      </c>
      <c r="N84" s="1846">
        <v>128</v>
      </c>
      <c r="O84" s="638"/>
      <c r="P84" s="638"/>
      <c r="Q84" s="638"/>
      <c r="R84" s="1846" t="s">
        <v>210</v>
      </c>
      <c r="S84" s="24">
        <v>2</v>
      </c>
      <c r="T84" s="1847"/>
      <c r="U84" s="1847"/>
      <c r="V84" s="24">
        <v>12</v>
      </c>
      <c r="W84" s="1847"/>
      <c r="X84" s="1847"/>
      <c r="Y84" s="1847"/>
      <c r="Z84" s="1847"/>
      <c r="AA84" s="1847"/>
      <c r="AB84" s="1847"/>
      <c r="AC84" s="1847"/>
      <c r="AG84" s="1849" t="s">
        <v>206</v>
      </c>
      <c r="AH84" s="1849" t="s">
        <v>267</v>
      </c>
      <c r="AI84" s="642"/>
      <c r="AJ84" s="1851"/>
      <c r="AK84" s="1849">
        <v>41</v>
      </c>
      <c r="AL84" s="1849">
        <v>13</v>
      </c>
      <c r="AM84" s="1849">
        <v>302</v>
      </c>
      <c r="AN84" s="1849">
        <v>38</v>
      </c>
      <c r="AO84" s="1851"/>
      <c r="AP84" s="1849">
        <v>38</v>
      </c>
      <c r="AQ84" s="1849">
        <v>41</v>
      </c>
      <c r="AR84" s="1849">
        <v>77</v>
      </c>
    </row>
    <row r="85" spans="2:44" ht="19.5" thickBot="1">
      <c r="B85" s="1848"/>
      <c r="C85" s="24" t="s">
        <v>207</v>
      </c>
      <c r="D85" s="1848"/>
      <c r="E85" s="1848"/>
      <c r="F85" s="1847"/>
      <c r="G85" s="1847"/>
      <c r="H85" s="1847"/>
      <c r="I85" s="1847"/>
      <c r="J85" s="1848"/>
      <c r="K85" s="1848"/>
      <c r="L85" s="1848"/>
      <c r="M85" s="1847"/>
      <c r="N85" s="1847"/>
      <c r="O85" s="638"/>
      <c r="P85" s="638"/>
      <c r="Q85" s="638"/>
      <c r="R85" s="1848"/>
      <c r="S85" s="24" t="s">
        <v>207</v>
      </c>
      <c r="T85" s="1847"/>
      <c r="U85" s="1848"/>
      <c r="V85" s="1846">
        <v>14</v>
      </c>
      <c r="W85" s="1848"/>
      <c r="X85" s="1848"/>
      <c r="Y85" s="1848"/>
      <c r="Z85" s="1848"/>
      <c r="AA85" s="1847"/>
      <c r="AB85" s="1847"/>
      <c r="AC85" s="1848"/>
      <c r="AG85" s="1850"/>
      <c r="AH85" s="1850"/>
      <c r="AI85" s="642"/>
      <c r="AJ85" s="1851"/>
      <c r="AK85" s="1851"/>
      <c r="AL85" s="1851"/>
      <c r="AM85" s="1851"/>
      <c r="AN85" s="1851"/>
      <c r="AO85" s="1851"/>
      <c r="AP85" s="1851"/>
      <c r="AQ85" s="1851"/>
      <c r="AR85" s="1850"/>
    </row>
    <row r="86" spans="2:44" ht="19.5" thickBot="1">
      <c r="B86" s="1846" t="s">
        <v>210</v>
      </c>
      <c r="C86" s="24">
        <v>2</v>
      </c>
      <c r="D86" s="1846">
        <v>667</v>
      </c>
      <c r="E86" s="1846">
        <v>780</v>
      </c>
      <c r="F86" s="1847"/>
      <c r="G86" s="1847"/>
      <c r="H86" s="1847"/>
      <c r="I86" s="1847"/>
      <c r="J86" s="1846">
        <v>210</v>
      </c>
      <c r="K86" s="1846">
        <v>260</v>
      </c>
      <c r="L86" s="1846" t="s">
        <v>203</v>
      </c>
      <c r="M86" s="1847"/>
      <c r="N86" s="1847"/>
      <c r="O86" s="638"/>
      <c r="P86" s="638"/>
      <c r="Q86" s="638"/>
      <c r="R86" s="1846" t="s">
        <v>211</v>
      </c>
      <c r="S86" s="24">
        <v>2</v>
      </c>
      <c r="T86" s="1847"/>
      <c r="U86" s="1846">
        <v>364</v>
      </c>
      <c r="V86" s="1848"/>
      <c r="W86" s="1846">
        <v>14</v>
      </c>
      <c r="X86" s="1846">
        <v>279</v>
      </c>
      <c r="Y86" s="1846">
        <v>340</v>
      </c>
      <c r="Z86" s="1846">
        <v>67</v>
      </c>
      <c r="AA86" s="1847"/>
      <c r="AB86" s="1847"/>
      <c r="AC86" s="1846">
        <v>180</v>
      </c>
      <c r="AG86" s="645" t="s">
        <v>268</v>
      </c>
      <c r="AH86" s="646" t="s">
        <v>269</v>
      </c>
      <c r="AI86" s="642"/>
      <c r="AJ86" s="1851"/>
      <c r="AK86" s="1850"/>
      <c r="AL86" s="1850"/>
      <c r="AM86" s="1850"/>
      <c r="AN86" s="1850"/>
      <c r="AO86" s="1850"/>
      <c r="AP86" s="1850"/>
      <c r="AQ86" s="1850"/>
      <c r="AR86" s="646">
        <v>93</v>
      </c>
    </row>
    <row r="87" spans="2:44" ht="19.5" thickBot="1">
      <c r="B87" s="1848"/>
      <c r="C87" s="24" t="s">
        <v>207</v>
      </c>
      <c r="D87" s="1848"/>
      <c r="E87" s="1848"/>
      <c r="F87" s="1848"/>
      <c r="G87" s="1848"/>
      <c r="H87" s="1847"/>
      <c r="I87" s="1847"/>
      <c r="J87" s="1848"/>
      <c r="K87" s="1848"/>
      <c r="L87" s="1848"/>
      <c r="M87" s="1848"/>
      <c r="N87" s="1848"/>
      <c r="O87" s="638"/>
      <c r="P87" s="638"/>
      <c r="Q87" s="638"/>
      <c r="R87" s="1848"/>
      <c r="S87" s="24">
        <v>4</v>
      </c>
      <c r="T87" s="1847"/>
      <c r="U87" s="1847"/>
      <c r="V87" s="24">
        <v>16</v>
      </c>
      <c r="W87" s="1847"/>
      <c r="X87" s="1847"/>
      <c r="Y87" s="1847"/>
      <c r="Z87" s="1847"/>
      <c r="AA87" s="1847"/>
      <c r="AB87" s="1847"/>
      <c r="AC87" s="1847"/>
      <c r="AG87" s="1849" t="s">
        <v>209</v>
      </c>
      <c r="AH87" s="1849">
        <v>2</v>
      </c>
      <c r="AI87" s="643"/>
      <c r="AJ87" s="1851"/>
      <c r="AK87" s="1849">
        <v>45</v>
      </c>
      <c r="AL87" s="1849">
        <v>18</v>
      </c>
      <c r="AM87" s="1849">
        <v>325</v>
      </c>
      <c r="AN87" s="1849">
        <v>42</v>
      </c>
      <c r="AO87" s="1849">
        <v>15</v>
      </c>
      <c r="AP87" s="1849">
        <v>42</v>
      </c>
      <c r="AQ87" s="1849">
        <v>45</v>
      </c>
      <c r="AR87" s="1849">
        <v>130</v>
      </c>
    </row>
    <row r="88" spans="2:44" ht="19.5" thickBot="1">
      <c r="B88" s="1846" t="s">
        <v>211</v>
      </c>
      <c r="C88" s="24">
        <v>2</v>
      </c>
      <c r="D88" s="1846">
        <v>662</v>
      </c>
      <c r="E88" s="1846">
        <v>778</v>
      </c>
      <c r="F88" s="1846">
        <v>470</v>
      </c>
      <c r="G88" s="1846">
        <v>410</v>
      </c>
      <c r="H88" s="1847"/>
      <c r="I88" s="1847"/>
      <c r="J88" s="1846">
        <v>203</v>
      </c>
      <c r="K88" s="1846">
        <v>253</v>
      </c>
      <c r="L88" s="1846">
        <v>60</v>
      </c>
      <c r="M88" s="1846">
        <v>121</v>
      </c>
      <c r="N88" s="1846">
        <v>138</v>
      </c>
      <c r="O88" s="638"/>
      <c r="P88" s="638"/>
      <c r="Q88" s="638"/>
      <c r="R88" s="1846" t="s">
        <v>212</v>
      </c>
      <c r="S88" s="24">
        <v>2</v>
      </c>
      <c r="T88" s="1847"/>
      <c r="U88" s="1847"/>
      <c r="V88" s="24">
        <v>14</v>
      </c>
      <c r="W88" s="1847"/>
      <c r="X88" s="1847"/>
      <c r="Y88" s="1847"/>
      <c r="Z88" s="1847"/>
      <c r="AA88" s="1847"/>
      <c r="AB88" s="1847"/>
      <c r="AC88" s="1847"/>
      <c r="AG88" s="1851"/>
      <c r="AH88" s="1850"/>
      <c r="AI88" s="644"/>
      <c r="AJ88" s="1851"/>
      <c r="AK88" s="1850"/>
      <c r="AL88" s="1851"/>
      <c r="AM88" s="1851"/>
      <c r="AN88" s="1850"/>
      <c r="AO88" s="1851"/>
      <c r="AP88" s="1851"/>
      <c r="AQ88" s="1851"/>
      <c r="AR88" s="1850"/>
    </row>
    <row r="89" spans="2:44" ht="19.5" thickBot="1">
      <c r="B89" s="1848"/>
      <c r="C89" s="24">
        <v>4</v>
      </c>
      <c r="D89" s="1848"/>
      <c r="E89" s="1848"/>
      <c r="F89" s="1847"/>
      <c r="G89" s="1847"/>
      <c r="H89" s="1847"/>
      <c r="I89" s="1847"/>
      <c r="J89" s="1848"/>
      <c r="K89" s="1848"/>
      <c r="L89" s="1847"/>
      <c r="M89" s="1847"/>
      <c r="N89" s="1847"/>
      <c r="O89" s="638"/>
      <c r="P89" s="638"/>
      <c r="Q89" s="638"/>
      <c r="R89" s="1848"/>
      <c r="S89" s="24" t="s">
        <v>207</v>
      </c>
      <c r="T89" s="1848"/>
      <c r="U89" s="1848"/>
      <c r="V89" s="1846">
        <v>16</v>
      </c>
      <c r="W89" s="1848"/>
      <c r="X89" s="1848"/>
      <c r="Y89" s="1848"/>
      <c r="Z89" s="1848"/>
      <c r="AA89" s="1848"/>
      <c r="AB89" s="1848"/>
      <c r="AC89" s="1848"/>
      <c r="AG89" s="1851"/>
      <c r="AH89" s="1849" t="s">
        <v>267</v>
      </c>
      <c r="AI89" s="1849">
        <v>9</v>
      </c>
      <c r="AJ89" s="1851"/>
      <c r="AK89" s="1849">
        <v>51.5</v>
      </c>
      <c r="AL89" s="1851"/>
      <c r="AM89" s="1851"/>
      <c r="AN89" s="1849">
        <v>48</v>
      </c>
      <c r="AO89" s="1851"/>
      <c r="AP89" s="1851"/>
      <c r="AQ89" s="1851"/>
      <c r="AR89" s="1849">
        <v>135</v>
      </c>
    </row>
    <row r="90" spans="2:44" ht="19.5" thickBot="1">
      <c r="B90" s="1846" t="s">
        <v>212</v>
      </c>
      <c r="C90" s="24">
        <v>2</v>
      </c>
      <c r="D90" s="1846">
        <v>702</v>
      </c>
      <c r="E90" s="1846">
        <v>818</v>
      </c>
      <c r="F90" s="1847"/>
      <c r="G90" s="1847"/>
      <c r="H90" s="1847"/>
      <c r="I90" s="1847"/>
      <c r="J90" s="1846">
        <v>241</v>
      </c>
      <c r="K90" s="1846">
        <v>290</v>
      </c>
      <c r="L90" s="1847"/>
      <c r="M90" s="1847"/>
      <c r="N90" s="1847"/>
      <c r="O90" s="638"/>
      <c r="P90" s="638"/>
      <c r="Q90" s="638"/>
      <c r="R90" s="1846" t="s">
        <v>213</v>
      </c>
      <c r="S90" s="24">
        <v>2</v>
      </c>
      <c r="T90" s="1846">
        <v>22</v>
      </c>
      <c r="U90" s="24">
        <v>403</v>
      </c>
      <c r="V90" s="1848"/>
      <c r="W90" s="1846">
        <v>16</v>
      </c>
      <c r="X90" s="1846">
        <v>318</v>
      </c>
      <c r="Y90" s="1846">
        <v>408</v>
      </c>
      <c r="Z90" s="1846">
        <v>90</v>
      </c>
      <c r="AA90" s="1846">
        <v>235</v>
      </c>
      <c r="AB90" s="1846">
        <v>120</v>
      </c>
      <c r="AC90" s="1846">
        <v>200</v>
      </c>
      <c r="AG90" s="1850"/>
      <c r="AH90" s="1850"/>
      <c r="AI90" s="1850"/>
      <c r="AJ90" s="1851"/>
      <c r="AK90" s="1850"/>
      <c r="AL90" s="1851"/>
      <c r="AM90" s="1851"/>
      <c r="AN90" s="1850"/>
      <c r="AO90" s="1851"/>
      <c r="AP90" s="1851"/>
      <c r="AQ90" s="1851"/>
      <c r="AR90" s="1850"/>
    </row>
    <row r="91" spans="2:44" ht="19.5" thickBot="1">
      <c r="B91" s="1848"/>
      <c r="C91" s="24" t="s">
        <v>207</v>
      </c>
      <c r="D91" s="1848"/>
      <c r="E91" s="1848"/>
      <c r="F91" s="1848"/>
      <c r="G91" s="1848"/>
      <c r="H91" s="1847"/>
      <c r="I91" s="1847"/>
      <c r="J91" s="1848"/>
      <c r="K91" s="1848"/>
      <c r="L91" s="1848"/>
      <c r="M91" s="1848"/>
      <c r="N91" s="1848"/>
      <c r="O91" s="638"/>
      <c r="P91" s="638"/>
      <c r="Q91" s="638"/>
      <c r="R91" s="1848"/>
      <c r="S91" s="24" t="s">
        <v>207</v>
      </c>
      <c r="T91" s="1847"/>
      <c r="U91" s="24">
        <v>433</v>
      </c>
      <c r="V91" s="24">
        <v>18</v>
      </c>
      <c r="W91" s="1847"/>
      <c r="X91" s="1847"/>
      <c r="Y91" s="1847"/>
      <c r="Z91" s="1847"/>
      <c r="AA91" s="1847"/>
      <c r="AB91" s="1847"/>
      <c r="AC91" s="1847"/>
      <c r="AG91" s="1849" t="s">
        <v>270</v>
      </c>
      <c r="AH91" s="1849">
        <v>2</v>
      </c>
      <c r="AI91" s="1849">
        <v>8</v>
      </c>
      <c r="AJ91" s="1851"/>
      <c r="AK91" s="1849">
        <v>45</v>
      </c>
      <c r="AL91" s="1851"/>
      <c r="AM91" s="1851"/>
      <c r="AN91" s="1849">
        <v>42</v>
      </c>
      <c r="AO91" s="1851"/>
      <c r="AP91" s="1851"/>
      <c r="AQ91" s="1851"/>
      <c r="AR91" s="1849">
        <v>145</v>
      </c>
    </row>
    <row r="92" spans="2:44" ht="19.5" thickBot="1">
      <c r="B92" s="1846" t="s">
        <v>213</v>
      </c>
      <c r="C92" s="24">
        <v>2</v>
      </c>
      <c r="D92" s="24">
        <v>760</v>
      </c>
      <c r="E92" s="24">
        <v>875</v>
      </c>
      <c r="F92" s="1846">
        <v>535</v>
      </c>
      <c r="G92" s="1846">
        <v>450</v>
      </c>
      <c r="H92" s="1848"/>
      <c r="I92" s="1847"/>
      <c r="J92" s="1846">
        <v>267</v>
      </c>
      <c r="K92" s="1846">
        <v>337</v>
      </c>
      <c r="L92" s="1846">
        <v>90</v>
      </c>
      <c r="M92" s="1846">
        <v>133</v>
      </c>
      <c r="N92" s="1846">
        <v>156</v>
      </c>
      <c r="O92" s="638"/>
      <c r="P92" s="638"/>
      <c r="Q92" s="638"/>
      <c r="R92" s="1846" t="s">
        <v>214</v>
      </c>
      <c r="S92" s="24">
        <v>2</v>
      </c>
      <c r="T92" s="1847"/>
      <c r="U92" s="24">
        <v>403</v>
      </c>
      <c r="V92" s="24">
        <v>16</v>
      </c>
      <c r="W92" s="1847"/>
      <c r="X92" s="1847"/>
      <c r="Y92" s="1847"/>
      <c r="Z92" s="1847"/>
      <c r="AA92" s="1847"/>
      <c r="AB92" s="1847"/>
      <c r="AC92" s="1847"/>
      <c r="AG92" s="1851"/>
      <c r="AH92" s="1850"/>
      <c r="AI92" s="1850"/>
      <c r="AJ92" s="1851"/>
      <c r="AK92" s="1850"/>
      <c r="AL92" s="1851"/>
      <c r="AM92" s="1851"/>
      <c r="AN92" s="1850"/>
      <c r="AO92" s="1851"/>
      <c r="AP92" s="1851"/>
      <c r="AQ92" s="1851"/>
      <c r="AR92" s="1850"/>
    </row>
    <row r="93" spans="2:44" ht="19.5" thickBot="1">
      <c r="B93" s="1848"/>
      <c r="C93" s="24" t="s">
        <v>207</v>
      </c>
      <c r="D93" s="24">
        <v>790</v>
      </c>
      <c r="E93" s="24">
        <v>905</v>
      </c>
      <c r="F93" s="1847"/>
      <c r="G93" s="1847"/>
      <c r="H93" s="24">
        <v>140</v>
      </c>
      <c r="I93" s="1847"/>
      <c r="J93" s="1848"/>
      <c r="K93" s="1848"/>
      <c r="L93" s="1847"/>
      <c r="M93" s="1847"/>
      <c r="N93" s="1847"/>
      <c r="O93" s="638"/>
      <c r="P93" s="638"/>
      <c r="Q93" s="638"/>
      <c r="R93" s="1848"/>
      <c r="S93" s="24" t="s">
        <v>207</v>
      </c>
      <c r="T93" s="1847"/>
      <c r="U93" s="24">
        <v>433</v>
      </c>
      <c r="V93" s="24">
        <v>18</v>
      </c>
      <c r="W93" s="1847"/>
      <c r="X93" s="1848"/>
      <c r="Y93" s="1848"/>
      <c r="Z93" s="1848"/>
      <c r="AA93" s="1847"/>
      <c r="AB93" s="1847"/>
      <c r="AC93" s="1848"/>
      <c r="AG93" s="1851"/>
      <c r="AH93" s="1849" t="s">
        <v>267</v>
      </c>
      <c r="AI93" s="1849">
        <v>9</v>
      </c>
      <c r="AJ93" s="1851"/>
      <c r="AK93" s="1849">
        <v>51.5</v>
      </c>
      <c r="AL93" s="1851"/>
      <c r="AM93" s="1851"/>
      <c r="AN93" s="1849">
        <v>48</v>
      </c>
      <c r="AO93" s="1851"/>
      <c r="AP93" s="1851"/>
      <c r="AQ93" s="1851"/>
      <c r="AR93" s="1849">
        <v>160</v>
      </c>
    </row>
    <row r="94" spans="2:44" ht="19.5" thickBot="1">
      <c r="B94" s="1846" t="s">
        <v>214</v>
      </c>
      <c r="C94" s="24">
        <v>2</v>
      </c>
      <c r="D94" s="24">
        <v>800</v>
      </c>
      <c r="E94" s="24">
        <v>915</v>
      </c>
      <c r="F94" s="1847"/>
      <c r="G94" s="1847"/>
      <c r="H94" s="24">
        <v>110</v>
      </c>
      <c r="I94" s="1847"/>
      <c r="J94" s="1846">
        <v>305</v>
      </c>
      <c r="K94" s="1846">
        <v>375</v>
      </c>
      <c r="L94" s="1847"/>
      <c r="M94" s="1847"/>
      <c r="N94" s="1847"/>
      <c r="O94" s="638"/>
      <c r="P94" s="638"/>
      <c r="Q94" s="638"/>
      <c r="R94" s="1846" t="s">
        <v>215</v>
      </c>
      <c r="S94" s="24">
        <v>2</v>
      </c>
      <c r="T94" s="1847"/>
      <c r="U94" s="24">
        <v>420</v>
      </c>
      <c r="V94" s="24">
        <v>16</v>
      </c>
      <c r="W94" s="1848"/>
      <c r="X94" s="1846">
        <v>356</v>
      </c>
      <c r="Y94" s="1846">
        <v>440</v>
      </c>
      <c r="Z94" s="1846">
        <v>100</v>
      </c>
      <c r="AA94" s="1847"/>
      <c r="AB94" s="1847"/>
      <c r="AC94" s="1846">
        <v>225</v>
      </c>
      <c r="AG94" s="1850"/>
      <c r="AH94" s="1850"/>
      <c r="AI94" s="1851"/>
      <c r="AJ94" s="1850"/>
      <c r="AK94" s="1851"/>
      <c r="AL94" s="1850"/>
      <c r="AM94" s="1850"/>
      <c r="AN94" s="1851"/>
      <c r="AO94" s="1851"/>
      <c r="AP94" s="1850"/>
      <c r="AQ94" s="1850"/>
      <c r="AR94" s="1850"/>
    </row>
    <row r="95" spans="2:44" ht="19.5" thickBot="1">
      <c r="B95" s="1848"/>
      <c r="C95" s="24" t="s">
        <v>207</v>
      </c>
      <c r="D95" s="24">
        <v>830</v>
      </c>
      <c r="E95" s="24">
        <v>945</v>
      </c>
      <c r="F95" s="1848"/>
      <c r="G95" s="1848"/>
      <c r="H95" s="24">
        <v>140</v>
      </c>
      <c r="I95" s="1847"/>
      <c r="J95" s="1848"/>
      <c r="K95" s="1848"/>
      <c r="L95" s="1848"/>
      <c r="M95" s="1848"/>
      <c r="N95" s="1848"/>
      <c r="O95" s="638"/>
      <c r="P95" s="638"/>
      <c r="Q95" s="638"/>
      <c r="R95" s="1848"/>
      <c r="S95" s="24" t="s">
        <v>207</v>
      </c>
      <c r="T95" s="1848"/>
      <c r="U95" s="24">
        <v>450</v>
      </c>
      <c r="V95" s="1846">
        <v>18</v>
      </c>
      <c r="W95" s="1846">
        <v>18</v>
      </c>
      <c r="X95" s="1847"/>
      <c r="Y95" s="1847"/>
      <c r="Z95" s="1847"/>
      <c r="AA95" s="1847"/>
      <c r="AB95" s="1847"/>
      <c r="AC95" s="1847"/>
      <c r="AG95" s="1849" t="s">
        <v>211</v>
      </c>
      <c r="AH95" s="1849">
        <v>2</v>
      </c>
      <c r="AI95" s="1851"/>
      <c r="AJ95" s="1849"/>
      <c r="AK95" s="1851"/>
      <c r="AL95" s="1849">
        <v>20</v>
      </c>
      <c r="AM95" s="1849">
        <v>365</v>
      </c>
      <c r="AN95" s="1851"/>
      <c r="AO95" s="1851"/>
      <c r="AP95" s="1849">
        <v>48</v>
      </c>
      <c r="AQ95" s="1849">
        <v>51.5</v>
      </c>
      <c r="AR95" s="1849">
        <v>165</v>
      </c>
    </row>
    <row r="96" spans="2:44" ht="19.5" thickBot="1">
      <c r="B96" s="1846" t="s">
        <v>215</v>
      </c>
      <c r="C96" s="24">
        <v>2</v>
      </c>
      <c r="D96" s="24">
        <v>810</v>
      </c>
      <c r="E96" s="24">
        <v>925</v>
      </c>
      <c r="F96" s="1846">
        <v>575</v>
      </c>
      <c r="G96" s="1846">
        <v>494</v>
      </c>
      <c r="H96" s="24">
        <v>110</v>
      </c>
      <c r="I96" s="1848"/>
      <c r="J96" s="1846">
        <v>311</v>
      </c>
      <c r="K96" s="1846">
        <v>390</v>
      </c>
      <c r="L96" s="1846">
        <v>100</v>
      </c>
      <c r="M96" s="1846">
        <v>149</v>
      </c>
      <c r="N96" s="1846">
        <v>161</v>
      </c>
      <c r="O96" s="638"/>
      <c r="P96" s="638"/>
      <c r="Q96" s="638"/>
      <c r="R96" s="1846" t="s">
        <v>216</v>
      </c>
      <c r="S96" s="1846" t="s">
        <v>248</v>
      </c>
      <c r="T96" s="1846">
        <v>175</v>
      </c>
      <c r="U96" s="1846">
        <v>496</v>
      </c>
      <c r="V96" s="1848"/>
      <c r="W96" s="1848"/>
      <c r="X96" s="1848"/>
      <c r="Y96" s="1848"/>
      <c r="Z96" s="1847"/>
      <c r="AA96" s="1848"/>
      <c r="AB96" s="1848"/>
      <c r="AC96" s="1848"/>
      <c r="AG96" s="1851"/>
      <c r="AH96" s="1851"/>
      <c r="AI96" s="1851"/>
      <c r="AJ96" s="1851"/>
      <c r="AK96" s="1851"/>
      <c r="AL96" s="1851"/>
      <c r="AM96" s="1851"/>
      <c r="AN96" s="1851"/>
      <c r="AO96" s="1851"/>
      <c r="AP96" s="1851"/>
      <c r="AQ96" s="1851"/>
      <c r="AR96" s="1851"/>
    </row>
    <row r="97" spans="2:44" ht="19.5" thickBot="1">
      <c r="B97" s="1848"/>
      <c r="C97" s="24" t="s">
        <v>207</v>
      </c>
      <c r="D97" s="24">
        <v>840</v>
      </c>
      <c r="E97" s="24">
        <v>985</v>
      </c>
      <c r="F97" s="1848"/>
      <c r="G97" s="1848"/>
      <c r="H97" s="1846">
        <v>140</v>
      </c>
      <c r="I97" s="1846">
        <v>140</v>
      </c>
      <c r="J97" s="1847"/>
      <c r="K97" s="1847"/>
      <c r="L97" s="1847"/>
      <c r="M97" s="1848"/>
      <c r="N97" s="1848"/>
      <c r="O97" s="638"/>
      <c r="P97" s="638"/>
      <c r="Q97" s="638"/>
      <c r="R97" s="1847"/>
      <c r="S97" s="1847"/>
      <c r="T97" s="1847"/>
      <c r="U97" s="1847"/>
      <c r="V97" s="1846">
        <v>20</v>
      </c>
      <c r="W97" s="1846">
        <v>20</v>
      </c>
      <c r="X97" s="1846">
        <v>406</v>
      </c>
      <c r="Y97" s="1846">
        <v>490</v>
      </c>
      <c r="Z97" s="1847"/>
      <c r="AA97" s="1846">
        <v>270</v>
      </c>
      <c r="AB97" s="1846">
        <v>160</v>
      </c>
      <c r="AC97" s="1846">
        <v>250</v>
      </c>
      <c r="AG97" s="1851"/>
      <c r="AH97" s="1850"/>
      <c r="AI97" s="1851"/>
      <c r="AJ97" s="1851"/>
      <c r="AK97" s="1850"/>
      <c r="AL97" s="1851"/>
      <c r="AM97" s="1851"/>
      <c r="AN97" s="1850"/>
      <c r="AO97" s="1851"/>
      <c r="AP97" s="1851"/>
      <c r="AQ97" s="1851"/>
      <c r="AR97" s="1850"/>
    </row>
    <row r="98" spans="2:44" ht="19.5" thickBot="1">
      <c r="B98" s="1846" t="s">
        <v>216</v>
      </c>
      <c r="C98" s="24">
        <v>2</v>
      </c>
      <c r="D98" s="1846">
        <v>915</v>
      </c>
      <c r="E98" s="1846">
        <v>1060</v>
      </c>
      <c r="F98" s="1846">
        <v>640</v>
      </c>
      <c r="G98" s="1846">
        <v>554</v>
      </c>
      <c r="H98" s="1847"/>
      <c r="I98" s="1847"/>
      <c r="J98" s="1847"/>
      <c r="K98" s="1847"/>
      <c r="L98" s="1847"/>
      <c r="M98" s="1846">
        <v>168</v>
      </c>
      <c r="N98" s="1846">
        <v>184</v>
      </c>
      <c r="O98" s="638"/>
      <c r="P98" s="638"/>
      <c r="Q98" s="638"/>
      <c r="R98" s="1848"/>
      <c r="S98" s="1848"/>
      <c r="T98" s="1847"/>
      <c r="U98" s="1847"/>
      <c r="V98" s="1848"/>
      <c r="W98" s="1848"/>
      <c r="X98" s="1847"/>
      <c r="Y98" s="1847"/>
      <c r="Z98" s="1847"/>
      <c r="AA98" s="1847"/>
      <c r="AB98" s="1847"/>
      <c r="AC98" s="1847"/>
      <c r="AG98" s="1850"/>
      <c r="AH98" s="646">
        <v>4</v>
      </c>
      <c r="AI98" s="1850"/>
      <c r="AJ98" s="1851"/>
      <c r="AK98" s="646">
        <v>59</v>
      </c>
      <c r="AL98" s="1851"/>
      <c r="AM98" s="1851"/>
      <c r="AN98" s="646">
        <v>55</v>
      </c>
      <c r="AO98" s="1851"/>
      <c r="AP98" s="1851"/>
      <c r="AQ98" s="1851"/>
      <c r="AR98" s="646">
        <v>175</v>
      </c>
    </row>
    <row r="99" spans="2:44" ht="19.5" thickBot="1">
      <c r="B99" s="1847"/>
      <c r="C99" s="26" t="s">
        <v>217</v>
      </c>
      <c r="D99" s="1847"/>
      <c r="E99" s="1847"/>
      <c r="F99" s="1847"/>
      <c r="G99" s="1847"/>
      <c r="H99" s="1847"/>
      <c r="I99" s="1847"/>
      <c r="J99" s="1847"/>
      <c r="K99" s="1847"/>
      <c r="L99" s="1847"/>
      <c r="M99" s="1847"/>
      <c r="N99" s="1847"/>
      <c r="O99" s="638"/>
      <c r="P99" s="638"/>
      <c r="Q99" s="638"/>
      <c r="R99" s="636" t="s">
        <v>218</v>
      </c>
      <c r="S99" s="24">
        <v>2</v>
      </c>
      <c r="T99" s="1848"/>
      <c r="U99" s="1848"/>
      <c r="V99" s="24">
        <v>18</v>
      </c>
      <c r="W99" s="24">
        <v>18</v>
      </c>
      <c r="X99" s="1848"/>
      <c r="Y99" s="1848"/>
      <c r="Z99" s="1848"/>
      <c r="AA99" s="1848"/>
      <c r="AB99" s="1848"/>
      <c r="AC99" s="1848"/>
      <c r="AG99" s="1849" t="s">
        <v>271</v>
      </c>
      <c r="AH99" s="1849">
        <v>2</v>
      </c>
      <c r="AI99" s="646">
        <v>10</v>
      </c>
      <c r="AJ99" s="1851"/>
      <c r="AK99" s="1849">
        <v>51.5</v>
      </c>
      <c r="AL99" s="1851"/>
      <c r="AM99" s="1851"/>
      <c r="AN99" s="1849">
        <v>48</v>
      </c>
      <c r="AO99" s="1851"/>
      <c r="AP99" s="1851"/>
      <c r="AQ99" s="1851"/>
      <c r="AR99" s="1849">
        <v>185</v>
      </c>
    </row>
    <row r="100" spans="2:44" ht="19.5" thickBot="1">
      <c r="B100" s="1848"/>
      <c r="C100" s="24">
        <v>8.1</v>
      </c>
      <c r="D100" s="1848"/>
      <c r="E100" s="1848"/>
      <c r="F100" s="1847"/>
      <c r="G100" s="1847"/>
      <c r="H100" s="1847"/>
      <c r="I100" s="1847"/>
      <c r="J100" s="1848"/>
      <c r="K100" s="1848"/>
      <c r="L100" s="1847"/>
      <c r="M100" s="1847"/>
      <c r="N100" s="1847"/>
      <c r="O100" s="638"/>
      <c r="P100" s="638"/>
      <c r="Q100" s="638"/>
      <c r="R100" s="638"/>
      <c r="S100" s="638"/>
      <c r="T100" s="638"/>
      <c r="U100" s="638"/>
      <c r="V100" s="638"/>
      <c r="W100" s="638"/>
      <c r="X100" s="638"/>
      <c r="AG100" s="1851"/>
      <c r="AH100" s="1850"/>
      <c r="AI100" s="646">
        <v>9</v>
      </c>
      <c r="AJ100" s="1851"/>
      <c r="AK100" s="1850"/>
      <c r="AL100" s="1851"/>
      <c r="AM100" s="1851"/>
      <c r="AN100" s="1850"/>
      <c r="AO100" s="1851"/>
      <c r="AP100" s="1851"/>
      <c r="AQ100" s="1851"/>
      <c r="AR100" s="1850"/>
    </row>
    <row r="101" spans="2:44" ht="19.5" thickBot="1">
      <c r="B101" s="636" t="s">
        <v>218</v>
      </c>
      <c r="C101" s="24">
        <v>2</v>
      </c>
      <c r="D101" s="24">
        <v>955</v>
      </c>
      <c r="E101" s="24">
        <v>1100</v>
      </c>
      <c r="F101" s="1848"/>
      <c r="G101" s="1848"/>
      <c r="H101" s="1848"/>
      <c r="I101" s="1848"/>
      <c r="J101" s="24">
        <v>349</v>
      </c>
      <c r="K101" s="24">
        <v>430</v>
      </c>
      <c r="L101" s="1848"/>
      <c r="M101" s="1848"/>
      <c r="N101" s="1848"/>
      <c r="O101" s="638"/>
      <c r="P101" s="638"/>
      <c r="Q101" s="638"/>
      <c r="R101" s="638"/>
      <c r="S101" s="638"/>
      <c r="T101" s="638"/>
      <c r="U101" s="638"/>
      <c r="V101" s="638"/>
      <c r="W101" s="638"/>
      <c r="X101" s="638"/>
      <c r="AG101" s="1851"/>
      <c r="AH101" s="1849" t="s">
        <v>267</v>
      </c>
      <c r="AI101" s="1849">
        <v>10</v>
      </c>
      <c r="AJ101" s="1851"/>
      <c r="AK101" s="1849">
        <v>59</v>
      </c>
      <c r="AL101" s="1851"/>
      <c r="AM101" s="1851"/>
      <c r="AN101" s="1849">
        <v>55</v>
      </c>
      <c r="AO101" s="1851"/>
      <c r="AP101" s="1851"/>
      <c r="AQ101" s="1851"/>
      <c r="AR101" s="1849">
        <v>195</v>
      </c>
    </row>
    <row r="102" spans="2:44" ht="15.75" thickBot="1">
      <c r="AG102" s="1850"/>
      <c r="AH102" s="1850"/>
      <c r="AI102" s="1851"/>
      <c r="AJ102" s="1850"/>
      <c r="AK102" s="1851"/>
      <c r="AL102" s="1850"/>
      <c r="AM102" s="1850"/>
      <c r="AN102" s="1851"/>
      <c r="AO102" s="1850"/>
      <c r="AP102" s="1850"/>
      <c r="AQ102" s="1850"/>
      <c r="AR102" s="1850"/>
    </row>
    <row r="103" spans="2:44" ht="15.75" thickBot="1">
      <c r="AG103" s="1849" t="s">
        <v>272</v>
      </c>
      <c r="AH103" s="646">
        <v>2</v>
      </c>
      <c r="AI103" s="1850"/>
      <c r="AJ103" s="1849">
        <v>10</v>
      </c>
      <c r="AK103" s="1850"/>
      <c r="AL103" s="1849">
        <v>25</v>
      </c>
      <c r="AM103" s="1849">
        <v>425</v>
      </c>
      <c r="AN103" s="1850"/>
      <c r="AO103" s="1849">
        <v>19</v>
      </c>
      <c r="AP103" s="1849">
        <v>55</v>
      </c>
      <c r="AQ103" s="1849">
        <v>59</v>
      </c>
      <c r="AR103" s="646">
        <v>255</v>
      </c>
    </row>
    <row r="104" spans="2:44">
      <c r="AG104" s="1851"/>
      <c r="AH104" s="1849" t="s">
        <v>267</v>
      </c>
      <c r="AI104" s="1849">
        <v>11</v>
      </c>
      <c r="AJ104" s="1851"/>
      <c r="AK104" s="1849">
        <v>64</v>
      </c>
      <c r="AL104" s="1851"/>
      <c r="AM104" s="1851"/>
      <c r="AN104" s="1849">
        <v>60</v>
      </c>
      <c r="AO104" s="1851"/>
      <c r="AP104" s="1851"/>
      <c r="AQ104" s="1851"/>
      <c r="AR104" s="1849">
        <v>270</v>
      </c>
    </row>
    <row r="105" spans="2:44" ht="15.75" thickBot="1">
      <c r="AG105" s="1850"/>
      <c r="AH105" s="1850"/>
      <c r="AI105" s="1850"/>
      <c r="AJ105" s="1851"/>
      <c r="AK105" s="1850"/>
      <c r="AL105" s="1851"/>
      <c r="AM105" s="1851"/>
      <c r="AN105" s="1850"/>
      <c r="AO105" s="1851"/>
      <c r="AP105" s="1851"/>
      <c r="AQ105" s="1851"/>
      <c r="AR105" s="1850"/>
    </row>
    <row r="106" spans="2:44" ht="15.75" thickBot="1">
      <c r="AG106" s="1849" t="s">
        <v>214</v>
      </c>
      <c r="AH106" s="646">
        <v>2</v>
      </c>
      <c r="AI106" s="646">
        <v>10</v>
      </c>
      <c r="AJ106" s="1851"/>
      <c r="AK106" s="646">
        <v>59</v>
      </c>
      <c r="AL106" s="1851"/>
      <c r="AM106" s="1851"/>
      <c r="AN106" s="646">
        <v>55</v>
      </c>
      <c r="AO106" s="1851"/>
      <c r="AP106" s="1851"/>
      <c r="AQ106" s="1851"/>
      <c r="AR106" s="646">
        <v>280</v>
      </c>
    </row>
    <row r="107" spans="2:44" ht="15.75" thickBot="1">
      <c r="AG107" s="1850"/>
      <c r="AH107" s="646" t="s">
        <v>267</v>
      </c>
      <c r="AI107" s="646">
        <v>11</v>
      </c>
      <c r="AJ107" s="1851"/>
      <c r="AK107" s="646">
        <v>64</v>
      </c>
      <c r="AL107" s="1850"/>
      <c r="AM107" s="1850"/>
      <c r="AN107" s="646">
        <v>60</v>
      </c>
      <c r="AO107" s="1851"/>
      <c r="AP107" s="1851"/>
      <c r="AQ107" s="1851"/>
      <c r="AR107" s="646">
        <v>310</v>
      </c>
    </row>
    <row r="108" spans="2:44">
      <c r="AG108" s="1849" t="s">
        <v>273</v>
      </c>
      <c r="AH108" s="1849">
        <v>2</v>
      </c>
      <c r="AI108" s="1849">
        <v>10</v>
      </c>
      <c r="AJ108" s="1851"/>
      <c r="AK108" s="1849">
        <v>59</v>
      </c>
      <c r="AL108" s="1849">
        <v>28</v>
      </c>
      <c r="AM108" s="1849">
        <v>480</v>
      </c>
      <c r="AN108" s="1849">
        <v>55</v>
      </c>
      <c r="AO108" s="1851"/>
      <c r="AP108" s="1851"/>
      <c r="AQ108" s="1851"/>
      <c r="AR108" s="1849">
        <v>355</v>
      </c>
    </row>
    <row r="109" spans="2:44" ht="15.75" thickBot="1">
      <c r="AG109" s="1851"/>
      <c r="AH109" s="1850"/>
      <c r="AI109" s="1850"/>
      <c r="AJ109" s="1850"/>
      <c r="AK109" s="1850"/>
      <c r="AL109" s="1851"/>
      <c r="AM109" s="1851"/>
      <c r="AN109" s="1850"/>
      <c r="AO109" s="1851"/>
      <c r="AP109" s="1850"/>
      <c r="AQ109" s="1850"/>
      <c r="AR109" s="1851"/>
    </row>
    <row r="110" spans="2:44">
      <c r="AG110" s="1851"/>
      <c r="AH110" s="1849" t="s">
        <v>267</v>
      </c>
      <c r="AI110" s="1849">
        <v>11</v>
      </c>
      <c r="AJ110" s="1849">
        <v>11</v>
      </c>
      <c r="AK110" s="1849">
        <v>69</v>
      </c>
      <c r="AL110" s="1851"/>
      <c r="AM110" s="1851"/>
      <c r="AN110" s="1849">
        <v>65</v>
      </c>
      <c r="AO110" s="1851"/>
      <c r="AP110" s="1849">
        <v>60</v>
      </c>
      <c r="AQ110" s="1849">
        <v>64</v>
      </c>
      <c r="AR110" s="1851"/>
    </row>
    <row r="111" spans="2:44" ht="15.75" thickBot="1">
      <c r="AG111" s="1850"/>
      <c r="AH111" s="1850"/>
      <c r="AI111" s="1851"/>
      <c r="AJ111" s="1851"/>
      <c r="AK111" s="1851"/>
      <c r="AL111" s="1850"/>
      <c r="AM111" s="1850"/>
      <c r="AN111" s="1851"/>
      <c r="AO111" s="1850"/>
      <c r="AP111" s="1850"/>
      <c r="AQ111" s="1850"/>
      <c r="AR111" s="1850"/>
    </row>
    <row r="112" spans="2:44" ht="15.75" thickBot="1">
      <c r="AG112" s="1849" t="s">
        <v>216</v>
      </c>
      <c r="AH112" s="646">
        <v>2</v>
      </c>
      <c r="AI112" s="1850"/>
      <c r="AJ112" s="1850"/>
      <c r="AK112" s="1850"/>
      <c r="AL112" s="1849">
        <v>30</v>
      </c>
      <c r="AM112" s="1849">
        <v>530</v>
      </c>
      <c r="AN112" s="1850"/>
      <c r="AO112" s="1849">
        <v>24</v>
      </c>
      <c r="AP112" s="646">
        <v>65</v>
      </c>
      <c r="AQ112" s="646">
        <v>69</v>
      </c>
      <c r="AR112" s="646">
        <v>470</v>
      </c>
    </row>
    <row r="113" spans="33:44">
      <c r="AG113" s="1851"/>
      <c r="AH113" s="1849" t="s">
        <v>274</v>
      </c>
      <c r="AI113" s="1849">
        <v>12</v>
      </c>
      <c r="AJ113" s="1849">
        <v>12</v>
      </c>
      <c r="AK113" s="1849">
        <v>79.5</v>
      </c>
      <c r="AL113" s="1851"/>
      <c r="AM113" s="1851"/>
      <c r="AN113" s="1849">
        <v>75</v>
      </c>
      <c r="AO113" s="1851"/>
      <c r="AP113" s="1849">
        <v>70</v>
      </c>
      <c r="AQ113" s="1849">
        <v>74.5</v>
      </c>
      <c r="AR113" s="1849">
        <v>490</v>
      </c>
    </row>
    <row r="114" spans="33:44" ht="15.75" thickBot="1">
      <c r="AG114" s="1850"/>
      <c r="AH114" s="1850"/>
      <c r="AI114" s="1850"/>
      <c r="AJ114" s="1850"/>
      <c r="AK114" s="1850"/>
      <c r="AL114" s="1851"/>
      <c r="AM114" s="1851"/>
      <c r="AN114" s="1850"/>
      <c r="AO114" s="1851"/>
      <c r="AP114" s="1850"/>
      <c r="AQ114" s="1850"/>
      <c r="AR114" s="1850"/>
    </row>
    <row r="115" spans="33:44" ht="15.75" thickBot="1">
      <c r="AG115" s="1849" t="s">
        <v>275</v>
      </c>
      <c r="AH115" s="646">
        <v>2</v>
      </c>
      <c r="AI115" s="646">
        <v>11</v>
      </c>
      <c r="AJ115" s="646">
        <v>11</v>
      </c>
      <c r="AK115" s="646">
        <v>69</v>
      </c>
      <c r="AL115" s="1851"/>
      <c r="AM115" s="1851"/>
      <c r="AN115" s="646">
        <v>65</v>
      </c>
      <c r="AO115" s="1851"/>
      <c r="AP115" s="646">
        <v>65</v>
      </c>
      <c r="AQ115" s="646">
        <v>69</v>
      </c>
      <c r="AR115" s="646">
        <v>510</v>
      </c>
    </row>
    <row r="116" spans="33:44" ht="15.75" thickBot="1">
      <c r="AG116" s="1850"/>
      <c r="AH116" s="646" t="s">
        <v>267</v>
      </c>
      <c r="AI116" s="646">
        <v>12</v>
      </c>
      <c r="AJ116" s="646">
        <v>12</v>
      </c>
      <c r="AK116" s="646">
        <v>79.5</v>
      </c>
      <c r="AL116" s="1850"/>
      <c r="AM116" s="1850"/>
      <c r="AN116" s="646">
        <v>75</v>
      </c>
      <c r="AO116" s="1850"/>
      <c r="AP116" s="646">
        <v>70</v>
      </c>
      <c r="AQ116" s="646">
        <v>74.5</v>
      </c>
      <c r="AR116" s="646">
        <v>535</v>
      </c>
    </row>
    <row r="168" spans="2:66" ht="15.75" thickBot="1"/>
    <row r="169" spans="2:66" ht="48" customHeight="1" thickBot="1">
      <c r="B169" s="1843" t="s">
        <v>351</v>
      </c>
      <c r="C169" s="1840" t="s">
        <v>277</v>
      </c>
      <c r="D169" s="1841"/>
      <c r="E169" s="1841"/>
      <c r="F169" s="1841"/>
      <c r="G169" s="1841"/>
      <c r="H169" s="1841"/>
      <c r="I169" s="1841"/>
      <c r="J169" s="1841"/>
      <c r="K169" s="1841"/>
      <c r="L169" s="1841"/>
      <c r="M169" s="1841"/>
      <c r="N169" s="1841"/>
      <c r="O169" s="1841"/>
      <c r="P169" s="1842"/>
      <c r="AC169" s="1843" t="s">
        <v>379</v>
      </c>
      <c r="AD169" s="1840" t="s">
        <v>277</v>
      </c>
      <c r="AE169" s="1841"/>
      <c r="AF169" s="1841"/>
      <c r="AG169" s="1841"/>
      <c r="AH169" s="1841"/>
      <c r="AI169" s="1841"/>
      <c r="AJ169" s="1841"/>
      <c r="AK169" s="1841"/>
      <c r="AL169" s="1841"/>
      <c r="AM169" s="1841"/>
      <c r="AN169" s="1842"/>
      <c r="AQ169" s="1843" t="s">
        <v>379</v>
      </c>
      <c r="AR169" s="1840" t="s">
        <v>277</v>
      </c>
      <c r="AS169" s="1841"/>
      <c r="AT169" s="1841"/>
      <c r="AU169" s="1841"/>
      <c r="AV169" s="1841"/>
      <c r="AW169" s="1841"/>
      <c r="AX169" s="1841"/>
      <c r="AY169" s="1841"/>
      <c r="AZ169" s="1841"/>
      <c r="BA169" s="1842"/>
      <c r="BD169" s="1878" t="s">
        <v>351</v>
      </c>
      <c r="BE169" s="1875" t="s">
        <v>277</v>
      </c>
      <c r="BF169" s="1876"/>
      <c r="BG169" s="1876"/>
      <c r="BH169" s="1876"/>
      <c r="BI169" s="1876"/>
      <c r="BJ169" s="1877"/>
      <c r="BK169" s="1878" t="s">
        <v>387</v>
      </c>
      <c r="BL169" s="1875" t="s">
        <v>388</v>
      </c>
      <c r="BM169" s="1877"/>
      <c r="BN169" s="1878" t="s">
        <v>371</v>
      </c>
    </row>
    <row r="170" spans="2:66" ht="48" customHeight="1" thickBot="1">
      <c r="B170" s="1845"/>
      <c r="C170" s="1840" t="s">
        <v>105</v>
      </c>
      <c r="D170" s="1841"/>
      <c r="E170" s="1841"/>
      <c r="F170" s="1841"/>
      <c r="G170" s="1841"/>
      <c r="H170" s="1841"/>
      <c r="I170" s="1841"/>
      <c r="J170" s="1841"/>
      <c r="K170" s="1842"/>
      <c r="L170" s="1840" t="s">
        <v>106</v>
      </c>
      <c r="M170" s="1841"/>
      <c r="N170" s="1841"/>
      <c r="O170" s="1841"/>
      <c r="P170" s="1842"/>
      <c r="AC170" s="1845"/>
      <c r="AD170" s="1840" t="s">
        <v>105</v>
      </c>
      <c r="AE170" s="1841"/>
      <c r="AF170" s="1841"/>
      <c r="AG170" s="1841"/>
      <c r="AH170" s="1841"/>
      <c r="AI170" s="1841"/>
      <c r="AJ170" s="1841"/>
      <c r="AK170" s="1841"/>
      <c r="AL170" s="1841"/>
      <c r="AM170" s="1841"/>
      <c r="AN170" s="1842"/>
      <c r="AQ170" s="1845"/>
      <c r="AR170" s="1840" t="s">
        <v>105</v>
      </c>
      <c r="AS170" s="1841"/>
      <c r="AT170" s="1842"/>
      <c r="AU170" s="1840" t="s">
        <v>106</v>
      </c>
      <c r="AV170" s="1841"/>
      <c r="AW170" s="1841"/>
      <c r="AX170" s="1841"/>
      <c r="AY170" s="1841"/>
      <c r="AZ170" s="1841"/>
      <c r="BA170" s="1842"/>
      <c r="BD170" s="1879"/>
      <c r="BE170" s="1875" t="s">
        <v>372</v>
      </c>
      <c r="BF170" s="1876"/>
      <c r="BG170" s="1876"/>
      <c r="BH170" s="1876"/>
      <c r="BI170" s="1876"/>
      <c r="BJ170" s="1877"/>
      <c r="BK170" s="1879"/>
      <c r="BL170" s="1878" t="s">
        <v>389</v>
      </c>
      <c r="BM170" s="1878" t="s">
        <v>390</v>
      </c>
      <c r="BN170" s="1879"/>
    </row>
    <row r="171" spans="2:66" ht="48" customHeight="1" thickBot="1">
      <c r="B171" s="1844"/>
      <c r="C171" s="631" t="s">
        <v>278</v>
      </c>
      <c r="D171" s="631" t="s">
        <v>279</v>
      </c>
      <c r="E171" s="631" t="s">
        <v>280</v>
      </c>
      <c r="F171" s="631" t="s">
        <v>281</v>
      </c>
      <c r="G171" s="631" t="s">
        <v>282</v>
      </c>
      <c r="H171" s="631" t="s">
        <v>284</v>
      </c>
      <c r="I171" s="631" t="s">
        <v>285</v>
      </c>
      <c r="J171" s="631" t="s">
        <v>352</v>
      </c>
      <c r="K171" s="631" t="s">
        <v>353</v>
      </c>
      <c r="L171" s="631" t="s">
        <v>279</v>
      </c>
      <c r="M171" s="631" t="s">
        <v>354</v>
      </c>
      <c r="N171" s="631" t="s">
        <v>355</v>
      </c>
      <c r="O171" s="631" t="s">
        <v>356</v>
      </c>
      <c r="P171" s="631" t="s">
        <v>357</v>
      </c>
      <c r="AC171" s="1844"/>
      <c r="AD171" s="631" t="s">
        <v>278</v>
      </c>
      <c r="AE171" s="631" t="s">
        <v>279</v>
      </c>
      <c r="AF171" s="631" t="s">
        <v>280</v>
      </c>
      <c r="AG171" s="631" t="s">
        <v>281</v>
      </c>
      <c r="AH171" s="631" t="s">
        <v>282</v>
      </c>
      <c r="AI171" s="631" t="s">
        <v>283</v>
      </c>
      <c r="AJ171" s="631" t="s">
        <v>284</v>
      </c>
      <c r="AK171" s="631" t="s">
        <v>285</v>
      </c>
      <c r="AL171" s="631" t="s">
        <v>286</v>
      </c>
      <c r="AM171" s="631" t="s">
        <v>287</v>
      </c>
      <c r="AN171" s="631" t="s">
        <v>288</v>
      </c>
      <c r="AQ171" s="1844"/>
      <c r="AR171" s="631" t="s">
        <v>380</v>
      </c>
      <c r="AS171" s="631" t="s">
        <v>353</v>
      </c>
      <c r="AT171" s="631" t="s">
        <v>378</v>
      </c>
      <c r="AU171" s="631" t="s">
        <v>381</v>
      </c>
      <c r="AV171" s="631" t="s">
        <v>354</v>
      </c>
      <c r="AW171" s="631" t="s">
        <v>355</v>
      </c>
      <c r="AX171" s="631" t="s">
        <v>356</v>
      </c>
      <c r="AY171" s="631" t="s">
        <v>357</v>
      </c>
      <c r="AZ171" s="631" t="s">
        <v>382</v>
      </c>
      <c r="BA171" s="631" t="s">
        <v>383</v>
      </c>
      <c r="BD171" s="1880"/>
      <c r="BE171" s="29" t="s">
        <v>391</v>
      </c>
      <c r="BF171" s="29" t="s">
        <v>392</v>
      </c>
      <c r="BG171" s="29" t="s">
        <v>393</v>
      </c>
      <c r="BH171" s="29" t="s">
        <v>394</v>
      </c>
      <c r="BI171" s="29" t="s">
        <v>395</v>
      </c>
      <c r="BJ171" s="29" t="s">
        <v>396</v>
      </c>
      <c r="BK171" s="1880"/>
      <c r="BL171" s="1880"/>
      <c r="BM171" s="1880"/>
      <c r="BN171" s="1880"/>
    </row>
    <row r="172" spans="2:66" ht="48" customHeight="1" thickBot="1">
      <c r="B172" s="628" t="s">
        <v>358</v>
      </c>
      <c r="C172" s="1843">
        <v>89</v>
      </c>
      <c r="D172" s="1843">
        <v>89</v>
      </c>
      <c r="E172" s="1843">
        <v>84</v>
      </c>
      <c r="F172" s="1843">
        <v>80</v>
      </c>
      <c r="G172" s="1843">
        <v>48</v>
      </c>
      <c r="H172" s="631">
        <v>47</v>
      </c>
      <c r="I172" s="1843">
        <v>32</v>
      </c>
      <c r="J172" s="1843">
        <v>28</v>
      </c>
      <c r="K172" s="1843">
        <v>14</v>
      </c>
      <c r="L172" s="1843">
        <v>47.5</v>
      </c>
      <c r="M172" s="1843">
        <v>17</v>
      </c>
      <c r="N172" s="1843">
        <v>17</v>
      </c>
      <c r="O172" s="631">
        <v>47</v>
      </c>
      <c r="P172" s="1843">
        <v>18</v>
      </c>
      <c r="AC172" s="628" t="s">
        <v>289</v>
      </c>
      <c r="AD172" s="1843">
        <v>116</v>
      </c>
      <c r="AE172" s="1843">
        <v>116</v>
      </c>
      <c r="AF172" s="1843">
        <v>102</v>
      </c>
      <c r="AG172" s="1843">
        <v>70</v>
      </c>
      <c r="AH172" s="1843">
        <v>65</v>
      </c>
      <c r="AI172" s="1843" t="s">
        <v>290</v>
      </c>
      <c r="AJ172" s="631">
        <v>65</v>
      </c>
      <c r="AK172" s="1843">
        <v>42</v>
      </c>
      <c r="AL172" s="1843">
        <v>42</v>
      </c>
      <c r="AM172" s="1843">
        <v>10</v>
      </c>
      <c r="AN172" s="1843">
        <v>10</v>
      </c>
      <c r="AQ172" s="628" t="s">
        <v>289</v>
      </c>
      <c r="AR172" s="1843">
        <v>10</v>
      </c>
      <c r="AS172" s="1843">
        <v>13</v>
      </c>
      <c r="AT172" s="1843">
        <v>4</v>
      </c>
      <c r="AU172" s="1843">
        <v>64.3</v>
      </c>
      <c r="AV172" s="1843">
        <v>27</v>
      </c>
      <c r="AW172" s="1843">
        <v>27</v>
      </c>
      <c r="AX172" s="631">
        <v>65</v>
      </c>
      <c r="AY172" s="1843">
        <v>22</v>
      </c>
      <c r="AZ172" s="1843">
        <v>5</v>
      </c>
      <c r="BA172" s="1843">
        <v>29.1</v>
      </c>
      <c r="BD172" s="625" t="s">
        <v>289</v>
      </c>
      <c r="BE172" s="1878">
        <v>134</v>
      </c>
      <c r="BF172" s="1878">
        <v>25</v>
      </c>
      <c r="BG172" s="1878">
        <v>25</v>
      </c>
      <c r="BH172" s="1878">
        <v>30</v>
      </c>
      <c r="BI172" s="1878">
        <v>49</v>
      </c>
      <c r="BJ172" s="1878">
        <v>25</v>
      </c>
      <c r="BK172" s="1878">
        <v>3.6999999999999998E-2</v>
      </c>
      <c r="BL172" s="1878">
        <v>2.5000000000000001E-3</v>
      </c>
      <c r="BM172" s="1878">
        <v>3.5000000000000001E-3</v>
      </c>
      <c r="BN172" s="29">
        <v>5.7</v>
      </c>
    </row>
    <row r="173" spans="2:66" ht="48" customHeight="1" thickBot="1">
      <c r="B173" s="628" t="s">
        <v>359</v>
      </c>
      <c r="C173" s="1845"/>
      <c r="D173" s="1845"/>
      <c r="E173" s="1845"/>
      <c r="F173" s="1845"/>
      <c r="G173" s="1844"/>
      <c r="H173" s="631">
        <v>56</v>
      </c>
      <c r="I173" s="1844"/>
      <c r="J173" s="1844"/>
      <c r="K173" s="1845"/>
      <c r="L173" s="1844"/>
      <c r="M173" s="1845"/>
      <c r="N173" s="1845"/>
      <c r="O173" s="631">
        <v>56</v>
      </c>
      <c r="P173" s="1845"/>
      <c r="AC173" s="628" t="s">
        <v>291</v>
      </c>
      <c r="AD173" s="1845"/>
      <c r="AE173" s="1845"/>
      <c r="AF173" s="1845"/>
      <c r="AG173" s="1844"/>
      <c r="AH173" s="1844"/>
      <c r="AI173" s="1845"/>
      <c r="AJ173" s="631">
        <v>74</v>
      </c>
      <c r="AK173" s="1844"/>
      <c r="AL173" s="1844"/>
      <c r="AM173" s="1845"/>
      <c r="AN173" s="1845"/>
      <c r="AQ173" s="628" t="s">
        <v>291</v>
      </c>
      <c r="AR173" s="1845"/>
      <c r="AS173" s="1845"/>
      <c r="AT173" s="1845"/>
      <c r="AU173" s="1844"/>
      <c r="AV173" s="1845"/>
      <c r="AW173" s="1845"/>
      <c r="AX173" s="631">
        <v>74</v>
      </c>
      <c r="AY173" s="1845"/>
      <c r="AZ173" s="1845"/>
      <c r="BA173" s="1845"/>
      <c r="BD173" s="625" t="s">
        <v>291</v>
      </c>
      <c r="BE173" s="1879"/>
      <c r="BF173" s="1879"/>
      <c r="BG173" s="1879"/>
      <c r="BH173" s="1879"/>
      <c r="BI173" s="1879"/>
      <c r="BJ173" s="1879"/>
      <c r="BK173" s="1880"/>
      <c r="BL173" s="1879"/>
      <c r="BM173" s="1879"/>
      <c r="BN173" s="29">
        <v>6.4</v>
      </c>
    </row>
    <row r="174" spans="2:66" ht="48" customHeight="1" thickBot="1">
      <c r="B174" s="628" t="s">
        <v>360</v>
      </c>
      <c r="C174" s="1845"/>
      <c r="D174" s="1845"/>
      <c r="E174" s="1845"/>
      <c r="F174" s="1845"/>
      <c r="G174" s="1843">
        <v>55</v>
      </c>
      <c r="H174" s="631">
        <v>47</v>
      </c>
      <c r="I174" s="1843">
        <v>28</v>
      </c>
      <c r="J174" s="1843">
        <v>24</v>
      </c>
      <c r="K174" s="1845"/>
      <c r="L174" s="1843">
        <v>54.5</v>
      </c>
      <c r="M174" s="1845"/>
      <c r="N174" s="1845"/>
      <c r="O174" s="631">
        <v>47</v>
      </c>
      <c r="P174" s="1845"/>
      <c r="AC174" s="628" t="s">
        <v>292</v>
      </c>
      <c r="AD174" s="1845"/>
      <c r="AE174" s="1845"/>
      <c r="AF174" s="1845"/>
      <c r="AG174" s="1843">
        <v>75</v>
      </c>
      <c r="AH174" s="1843">
        <v>70</v>
      </c>
      <c r="AI174" s="1845"/>
      <c r="AJ174" s="631">
        <v>65</v>
      </c>
      <c r="AK174" s="1843">
        <v>40</v>
      </c>
      <c r="AL174" s="1843">
        <v>40</v>
      </c>
      <c r="AM174" s="1845"/>
      <c r="AN174" s="1845"/>
      <c r="AQ174" s="628" t="s">
        <v>292</v>
      </c>
      <c r="AR174" s="1845"/>
      <c r="AS174" s="1845"/>
      <c r="AT174" s="1845"/>
      <c r="AU174" s="1843">
        <v>69.5</v>
      </c>
      <c r="AV174" s="1845"/>
      <c r="AW174" s="1845"/>
      <c r="AX174" s="631">
        <v>65</v>
      </c>
      <c r="AY174" s="1845"/>
      <c r="AZ174" s="1845"/>
      <c r="BA174" s="1845"/>
      <c r="BD174" s="625" t="s">
        <v>292</v>
      </c>
      <c r="BE174" s="1879"/>
      <c r="BF174" s="1879"/>
      <c r="BG174" s="1879"/>
      <c r="BH174" s="1879"/>
      <c r="BI174" s="1879"/>
      <c r="BJ174" s="1879"/>
      <c r="BK174" s="1878">
        <v>1.7999999999999999E-2</v>
      </c>
      <c r="BL174" s="1879"/>
      <c r="BM174" s="1879"/>
      <c r="BN174" s="29">
        <v>5.4</v>
      </c>
    </row>
    <row r="175" spans="2:66" ht="48" customHeight="1" thickBot="1">
      <c r="B175" s="628" t="s">
        <v>361</v>
      </c>
      <c r="C175" s="1844"/>
      <c r="D175" s="1844"/>
      <c r="E175" s="1844"/>
      <c r="F175" s="1844"/>
      <c r="G175" s="1844"/>
      <c r="H175" s="1843">
        <v>56</v>
      </c>
      <c r="I175" s="1844"/>
      <c r="J175" s="1844"/>
      <c r="K175" s="1845"/>
      <c r="L175" s="1844"/>
      <c r="M175" s="1844"/>
      <c r="N175" s="1844"/>
      <c r="O175" s="1843">
        <v>56</v>
      </c>
      <c r="P175" s="1844"/>
      <c r="AC175" s="628" t="s">
        <v>293</v>
      </c>
      <c r="AD175" s="1844"/>
      <c r="AE175" s="1844"/>
      <c r="AF175" s="1844"/>
      <c r="AG175" s="1844"/>
      <c r="AH175" s="1844"/>
      <c r="AI175" s="1845"/>
      <c r="AJ175" s="631">
        <v>74</v>
      </c>
      <c r="AK175" s="1844"/>
      <c r="AL175" s="1844"/>
      <c r="AM175" s="1844"/>
      <c r="AN175" s="1844"/>
      <c r="AQ175" s="628" t="s">
        <v>293</v>
      </c>
      <c r="AR175" s="1844"/>
      <c r="AS175" s="1844"/>
      <c r="AT175" s="1844"/>
      <c r="AU175" s="1844"/>
      <c r="AV175" s="1844"/>
      <c r="AW175" s="1844"/>
      <c r="AX175" s="631">
        <v>74</v>
      </c>
      <c r="AY175" s="1844"/>
      <c r="AZ175" s="1844"/>
      <c r="BA175" s="1844"/>
      <c r="BD175" s="625" t="s">
        <v>293</v>
      </c>
      <c r="BE175" s="1880"/>
      <c r="BF175" s="1880"/>
      <c r="BG175" s="1880"/>
      <c r="BH175" s="1880"/>
      <c r="BI175" s="1880"/>
      <c r="BJ175" s="1880"/>
      <c r="BK175" s="1880"/>
      <c r="BL175" s="1880"/>
      <c r="BM175" s="1880"/>
      <c r="BN175" s="29">
        <v>6.2</v>
      </c>
    </row>
    <row r="176" spans="2:66" ht="48" customHeight="1" thickBot="1">
      <c r="B176" s="628" t="s">
        <v>362</v>
      </c>
      <c r="C176" s="1843">
        <v>100</v>
      </c>
      <c r="D176" s="1843">
        <v>100</v>
      </c>
      <c r="E176" s="1843">
        <v>95</v>
      </c>
      <c r="F176" s="1843">
        <v>90</v>
      </c>
      <c r="G176" s="1843">
        <v>54</v>
      </c>
      <c r="H176" s="1844"/>
      <c r="I176" s="1843">
        <v>35</v>
      </c>
      <c r="J176" s="1843">
        <v>31</v>
      </c>
      <c r="K176" s="1845"/>
      <c r="L176" s="1843">
        <v>53.4</v>
      </c>
      <c r="M176" s="1843">
        <v>20</v>
      </c>
      <c r="N176" s="1843">
        <v>20</v>
      </c>
      <c r="O176" s="1844"/>
      <c r="P176" s="1843">
        <v>20</v>
      </c>
      <c r="AC176" s="628" t="s">
        <v>294</v>
      </c>
      <c r="AD176" s="1843">
        <v>116</v>
      </c>
      <c r="AE176" s="1843">
        <v>116</v>
      </c>
      <c r="AF176" s="1843">
        <v>102</v>
      </c>
      <c r="AG176" s="1843">
        <v>82</v>
      </c>
      <c r="AH176" s="1843">
        <v>76</v>
      </c>
      <c r="AI176" s="1845"/>
      <c r="AJ176" s="631">
        <v>65</v>
      </c>
      <c r="AK176" s="1843">
        <v>37</v>
      </c>
      <c r="AL176" s="1843">
        <v>37</v>
      </c>
      <c r="AM176" s="1843">
        <v>10</v>
      </c>
      <c r="AN176" s="1843">
        <v>10</v>
      </c>
      <c r="AQ176" s="628" t="s">
        <v>294</v>
      </c>
      <c r="AR176" s="1843">
        <v>10</v>
      </c>
      <c r="AS176" s="1843">
        <v>13</v>
      </c>
      <c r="AT176" s="1843">
        <v>4</v>
      </c>
      <c r="AU176" s="1843">
        <v>75.5</v>
      </c>
      <c r="AV176" s="1843">
        <v>27</v>
      </c>
      <c r="AW176" s="1843">
        <v>27</v>
      </c>
      <c r="AX176" s="631">
        <v>65</v>
      </c>
      <c r="AY176" s="1843">
        <v>16</v>
      </c>
      <c r="AZ176" s="1843">
        <v>5</v>
      </c>
      <c r="BA176" s="1843">
        <v>29.1</v>
      </c>
      <c r="BD176" s="625" t="s">
        <v>294</v>
      </c>
      <c r="BE176" s="1878">
        <v>134</v>
      </c>
      <c r="BF176" s="1878">
        <v>25</v>
      </c>
      <c r="BG176" s="1878">
        <v>25</v>
      </c>
      <c r="BH176" s="1878">
        <v>30</v>
      </c>
      <c r="BI176" s="1878">
        <v>49</v>
      </c>
      <c r="BJ176" s="1878">
        <v>25</v>
      </c>
      <c r="BK176" s="1878">
        <v>1.2E-2</v>
      </c>
      <c r="BL176" s="1878">
        <v>2.5000000000000001E-3</v>
      </c>
      <c r="BM176" s="1878">
        <v>3.5000000000000001E-3</v>
      </c>
      <c r="BN176" s="29">
        <v>5.5</v>
      </c>
    </row>
    <row r="177" spans="2:66" ht="48" customHeight="1" thickBot="1">
      <c r="B177" s="628" t="s">
        <v>363</v>
      </c>
      <c r="C177" s="1845"/>
      <c r="D177" s="1845"/>
      <c r="E177" s="1845"/>
      <c r="F177" s="1845"/>
      <c r="G177" s="1844"/>
      <c r="H177" s="631">
        <v>65</v>
      </c>
      <c r="I177" s="1844"/>
      <c r="J177" s="1844"/>
      <c r="K177" s="1845"/>
      <c r="L177" s="1844"/>
      <c r="M177" s="1845"/>
      <c r="N177" s="1845"/>
      <c r="O177" s="631">
        <v>65</v>
      </c>
      <c r="P177" s="1845"/>
      <c r="AC177" s="628" t="s">
        <v>295</v>
      </c>
      <c r="AD177" s="1845"/>
      <c r="AE177" s="1845"/>
      <c r="AF177" s="1845"/>
      <c r="AG177" s="1845"/>
      <c r="AH177" s="1845"/>
      <c r="AI177" s="1845"/>
      <c r="AJ177" s="631">
        <v>90</v>
      </c>
      <c r="AK177" s="1844"/>
      <c r="AL177" s="1844"/>
      <c r="AM177" s="1845"/>
      <c r="AN177" s="1845"/>
      <c r="AQ177" s="628" t="s">
        <v>295</v>
      </c>
      <c r="AR177" s="1845"/>
      <c r="AS177" s="1845"/>
      <c r="AT177" s="1845"/>
      <c r="AU177" s="1845"/>
      <c r="AV177" s="1845"/>
      <c r="AW177" s="1845"/>
      <c r="AX177" s="631">
        <v>90</v>
      </c>
      <c r="AY177" s="1845"/>
      <c r="AZ177" s="1845"/>
      <c r="BA177" s="1845"/>
      <c r="BD177" s="625" t="s">
        <v>295</v>
      </c>
      <c r="BE177" s="1879"/>
      <c r="BF177" s="1879"/>
      <c r="BG177" s="1879"/>
      <c r="BH177" s="1879"/>
      <c r="BI177" s="1879"/>
      <c r="BJ177" s="1879"/>
      <c r="BK177" s="1880"/>
      <c r="BL177" s="1879"/>
      <c r="BM177" s="1879"/>
      <c r="BN177" s="29">
        <v>6.8</v>
      </c>
    </row>
    <row r="178" spans="2:66" ht="48" customHeight="1" thickBot="1">
      <c r="B178" s="628" t="s">
        <v>364</v>
      </c>
      <c r="C178" s="1845"/>
      <c r="D178" s="1845"/>
      <c r="E178" s="1845"/>
      <c r="F178" s="1845"/>
      <c r="G178" s="1843">
        <v>61</v>
      </c>
      <c r="H178" s="631">
        <v>56</v>
      </c>
      <c r="I178" s="1843">
        <v>28</v>
      </c>
      <c r="J178" s="1843">
        <v>24</v>
      </c>
      <c r="K178" s="1845"/>
      <c r="L178" s="1843">
        <v>60.5</v>
      </c>
      <c r="M178" s="1845"/>
      <c r="N178" s="1845"/>
      <c r="O178" s="631">
        <v>56</v>
      </c>
      <c r="P178" s="1845"/>
      <c r="AC178" s="628" t="s">
        <v>296</v>
      </c>
      <c r="AD178" s="1844"/>
      <c r="AE178" s="1844"/>
      <c r="AF178" s="1844"/>
      <c r="AG178" s="1844"/>
      <c r="AH178" s="1844"/>
      <c r="AI178" s="1845"/>
      <c r="AJ178" s="631">
        <v>74</v>
      </c>
      <c r="AK178" s="631">
        <v>35</v>
      </c>
      <c r="AL178" s="631">
        <v>35</v>
      </c>
      <c r="AM178" s="1845"/>
      <c r="AN178" s="1845"/>
      <c r="AQ178" s="628" t="s">
        <v>296</v>
      </c>
      <c r="AR178" s="1845"/>
      <c r="AS178" s="1844"/>
      <c r="AT178" s="1845"/>
      <c r="AU178" s="1844"/>
      <c r="AV178" s="1844"/>
      <c r="AW178" s="1844"/>
      <c r="AX178" s="631">
        <v>74</v>
      </c>
      <c r="AY178" s="1844"/>
      <c r="AZ178" s="1844"/>
      <c r="BA178" s="1844"/>
      <c r="BD178" s="625" t="s">
        <v>296</v>
      </c>
      <c r="BE178" s="1880"/>
      <c r="BF178" s="1880"/>
      <c r="BG178" s="1880"/>
      <c r="BH178" s="1880"/>
      <c r="BI178" s="1879"/>
      <c r="BJ178" s="1879"/>
      <c r="BK178" s="29">
        <v>8.9999999999999993E-3</v>
      </c>
      <c r="BL178" s="1880"/>
      <c r="BM178" s="1879"/>
      <c r="BN178" s="29">
        <v>5.7</v>
      </c>
    </row>
    <row r="179" spans="2:66" ht="48" customHeight="1" thickBot="1">
      <c r="B179" s="628" t="s">
        <v>365</v>
      </c>
      <c r="C179" s="1845"/>
      <c r="D179" s="1845"/>
      <c r="E179" s="1845"/>
      <c r="F179" s="1845"/>
      <c r="G179" s="1844"/>
      <c r="H179" s="631">
        <v>65</v>
      </c>
      <c r="I179" s="1845"/>
      <c r="J179" s="1845"/>
      <c r="K179" s="1845"/>
      <c r="L179" s="1844"/>
      <c r="M179" s="1845"/>
      <c r="N179" s="1845"/>
      <c r="O179" s="631">
        <v>65</v>
      </c>
      <c r="P179" s="1845"/>
      <c r="AC179" s="628" t="s">
        <v>297</v>
      </c>
      <c r="AD179" s="1843">
        <v>131</v>
      </c>
      <c r="AE179" s="1843">
        <v>131</v>
      </c>
      <c r="AF179" s="1843">
        <v>117</v>
      </c>
      <c r="AG179" s="1843">
        <v>80</v>
      </c>
      <c r="AH179" s="1843">
        <v>74</v>
      </c>
      <c r="AI179" s="1845"/>
      <c r="AJ179" s="631">
        <v>78</v>
      </c>
      <c r="AK179" s="1843">
        <v>45</v>
      </c>
      <c r="AL179" s="1843">
        <v>45</v>
      </c>
      <c r="AM179" s="1845"/>
      <c r="AN179" s="1845"/>
      <c r="AQ179" s="628" t="s">
        <v>297</v>
      </c>
      <c r="AR179" s="1845"/>
      <c r="AS179" s="1843">
        <v>10</v>
      </c>
      <c r="AT179" s="1845"/>
      <c r="AU179" s="1843">
        <v>73.3</v>
      </c>
      <c r="AV179" s="1843">
        <v>32</v>
      </c>
      <c r="AW179" s="1843">
        <v>32</v>
      </c>
      <c r="AX179" s="631">
        <v>78</v>
      </c>
      <c r="AY179" s="1843">
        <v>19</v>
      </c>
      <c r="AZ179" s="1843">
        <v>6</v>
      </c>
      <c r="BA179" s="1843">
        <v>34.799999999999997</v>
      </c>
      <c r="BD179" s="625" t="s">
        <v>297</v>
      </c>
      <c r="BE179" s="1878">
        <v>150</v>
      </c>
      <c r="BF179" s="1878">
        <v>30</v>
      </c>
      <c r="BG179" s="1878">
        <v>30</v>
      </c>
      <c r="BH179" s="1878">
        <v>32.5</v>
      </c>
      <c r="BI179" s="1879"/>
      <c r="BJ179" s="1879"/>
      <c r="BK179" s="1878">
        <v>5.3999999999999999E-2</v>
      </c>
      <c r="BL179" s="1878">
        <v>3.0000000000000001E-3</v>
      </c>
      <c r="BM179" s="1879"/>
      <c r="BN179" s="29">
        <v>8.1999999999999993</v>
      </c>
    </row>
    <row r="180" spans="2:66" ht="48" customHeight="1" thickBot="1">
      <c r="B180" s="628" t="s">
        <v>366</v>
      </c>
      <c r="C180" s="1845"/>
      <c r="D180" s="1845"/>
      <c r="E180" s="1845"/>
      <c r="F180" s="1845"/>
      <c r="G180" s="1843">
        <v>65</v>
      </c>
      <c r="H180" s="631">
        <v>56</v>
      </c>
      <c r="I180" s="1845"/>
      <c r="J180" s="1845"/>
      <c r="K180" s="1845"/>
      <c r="L180" s="1843">
        <v>64.5</v>
      </c>
      <c r="M180" s="1845"/>
      <c r="N180" s="1845"/>
      <c r="O180" s="631">
        <v>56</v>
      </c>
      <c r="P180" s="1845"/>
      <c r="AC180" s="628" t="s">
        <v>298</v>
      </c>
      <c r="AD180" s="1845"/>
      <c r="AE180" s="1845"/>
      <c r="AF180" s="1845"/>
      <c r="AG180" s="1844"/>
      <c r="AH180" s="1844"/>
      <c r="AI180" s="1845"/>
      <c r="AJ180" s="631">
        <v>98</v>
      </c>
      <c r="AK180" s="1845"/>
      <c r="AL180" s="1845"/>
      <c r="AM180" s="1845"/>
      <c r="AN180" s="1845"/>
      <c r="AQ180" s="628" t="s">
        <v>298</v>
      </c>
      <c r="AR180" s="1845"/>
      <c r="AS180" s="1845"/>
      <c r="AT180" s="1845"/>
      <c r="AU180" s="1844"/>
      <c r="AV180" s="1845"/>
      <c r="AW180" s="1845"/>
      <c r="AX180" s="631">
        <v>98</v>
      </c>
      <c r="AY180" s="1844"/>
      <c r="AZ180" s="1845"/>
      <c r="BA180" s="1845"/>
      <c r="BD180" s="625" t="s">
        <v>298</v>
      </c>
      <c r="BE180" s="1879"/>
      <c r="BF180" s="1879"/>
      <c r="BG180" s="1879"/>
      <c r="BH180" s="1879"/>
      <c r="BI180" s="1879"/>
      <c r="BJ180" s="1879"/>
      <c r="BK180" s="1880"/>
      <c r="BL180" s="1879"/>
      <c r="BM180" s="1879"/>
      <c r="BN180" s="29">
        <v>9.9</v>
      </c>
    </row>
    <row r="181" spans="2:66" ht="48" customHeight="1" thickBot="1">
      <c r="B181" s="628" t="s">
        <v>367</v>
      </c>
      <c r="C181" s="1844"/>
      <c r="D181" s="1844"/>
      <c r="E181" s="1844"/>
      <c r="F181" s="1844"/>
      <c r="G181" s="1844"/>
      <c r="H181" s="631">
        <v>65</v>
      </c>
      <c r="I181" s="1844"/>
      <c r="J181" s="1844"/>
      <c r="K181" s="1844"/>
      <c r="L181" s="1844"/>
      <c r="M181" s="1844"/>
      <c r="N181" s="1844"/>
      <c r="O181" s="631">
        <v>65</v>
      </c>
      <c r="P181" s="1844"/>
      <c r="AC181" s="628" t="s">
        <v>299</v>
      </c>
      <c r="AD181" s="1845"/>
      <c r="AE181" s="1845"/>
      <c r="AF181" s="1845"/>
      <c r="AG181" s="1843">
        <v>90</v>
      </c>
      <c r="AH181" s="1843">
        <v>84</v>
      </c>
      <c r="AI181" s="1845"/>
      <c r="AJ181" s="631">
        <v>78</v>
      </c>
      <c r="AK181" s="1845"/>
      <c r="AL181" s="1845"/>
      <c r="AM181" s="1845"/>
      <c r="AN181" s="1845"/>
      <c r="AQ181" s="628" t="s">
        <v>299</v>
      </c>
      <c r="AR181" s="1845"/>
      <c r="AS181" s="1845"/>
      <c r="AT181" s="1845"/>
      <c r="AU181" s="1843">
        <v>83.5</v>
      </c>
      <c r="AV181" s="1845"/>
      <c r="AW181" s="1845"/>
      <c r="AX181" s="631">
        <v>78</v>
      </c>
      <c r="AY181" s="1843">
        <v>20</v>
      </c>
      <c r="AZ181" s="1845"/>
      <c r="BA181" s="1845"/>
      <c r="BD181" s="625" t="s">
        <v>299</v>
      </c>
      <c r="BE181" s="1879"/>
      <c r="BF181" s="1879"/>
      <c r="BG181" s="1879"/>
      <c r="BH181" s="1879"/>
      <c r="BI181" s="1879"/>
      <c r="BJ181" s="1879"/>
      <c r="BK181" s="1878">
        <v>2.7E-2</v>
      </c>
      <c r="BL181" s="1879"/>
      <c r="BM181" s="1879"/>
      <c r="BN181" s="29">
        <v>8.1999999999999993</v>
      </c>
    </row>
    <row r="182" spans="2:66" ht="48" customHeight="1" thickBot="1">
      <c r="AC182" s="628" t="s">
        <v>300</v>
      </c>
      <c r="AD182" s="1845"/>
      <c r="AE182" s="1845"/>
      <c r="AF182" s="1845"/>
      <c r="AG182" s="1844"/>
      <c r="AH182" s="1844"/>
      <c r="AI182" s="1845"/>
      <c r="AJ182" s="631">
        <v>98</v>
      </c>
      <c r="AK182" s="1845"/>
      <c r="AL182" s="1845"/>
      <c r="AM182" s="1845"/>
      <c r="AN182" s="1845"/>
      <c r="AQ182" s="628" t="s">
        <v>300</v>
      </c>
      <c r="AR182" s="1845"/>
      <c r="AS182" s="1845"/>
      <c r="AT182" s="1845"/>
      <c r="AU182" s="1844"/>
      <c r="AV182" s="1845"/>
      <c r="AW182" s="1845"/>
      <c r="AX182" s="631">
        <v>98</v>
      </c>
      <c r="AY182" s="1844"/>
      <c r="AZ182" s="1845"/>
      <c r="BA182" s="1845"/>
      <c r="BD182" s="625" t="s">
        <v>300</v>
      </c>
      <c r="BE182" s="1879"/>
      <c r="BF182" s="1879"/>
      <c r="BG182" s="1879"/>
      <c r="BH182" s="1879"/>
      <c r="BI182" s="1879"/>
      <c r="BJ182" s="1879"/>
      <c r="BK182" s="1880"/>
      <c r="BL182" s="1879"/>
      <c r="BM182" s="1879"/>
      <c r="BN182" s="29">
        <v>10.1</v>
      </c>
    </row>
    <row r="183" spans="2:66" ht="48" customHeight="1" thickBot="1">
      <c r="B183" s="626" t="s">
        <v>368</v>
      </c>
      <c r="C183" s="1840" t="s">
        <v>277</v>
      </c>
      <c r="D183" s="1841"/>
      <c r="E183" s="1841"/>
      <c r="F183" s="1842"/>
      <c r="G183" s="1843" t="s">
        <v>369</v>
      </c>
      <c r="H183" s="1840" t="s">
        <v>370</v>
      </c>
      <c r="I183" s="1842"/>
      <c r="J183" s="1843" t="s">
        <v>371</v>
      </c>
      <c r="AC183" s="628" t="s">
        <v>301</v>
      </c>
      <c r="AD183" s="1845"/>
      <c r="AE183" s="1845"/>
      <c r="AF183" s="1845"/>
      <c r="AG183" s="1843">
        <v>95</v>
      </c>
      <c r="AH183" s="1843">
        <v>88</v>
      </c>
      <c r="AI183" s="1845"/>
      <c r="AJ183" s="631">
        <v>78</v>
      </c>
      <c r="AK183" s="1844"/>
      <c r="AL183" s="1844"/>
      <c r="AM183" s="1845"/>
      <c r="AN183" s="1845"/>
      <c r="AQ183" s="628" t="s">
        <v>301</v>
      </c>
      <c r="AR183" s="1845"/>
      <c r="AS183" s="1845"/>
      <c r="AT183" s="1845"/>
      <c r="AU183" s="1843">
        <v>87.5</v>
      </c>
      <c r="AV183" s="1845"/>
      <c r="AW183" s="1845"/>
      <c r="AX183" s="631">
        <v>78</v>
      </c>
      <c r="AY183" s="1843">
        <v>14.5</v>
      </c>
      <c r="AZ183" s="1845"/>
      <c r="BA183" s="1845"/>
      <c r="BD183" s="625" t="s">
        <v>301</v>
      </c>
      <c r="BE183" s="1879"/>
      <c r="BF183" s="1879"/>
      <c r="BG183" s="1879"/>
      <c r="BH183" s="1879"/>
      <c r="BI183" s="1879"/>
      <c r="BJ183" s="1879"/>
      <c r="BK183" s="1878">
        <v>1.7999999999999999E-2</v>
      </c>
      <c r="BL183" s="1879"/>
      <c r="BM183" s="1879"/>
      <c r="BN183" s="29">
        <v>7.6</v>
      </c>
    </row>
    <row r="184" spans="2:66" ht="48" customHeight="1" thickBot="1">
      <c r="B184" s="627" t="s">
        <v>276</v>
      </c>
      <c r="C184" s="1840" t="s">
        <v>372</v>
      </c>
      <c r="D184" s="1841"/>
      <c r="E184" s="1841"/>
      <c r="F184" s="1842"/>
      <c r="G184" s="1845"/>
      <c r="H184" s="1843" t="s">
        <v>373</v>
      </c>
      <c r="I184" s="1843" t="s">
        <v>374</v>
      </c>
      <c r="J184" s="1845"/>
      <c r="AC184" s="628" t="s">
        <v>302</v>
      </c>
      <c r="AD184" s="1845"/>
      <c r="AE184" s="1845"/>
      <c r="AF184" s="1845"/>
      <c r="AG184" s="1845"/>
      <c r="AH184" s="1845"/>
      <c r="AI184" s="1845"/>
      <c r="AJ184" s="631">
        <v>115</v>
      </c>
      <c r="AK184" s="631">
        <v>36.5</v>
      </c>
      <c r="AL184" s="631">
        <v>36.5</v>
      </c>
      <c r="AM184" s="1845"/>
      <c r="AN184" s="1845"/>
      <c r="AQ184" s="628" t="s">
        <v>302</v>
      </c>
      <c r="AR184" s="1845"/>
      <c r="AS184" s="1845"/>
      <c r="AT184" s="1845"/>
      <c r="AU184" s="1845"/>
      <c r="AV184" s="1845"/>
      <c r="AW184" s="1845"/>
      <c r="AX184" s="631">
        <v>115</v>
      </c>
      <c r="AY184" s="1845"/>
      <c r="AZ184" s="1845"/>
      <c r="BA184" s="1845"/>
      <c r="BD184" s="625" t="s">
        <v>302</v>
      </c>
      <c r="BE184" s="1879"/>
      <c r="BF184" s="1879"/>
      <c r="BG184" s="1879"/>
      <c r="BH184" s="1879"/>
      <c r="BI184" s="1879"/>
      <c r="BJ184" s="1879"/>
      <c r="BK184" s="1880"/>
      <c r="BL184" s="1879"/>
      <c r="BM184" s="1879"/>
      <c r="BN184" s="29">
        <v>10.5</v>
      </c>
    </row>
    <row r="185" spans="2:66" ht="48" customHeight="1" thickBot="1">
      <c r="B185" s="647"/>
      <c r="C185" s="631" t="s">
        <v>375</v>
      </c>
      <c r="D185" s="631" t="s">
        <v>376</v>
      </c>
      <c r="E185" s="631" t="s">
        <v>377</v>
      </c>
      <c r="F185" s="631" t="s">
        <v>378</v>
      </c>
      <c r="G185" s="1844"/>
      <c r="H185" s="1844"/>
      <c r="I185" s="1844"/>
      <c r="J185" s="1844"/>
      <c r="AC185" s="628" t="s">
        <v>303</v>
      </c>
      <c r="AD185" s="1845"/>
      <c r="AE185" s="1845"/>
      <c r="AF185" s="1845"/>
      <c r="AG185" s="1845"/>
      <c r="AH185" s="1845"/>
      <c r="AI185" s="1845"/>
      <c r="AJ185" s="631">
        <v>78</v>
      </c>
      <c r="AK185" s="1843">
        <v>45</v>
      </c>
      <c r="AL185" s="1843">
        <v>45</v>
      </c>
      <c r="AM185" s="1845"/>
      <c r="AN185" s="1845"/>
      <c r="AQ185" s="628" t="s">
        <v>303</v>
      </c>
      <c r="AR185" s="1845"/>
      <c r="AS185" s="1845"/>
      <c r="AT185" s="1845"/>
      <c r="AU185" s="1845"/>
      <c r="AV185" s="1845"/>
      <c r="AW185" s="1845"/>
      <c r="AX185" s="631">
        <v>78</v>
      </c>
      <c r="AY185" s="1845"/>
      <c r="AZ185" s="1845"/>
      <c r="BA185" s="1845"/>
      <c r="BD185" s="625" t="s">
        <v>303</v>
      </c>
      <c r="BE185" s="1879"/>
      <c r="BF185" s="1879"/>
      <c r="BG185" s="1879"/>
      <c r="BH185" s="1879"/>
      <c r="BI185" s="1879"/>
      <c r="BJ185" s="1879"/>
      <c r="BK185" s="1878">
        <v>1.4E-2</v>
      </c>
      <c r="BL185" s="1879"/>
      <c r="BM185" s="1879"/>
      <c r="BN185" s="29">
        <v>7.5</v>
      </c>
    </row>
    <row r="186" spans="2:66" ht="48" customHeight="1" thickBot="1">
      <c r="B186" s="628" t="s">
        <v>358</v>
      </c>
      <c r="C186" s="1843">
        <v>114</v>
      </c>
      <c r="D186" s="1843">
        <v>14</v>
      </c>
      <c r="E186" s="1843">
        <v>14</v>
      </c>
      <c r="F186" s="1843">
        <v>15.4</v>
      </c>
      <c r="G186" s="1843">
        <v>1.4E-2</v>
      </c>
      <c r="H186" s="1843">
        <v>3.0000000000000001E-3</v>
      </c>
      <c r="I186" s="1843">
        <v>3.0000000000000001E-3</v>
      </c>
      <c r="J186" s="631">
        <v>2.2999999999999998</v>
      </c>
      <c r="AC186" s="628" t="s">
        <v>304</v>
      </c>
      <c r="AD186" s="1844"/>
      <c r="AE186" s="1844"/>
      <c r="AF186" s="1844"/>
      <c r="AG186" s="1844"/>
      <c r="AH186" s="1844"/>
      <c r="AI186" s="1845"/>
      <c r="AJ186" s="631">
        <v>98</v>
      </c>
      <c r="AK186" s="1844"/>
      <c r="AL186" s="1844"/>
      <c r="AM186" s="1844"/>
      <c r="AN186" s="1844"/>
      <c r="AQ186" s="628" t="s">
        <v>304</v>
      </c>
      <c r="AR186" s="1844"/>
      <c r="AS186" s="1844"/>
      <c r="AT186" s="1845"/>
      <c r="AU186" s="1844"/>
      <c r="AV186" s="1845"/>
      <c r="AW186" s="1845"/>
      <c r="AX186" s="631">
        <v>98</v>
      </c>
      <c r="AY186" s="1844"/>
      <c r="AZ186" s="1845"/>
      <c r="BA186" s="1845"/>
      <c r="BD186" s="625" t="s">
        <v>304</v>
      </c>
      <c r="BE186" s="1880"/>
      <c r="BF186" s="1879"/>
      <c r="BG186" s="1879"/>
      <c r="BH186" s="1880"/>
      <c r="BI186" s="1880"/>
      <c r="BJ186" s="1879"/>
      <c r="BK186" s="1880"/>
      <c r="BL186" s="1880"/>
      <c r="BM186" s="1880"/>
      <c r="BN186" s="29">
        <v>9.9</v>
      </c>
    </row>
    <row r="187" spans="2:66" ht="48" customHeight="1" thickBot="1">
      <c r="B187" s="628" t="s">
        <v>359</v>
      </c>
      <c r="C187" s="1845"/>
      <c r="D187" s="1845"/>
      <c r="E187" s="1845"/>
      <c r="F187" s="1845"/>
      <c r="G187" s="1844"/>
      <c r="H187" s="1845"/>
      <c r="I187" s="1845"/>
      <c r="J187" s="631">
        <v>2.8</v>
      </c>
      <c r="AC187" s="628" t="s">
        <v>305</v>
      </c>
      <c r="AD187" s="1843">
        <v>149</v>
      </c>
      <c r="AE187" s="1843">
        <v>149</v>
      </c>
      <c r="AF187" s="1843">
        <v>135</v>
      </c>
      <c r="AG187" s="631">
        <v>90</v>
      </c>
      <c r="AH187" s="631">
        <v>84</v>
      </c>
      <c r="AI187" s="1845"/>
      <c r="AJ187" s="1843">
        <v>100</v>
      </c>
      <c r="AK187" s="1843">
        <v>50</v>
      </c>
      <c r="AL187" s="1843">
        <v>50</v>
      </c>
      <c r="AM187" s="1843">
        <v>12</v>
      </c>
      <c r="AN187" s="1843">
        <v>12</v>
      </c>
      <c r="AQ187" s="628" t="s">
        <v>305</v>
      </c>
      <c r="AR187" s="1843">
        <v>12</v>
      </c>
      <c r="AS187" s="1843">
        <v>12</v>
      </c>
      <c r="AT187" s="1845"/>
      <c r="AU187" s="631">
        <v>83.2</v>
      </c>
      <c r="AV187" s="1845"/>
      <c r="AW187" s="1845"/>
      <c r="AX187" s="1843">
        <v>100</v>
      </c>
      <c r="AY187" s="1843">
        <v>30</v>
      </c>
      <c r="AZ187" s="1845"/>
      <c r="BA187" s="1845"/>
      <c r="BD187" s="625" t="s">
        <v>305</v>
      </c>
      <c r="BE187" s="1878">
        <v>172</v>
      </c>
      <c r="BF187" s="1879"/>
      <c r="BG187" s="1879"/>
      <c r="BH187" s="1878">
        <v>38</v>
      </c>
      <c r="BI187" s="1878">
        <v>55</v>
      </c>
      <c r="BJ187" s="1879"/>
      <c r="BK187" s="29">
        <v>7.8E-2</v>
      </c>
      <c r="BL187" s="1878">
        <v>4.0000000000000001E-3</v>
      </c>
      <c r="BM187" s="1878">
        <v>4.4999999999999997E-3</v>
      </c>
      <c r="BN187" s="29">
        <v>13.6</v>
      </c>
    </row>
    <row r="188" spans="2:66" ht="48" customHeight="1" thickBot="1">
      <c r="B188" s="628" t="s">
        <v>360</v>
      </c>
      <c r="C188" s="1845"/>
      <c r="D188" s="1845"/>
      <c r="E188" s="1845"/>
      <c r="F188" s="1845"/>
      <c r="G188" s="1843">
        <v>1.4999999999999999E-2</v>
      </c>
      <c r="H188" s="1845"/>
      <c r="I188" s="1845"/>
      <c r="J188" s="631">
        <v>2.2999999999999998</v>
      </c>
      <c r="AC188" s="628" t="s">
        <v>306</v>
      </c>
      <c r="AD188" s="1845"/>
      <c r="AE188" s="1845"/>
      <c r="AF188" s="1845"/>
      <c r="AG188" s="631">
        <v>100</v>
      </c>
      <c r="AH188" s="631">
        <v>95</v>
      </c>
      <c r="AI188" s="1845"/>
      <c r="AJ188" s="1844"/>
      <c r="AK188" s="1844"/>
      <c r="AL188" s="1844"/>
      <c r="AM188" s="1845"/>
      <c r="AN188" s="1845"/>
      <c r="AQ188" s="628" t="s">
        <v>306</v>
      </c>
      <c r="AR188" s="1845"/>
      <c r="AS188" s="1845"/>
      <c r="AT188" s="1845"/>
      <c r="AU188" s="631">
        <v>94.5</v>
      </c>
      <c r="AV188" s="1845"/>
      <c r="AW188" s="1845"/>
      <c r="AX188" s="1844"/>
      <c r="AY188" s="1845"/>
      <c r="AZ188" s="1845"/>
      <c r="BA188" s="1845"/>
      <c r="BD188" s="625" t="s">
        <v>306</v>
      </c>
      <c r="BE188" s="1879"/>
      <c r="BF188" s="1879"/>
      <c r="BG188" s="1879"/>
      <c r="BH188" s="1879"/>
      <c r="BI188" s="1879"/>
      <c r="BJ188" s="1879"/>
      <c r="BK188" s="29">
        <v>3.9E-2</v>
      </c>
      <c r="BL188" s="1879"/>
      <c r="BM188" s="1879"/>
      <c r="BN188" s="29">
        <v>12.4</v>
      </c>
    </row>
    <row r="189" spans="2:66" ht="48" customHeight="1" thickBot="1">
      <c r="B189" s="628" t="s">
        <v>361</v>
      </c>
      <c r="C189" s="1844"/>
      <c r="D189" s="1844"/>
      <c r="E189" s="1844"/>
      <c r="F189" s="1844"/>
      <c r="G189" s="1844"/>
      <c r="H189" s="1844"/>
      <c r="I189" s="1844"/>
      <c r="J189" s="631">
        <v>2.6</v>
      </c>
      <c r="AC189" s="628" t="s">
        <v>307</v>
      </c>
      <c r="AD189" s="1845"/>
      <c r="AE189" s="1845"/>
      <c r="AF189" s="1845"/>
      <c r="AG189" s="1843">
        <v>105</v>
      </c>
      <c r="AH189" s="1843">
        <v>100</v>
      </c>
      <c r="AI189" s="1845"/>
      <c r="AJ189" s="631">
        <v>110</v>
      </c>
      <c r="AK189" s="631">
        <v>45</v>
      </c>
      <c r="AL189" s="631">
        <v>45</v>
      </c>
      <c r="AM189" s="1845"/>
      <c r="AN189" s="1845"/>
      <c r="AQ189" s="628" t="s">
        <v>307</v>
      </c>
      <c r="AR189" s="1845"/>
      <c r="AS189" s="1845"/>
      <c r="AT189" s="1845"/>
      <c r="AU189" s="1843">
        <v>99.5</v>
      </c>
      <c r="AV189" s="1845"/>
      <c r="AW189" s="1845"/>
      <c r="AX189" s="631">
        <v>110</v>
      </c>
      <c r="AY189" s="1845"/>
      <c r="AZ189" s="1845"/>
      <c r="BA189" s="1845"/>
      <c r="BD189" s="625" t="s">
        <v>307</v>
      </c>
      <c r="BE189" s="1879"/>
      <c r="BF189" s="1879"/>
      <c r="BG189" s="1879"/>
      <c r="BH189" s="1879"/>
      <c r="BI189" s="1879"/>
      <c r="BJ189" s="1879"/>
      <c r="BK189" s="29">
        <v>2.5999999999999999E-2</v>
      </c>
      <c r="BL189" s="1879"/>
      <c r="BM189" s="1879"/>
      <c r="BN189" s="29">
        <v>13.5</v>
      </c>
    </row>
    <row r="190" spans="2:66" ht="48" customHeight="1" thickBot="1">
      <c r="B190" s="628" t="s">
        <v>362</v>
      </c>
      <c r="C190" s="1843">
        <v>126</v>
      </c>
      <c r="D190" s="1843">
        <v>17</v>
      </c>
      <c r="E190" s="1843">
        <v>17</v>
      </c>
      <c r="F190" s="1843">
        <v>18</v>
      </c>
      <c r="G190" s="1843">
        <v>0.02</v>
      </c>
      <c r="H190" s="1843">
        <v>4.0000000000000001E-3</v>
      </c>
      <c r="I190" s="1843">
        <v>4.0000000000000001E-3</v>
      </c>
      <c r="J190" s="631">
        <v>3.3</v>
      </c>
      <c r="AC190" s="628" t="s">
        <v>308</v>
      </c>
      <c r="AD190" s="1845"/>
      <c r="AE190" s="1845"/>
      <c r="AF190" s="1845"/>
      <c r="AG190" s="1845"/>
      <c r="AH190" s="1845"/>
      <c r="AI190" s="1845"/>
      <c r="AJ190" s="631">
        <v>100</v>
      </c>
      <c r="AK190" s="1843">
        <v>36</v>
      </c>
      <c r="AL190" s="1843">
        <v>36</v>
      </c>
      <c r="AM190" s="1845"/>
      <c r="AN190" s="1845"/>
      <c r="AQ190" s="628" t="s">
        <v>308</v>
      </c>
      <c r="AR190" s="1845"/>
      <c r="AS190" s="1845"/>
      <c r="AT190" s="1845"/>
      <c r="AU190" s="1845"/>
      <c r="AV190" s="1845"/>
      <c r="AW190" s="1845"/>
      <c r="AX190" s="631">
        <v>100</v>
      </c>
      <c r="AY190" s="1844"/>
      <c r="AZ190" s="1845"/>
      <c r="BA190" s="1845"/>
      <c r="BD190" s="625" t="s">
        <v>308</v>
      </c>
      <c r="BE190" s="1879"/>
      <c r="BF190" s="1879"/>
      <c r="BG190" s="1879"/>
      <c r="BH190" s="1879"/>
      <c r="BI190" s="1879"/>
      <c r="BJ190" s="1879"/>
      <c r="BK190" s="1878">
        <v>1.9E-2</v>
      </c>
      <c r="BL190" s="1879"/>
      <c r="BM190" s="1879"/>
      <c r="BN190" s="29">
        <v>11.5</v>
      </c>
    </row>
    <row r="191" spans="2:66" ht="48" customHeight="1" thickBot="1">
      <c r="B191" s="628" t="s">
        <v>363</v>
      </c>
      <c r="C191" s="1845"/>
      <c r="D191" s="1845"/>
      <c r="E191" s="1845"/>
      <c r="F191" s="1845"/>
      <c r="G191" s="1844"/>
      <c r="H191" s="1845"/>
      <c r="I191" s="1845"/>
      <c r="J191" s="631">
        <v>3.8</v>
      </c>
      <c r="AC191" s="628" t="s">
        <v>309</v>
      </c>
      <c r="AD191" s="1844"/>
      <c r="AE191" s="1844"/>
      <c r="AF191" s="1844"/>
      <c r="AG191" s="1844"/>
      <c r="AH191" s="1844"/>
      <c r="AI191" s="1845"/>
      <c r="AJ191" s="631">
        <v>130</v>
      </c>
      <c r="AK191" s="1844"/>
      <c r="AL191" s="1844"/>
      <c r="AM191" s="1844"/>
      <c r="AN191" s="1844"/>
      <c r="AQ191" s="628" t="s">
        <v>309</v>
      </c>
      <c r="AR191" s="1844"/>
      <c r="AS191" s="1844"/>
      <c r="AT191" s="1845"/>
      <c r="AU191" s="1844"/>
      <c r="AV191" s="1844"/>
      <c r="AW191" s="1844"/>
      <c r="AX191" s="631">
        <v>130</v>
      </c>
      <c r="AY191" s="631">
        <v>20</v>
      </c>
      <c r="AZ191" s="1845"/>
      <c r="BA191" s="1844"/>
      <c r="BD191" s="625" t="s">
        <v>309</v>
      </c>
      <c r="BE191" s="1880"/>
      <c r="BF191" s="1880"/>
      <c r="BG191" s="1880"/>
      <c r="BH191" s="1880"/>
      <c r="BI191" s="1880"/>
      <c r="BJ191" s="1880"/>
      <c r="BK191" s="1880"/>
      <c r="BL191" s="1880"/>
      <c r="BM191" s="1880"/>
      <c r="BN191" s="29">
        <v>15.4</v>
      </c>
    </row>
    <row r="192" spans="2:66" ht="48" customHeight="1" thickBot="1">
      <c r="B192" s="628" t="s">
        <v>364</v>
      </c>
      <c r="C192" s="1845"/>
      <c r="D192" s="1845"/>
      <c r="E192" s="1845"/>
      <c r="F192" s="1845"/>
      <c r="G192" s="1843">
        <v>2.1000000000000001E-2</v>
      </c>
      <c r="H192" s="1845"/>
      <c r="I192" s="1845"/>
      <c r="J192" s="631">
        <v>3.3</v>
      </c>
      <c r="AC192" s="628" t="s">
        <v>310</v>
      </c>
      <c r="AD192" s="1843">
        <v>168</v>
      </c>
      <c r="AE192" s="1843">
        <v>168</v>
      </c>
      <c r="AF192" s="1843">
        <v>154</v>
      </c>
      <c r="AG192" s="1843">
        <v>101</v>
      </c>
      <c r="AH192" s="1843">
        <v>95</v>
      </c>
      <c r="AI192" s="1845"/>
      <c r="AJ192" s="631">
        <v>100</v>
      </c>
      <c r="AK192" s="1843">
        <v>50</v>
      </c>
      <c r="AL192" s="1843">
        <v>50</v>
      </c>
      <c r="AM192" s="1843">
        <v>14</v>
      </c>
      <c r="AN192" s="1843">
        <v>14</v>
      </c>
      <c r="AQ192" s="628" t="s">
        <v>310</v>
      </c>
      <c r="AR192" s="1843">
        <v>14</v>
      </c>
      <c r="AS192" s="1843">
        <v>14</v>
      </c>
      <c r="AT192" s="1845"/>
      <c r="AU192" s="1843">
        <v>94.1</v>
      </c>
      <c r="AV192" s="1843">
        <v>37</v>
      </c>
      <c r="AW192" s="1843">
        <v>37</v>
      </c>
      <c r="AX192" s="631">
        <v>100</v>
      </c>
      <c r="AY192" s="1843">
        <v>33</v>
      </c>
      <c r="AZ192" s="1845"/>
      <c r="BA192" s="1843">
        <v>39.799999999999997</v>
      </c>
      <c r="BD192" s="625" t="s">
        <v>310</v>
      </c>
      <c r="BE192" s="1878">
        <v>194</v>
      </c>
      <c r="BF192" s="1878">
        <v>35</v>
      </c>
      <c r="BG192" s="1878">
        <v>35</v>
      </c>
      <c r="BH192" s="1878">
        <v>45</v>
      </c>
      <c r="BI192" s="1878">
        <v>59</v>
      </c>
      <c r="BJ192" s="1878">
        <v>28</v>
      </c>
      <c r="BK192" s="1878">
        <v>9.6000000000000002E-2</v>
      </c>
      <c r="BL192" s="1878">
        <v>5.0000000000000001E-3</v>
      </c>
      <c r="BM192" s="1878">
        <v>6.4999999999999997E-3</v>
      </c>
      <c r="BN192" s="29">
        <v>17.5</v>
      </c>
    </row>
    <row r="193" spans="2:66" ht="48" customHeight="1" thickBot="1">
      <c r="B193" s="628" t="s">
        <v>365</v>
      </c>
      <c r="C193" s="1845"/>
      <c r="D193" s="1845"/>
      <c r="E193" s="1845"/>
      <c r="F193" s="1845"/>
      <c r="G193" s="1844"/>
      <c r="H193" s="1845"/>
      <c r="I193" s="1845"/>
      <c r="J193" s="631">
        <v>3.5</v>
      </c>
      <c r="AC193" s="628" t="s">
        <v>311</v>
      </c>
      <c r="AD193" s="1845"/>
      <c r="AE193" s="1845"/>
      <c r="AF193" s="1845"/>
      <c r="AG193" s="1844"/>
      <c r="AH193" s="1844"/>
      <c r="AI193" s="1845"/>
      <c r="AJ193" s="631">
        <v>130</v>
      </c>
      <c r="AK193" s="1844"/>
      <c r="AL193" s="1844"/>
      <c r="AM193" s="1845"/>
      <c r="AN193" s="1845"/>
      <c r="AQ193" s="628" t="s">
        <v>311</v>
      </c>
      <c r="AR193" s="1845"/>
      <c r="AS193" s="1845"/>
      <c r="AT193" s="1845"/>
      <c r="AU193" s="1844"/>
      <c r="AV193" s="1845"/>
      <c r="AW193" s="1845"/>
      <c r="AX193" s="631">
        <v>130</v>
      </c>
      <c r="AY193" s="1845"/>
      <c r="AZ193" s="1845"/>
      <c r="BA193" s="1845"/>
      <c r="BD193" s="625" t="s">
        <v>311</v>
      </c>
      <c r="BE193" s="1879"/>
      <c r="BF193" s="1879"/>
      <c r="BG193" s="1879"/>
      <c r="BH193" s="1879"/>
      <c r="BI193" s="1879"/>
      <c r="BJ193" s="1879"/>
      <c r="BK193" s="1880"/>
      <c r="BL193" s="1879"/>
      <c r="BM193" s="1879"/>
      <c r="BN193" s="29">
        <v>22</v>
      </c>
    </row>
    <row r="194" spans="2:66" ht="48" customHeight="1" thickBot="1">
      <c r="B194" s="628" t="s">
        <v>366</v>
      </c>
      <c r="C194" s="1845"/>
      <c r="D194" s="1845"/>
      <c r="E194" s="1845"/>
      <c r="F194" s="1845"/>
      <c r="G194" s="1843">
        <v>0.02</v>
      </c>
      <c r="H194" s="1845"/>
      <c r="I194" s="1845"/>
      <c r="J194" s="631">
        <v>3.8</v>
      </c>
      <c r="AC194" s="628" t="s">
        <v>312</v>
      </c>
      <c r="AD194" s="1845"/>
      <c r="AE194" s="1845"/>
      <c r="AF194" s="1845"/>
      <c r="AG194" s="1843">
        <v>109</v>
      </c>
      <c r="AH194" s="1843">
        <v>105</v>
      </c>
      <c r="AI194" s="1845"/>
      <c r="AJ194" s="631">
        <v>100</v>
      </c>
      <c r="AK194" s="1843">
        <v>48</v>
      </c>
      <c r="AL194" s="1843">
        <v>48</v>
      </c>
      <c r="AM194" s="1845"/>
      <c r="AN194" s="1845"/>
      <c r="AQ194" s="628" t="s">
        <v>312</v>
      </c>
      <c r="AR194" s="1845"/>
      <c r="AS194" s="1845"/>
      <c r="AT194" s="1845"/>
      <c r="AU194" s="1843">
        <v>104.4</v>
      </c>
      <c r="AV194" s="1845"/>
      <c r="AW194" s="1845"/>
      <c r="AX194" s="631">
        <v>100</v>
      </c>
      <c r="AY194" s="1845"/>
      <c r="AZ194" s="1845"/>
      <c r="BA194" s="1845"/>
      <c r="BD194" s="625" t="s">
        <v>312</v>
      </c>
      <c r="BE194" s="1879"/>
      <c r="BF194" s="1879"/>
      <c r="BG194" s="1879"/>
      <c r="BH194" s="1879"/>
      <c r="BI194" s="1879"/>
      <c r="BJ194" s="1879"/>
      <c r="BK194" s="1878">
        <v>4.8000000000000001E-2</v>
      </c>
      <c r="BL194" s="1879"/>
      <c r="BM194" s="1879"/>
      <c r="BN194" s="29" t="s">
        <v>397</v>
      </c>
    </row>
    <row r="195" spans="2:66" ht="48" customHeight="1" thickBot="1">
      <c r="B195" s="628" t="s">
        <v>367</v>
      </c>
      <c r="C195" s="1844"/>
      <c r="D195" s="1844"/>
      <c r="E195" s="1844"/>
      <c r="F195" s="1844"/>
      <c r="G195" s="1844"/>
      <c r="H195" s="1844"/>
      <c r="I195" s="1844"/>
      <c r="J195" s="631">
        <v>4.3</v>
      </c>
      <c r="AC195" s="628" t="s">
        <v>313</v>
      </c>
      <c r="AD195" s="1845"/>
      <c r="AE195" s="1845"/>
      <c r="AF195" s="1845"/>
      <c r="AG195" s="1844"/>
      <c r="AH195" s="1844"/>
      <c r="AI195" s="1845"/>
      <c r="AJ195" s="631">
        <v>130</v>
      </c>
      <c r="AK195" s="1844"/>
      <c r="AL195" s="1844"/>
      <c r="AM195" s="1845"/>
      <c r="AN195" s="1845"/>
      <c r="AQ195" s="628" t="s">
        <v>313</v>
      </c>
      <c r="AR195" s="1845"/>
      <c r="AS195" s="1845"/>
      <c r="AT195" s="1845"/>
      <c r="AU195" s="1844"/>
      <c r="AV195" s="1845"/>
      <c r="AW195" s="1845"/>
      <c r="AX195" s="631">
        <v>130</v>
      </c>
      <c r="AY195" s="1845"/>
      <c r="AZ195" s="1845"/>
      <c r="BA195" s="1845"/>
      <c r="BD195" s="625" t="s">
        <v>313</v>
      </c>
      <c r="BE195" s="1880"/>
      <c r="BF195" s="1880"/>
      <c r="BG195" s="1880"/>
      <c r="BH195" s="1880"/>
      <c r="BI195" s="1880"/>
      <c r="BJ195" s="1880"/>
      <c r="BK195" s="1880"/>
      <c r="BL195" s="1880"/>
      <c r="BM195" s="1880"/>
      <c r="BN195" s="29">
        <v>20.9</v>
      </c>
    </row>
    <row r="196" spans="2:66" ht="48" customHeight="1" thickBot="1">
      <c r="AC196" s="628" t="s">
        <v>314</v>
      </c>
      <c r="AD196" s="1844"/>
      <c r="AE196" s="1844"/>
      <c r="AF196" s="1844"/>
      <c r="AG196" s="631">
        <v>119</v>
      </c>
      <c r="AH196" s="631">
        <v>113</v>
      </c>
      <c r="AI196" s="1844"/>
      <c r="AJ196" s="631">
        <v>120</v>
      </c>
      <c r="AK196" s="631">
        <v>45</v>
      </c>
      <c r="AL196" s="631">
        <v>45</v>
      </c>
      <c r="AM196" s="1844"/>
      <c r="AN196" s="1844"/>
      <c r="AQ196" s="628" t="s">
        <v>314</v>
      </c>
      <c r="AR196" s="1845"/>
      <c r="AS196" s="1845"/>
      <c r="AT196" s="1845"/>
      <c r="AU196" s="1843">
        <v>112.4</v>
      </c>
      <c r="AV196" s="1845"/>
      <c r="AW196" s="1845"/>
      <c r="AX196" s="1843">
        <v>120</v>
      </c>
      <c r="AY196" s="1845"/>
      <c r="AZ196" s="1845"/>
      <c r="BA196" s="1845"/>
      <c r="BD196" s="625" t="s">
        <v>314</v>
      </c>
      <c r="BE196" s="1878">
        <v>194</v>
      </c>
      <c r="BF196" s="1878">
        <v>35</v>
      </c>
      <c r="BG196" s="1878">
        <v>35</v>
      </c>
      <c r="BH196" s="1878">
        <v>45</v>
      </c>
      <c r="BI196" s="1878">
        <v>59</v>
      </c>
      <c r="BJ196" s="1878">
        <v>28</v>
      </c>
      <c r="BK196" s="29">
        <v>3.2000000000000001E-2</v>
      </c>
      <c r="BL196" s="1878">
        <v>5.0000000000000001E-3</v>
      </c>
      <c r="BM196" s="1878">
        <v>6.4999999999999997E-3</v>
      </c>
      <c r="BN196" s="29">
        <v>18.8</v>
      </c>
    </row>
    <row r="197" spans="2:66" ht="48" customHeight="1" thickBot="1">
      <c r="AC197" s="628" t="s">
        <v>315</v>
      </c>
      <c r="AD197" s="1843">
        <v>191</v>
      </c>
      <c r="AE197" s="1843">
        <v>191</v>
      </c>
      <c r="AF197" s="1843">
        <v>177</v>
      </c>
      <c r="AG197" s="1843">
        <v>165</v>
      </c>
      <c r="AH197" s="631">
        <v>110</v>
      </c>
      <c r="AI197" s="1843">
        <v>7.9</v>
      </c>
      <c r="AJ197" s="1843">
        <v>125</v>
      </c>
      <c r="AK197" s="1872">
        <v>57</v>
      </c>
      <c r="AL197" s="1843">
        <v>57</v>
      </c>
      <c r="AM197" s="1843">
        <v>18</v>
      </c>
      <c r="AN197" s="1843">
        <v>18</v>
      </c>
      <c r="AQ197" s="628" t="s">
        <v>384</v>
      </c>
      <c r="AR197" s="1844"/>
      <c r="AS197" s="1844"/>
      <c r="AT197" s="1844"/>
      <c r="AU197" s="1844"/>
      <c r="AV197" s="1844"/>
      <c r="AW197" s="1844"/>
      <c r="AX197" s="1844"/>
      <c r="AY197" s="1844"/>
      <c r="AZ197" s="1844"/>
      <c r="BA197" s="1844"/>
      <c r="BD197" s="625" t="s">
        <v>384</v>
      </c>
      <c r="BE197" s="1880"/>
      <c r="BF197" s="1880"/>
      <c r="BG197" s="1880"/>
      <c r="BH197" s="1880"/>
      <c r="BI197" s="1880"/>
      <c r="BJ197" s="1880"/>
      <c r="BK197" s="29">
        <v>2.4E-2</v>
      </c>
      <c r="BL197" s="1880"/>
      <c r="BM197" s="1880"/>
      <c r="BN197" s="29">
        <v>18.600000000000001</v>
      </c>
    </row>
    <row r="198" spans="2:66" ht="48" customHeight="1" thickBot="1">
      <c r="AC198" s="628" t="s">
        <v>316</v>
      </c>
      <c r="AD198" s="1845"/>
      <c r="AE198" s="1845"/>
      <c r="AF198" s="1845"/>
      <c r="AG198" s="1845"/>
      <c r="AH198" s="631">
        <v>126</v>
      </c>
      <c r="AI198" s="1845"/>
      <c r="AJ198" s="1844"/>
      <c r="AK198" s="1873"/>
      <c r="AL198" s="1845"/>
      <c r="AM198" s="1845"/>
      <c r="AN198" s="1845"/>
      <c r="AQ198" s="628" t="s">
        <v>315</v>
      </c>
      <c r="AR198" s="1843">
        <v>16</v>
      </c>
      <c r="AS198" s="1843">
        <v>17</v>
      </c>
      <c r="AT198" s="1843">
        <v>6</v>
      </c>
      <c r="AU198" s="631">
        <v>108.8</v>
      </c>
      <c r="AV198" s="1843">
        <v>43</v>
      </c>
      <c r="AW198" s="1843">
        <v>43</v>
      </c>
      <c r="AX198" s="1843">
        <v>128</v>
      </c>
      <c r="AY198" s="1843">
        <v>37</v>
      </c>
      <c r="AZ198" s="1843">
        <v>12</v>
      </c>
      <c r="BA198" s="1843">
        <v>46.3</v>
      </c>
      <c r="BD198" s="625" t="s">
        <v>315</v>
      </c>
      <c r="BE198" s="1878">
        <v>223</v>
      </c>
      <c r="BF198" s="1878">
        <v>43</v>
      </c>
      <c r="BG198" s="1878">
        <v>43</v>
      </c>
      <c r="BH198" s="1878">
        <v>45</v>
      </c>
      <c r="BI198" s="1878">
        <v>66</v>
      </c>
      <c r="BJ198" s="1878">
        <v>31</v>
      </c>
      <c r="BK198" s="29">
        <v>0.05</v>
      </c>
      <c r="BL198" s="1878">
        <v>0.01</v>
      </c>
      <c r="BM198" s="1878">
        <v>1.9E-2</v>
      </c>
      <c r="BN198" s="29">
        <v>27.5</v>
      </c>
    </row>
    <row r="199" spans="2:66" ht="48" customHeight="1" thickBot="1">
      <c r="AC199" s="628" t="s">
        <v>317</v>
      </c>
      <c r="AD199" s="1845"/>
      <c r="AE199" s="1845"/>
      <c r="AF199" s="1845"/>
      <c r="AG199" s="1845"/>
      <c r="AH199" s="1843">
        <v>132</v>
      </c>
      <c r="AI199" s="1845"/>
      <c r="AJ199" s="28">
        <v>100</v>
      </c>
      <c r="AK199" s="1873"/>
      <c r="AL199" s="1845"/>
      <c r="AM199" s="1845"/>
      <c r="AN199" s="1845"/>
      <c r="AQ199" s="628" t="s">
        <v>316</v>
      </c>
      <c r="AR199" s="1845"/>
      <c r="AS199" s="1845"/>
      <c r="AT199" s="1845"/>
      <c r="AU199" s="631">
        <v>125.4</v>
      </c>
      <c r="AV199" s="1845"/>
      <c r="AW199" s="1845"/>
      <c r="AX199" s="1844"/>
      <c r="AY199" s="1845"/>
      <c r="AZ199" s="1845"/>
      <c r="BA199" s="1845"/>
      <c r="BD199" s="625" t="s">
        <v>316</v>
      </c>
      <c r="BE199" s="1879"/>
      <c r="BF199" s="1879"/>
      <c r="BG199" s="1879"/>
      <c r="BH199" s="1879"/>
      <c r="BI199" s="1879"/>
      <c r="BJ199" s="1879"/>
      <c r="BK199" s="29">
        <v>0.04</v>
      </c>
      <c r="BL199" s="1879"/>
      <c r="BM199" s="1879"/>
      <c r="BN199" s="29">
        <v>25.9</v>
      </c>
    </row>
    <row r="200" spans="2:66" ht="48" customHeight="1" thickBot="1">
      <c r="AC200" s="628" t="s">
        <v>318</v>
      </c>
      <c r="AD200" s="1845"/>
      <c r="AE200" s="1845"/>
      <c r="AF200" s="1845"/>
      <c r="AG200" s="1845"/>
      <c r="AH200" s="1845"/>
      <c r="AI200" s="1845"/>
      <c r="AJ200" s="631">
        <v>125</v>
      </c>
      <c r="AK200" s="1873"/>
      <c r="AL200" s="1845"/>
      <c r="AM200" s="1845"/>
      <c r="AN200" s="1845"/>
      <c r="AQ200" s="628" t="s">
        <v>317</v>
      </c>
      <c r="AR200" s="1845"/>
      <c r="AS200" s="1845"/>
      <c r="AT200" s="1845"/>
      <c r="AU200" s="1843">
        <v>131.4</v>
      </c>
      <c r="AV200" s="1845"/>
      <c r="AW200" s="1845"/>
      <c r="AX200" s="631">
        <v>103</v>
      </c>
      <c r="AY200" s="1845"/>
      <c r="AZ200" s="1845"/>
      <c r="BA200" s="1845"/>
      <c r="BD200" s="625" t="s">
        <v>317</v>
      </c>
      <c r="BE200" s="1879"/>
      <c r="BF200" s="1879"/>
      <c r="BG200" s="1879"/>
      <c r="BH200" s="1879"/>
      <c r="BI200" s="1879"/>
      <c r="BJ200" s="1879"/>
      <c r="BK200" s="1878">
        <v>3.5000000000000003E-2</v>
      </c>
      <c r="BL200" s="1879"/>
      <c r="BM200" s="1879"/>
      <c r="BN200" s="29">
        <v>20.8</v>
      </c>
    </row>
    <row r="201" spans="2:66" ht="48" customHeight="1" thickBot="1">
      <c r="AC201" s="628" t="s">
        <v>319</v>
      </c>
      <c r="AD201" s="1845"/>
      <c r="AE201" s="1845"/>
      <c r="AF201" s="1845"/>
      <c r="AG201" s="1845"/>
      <c r="AH201" s="1845"/>
      <c r="AI201" s="1845"/>
      <c r="AJ201" s="631">
        <v>100</v>
      </c>
      <c r="AK201" s="1873"/>
      <c r="AL201" s="1845"/>
      <c r="AM201" s="1845"/>
      <c r="AN201" s="1845"/>
      <c r="AQ201" s="628" t="s">
        <v>318</v>
      </c>
      <c r="AR201" s="1845"/>
      <c r="AS201" s="1845"/>
      <c r="AT201" s="1845"/>
      <c r="AU201" s="1845"/>
      <c r="AV201" s="1845"/>
      <c r="AW201" s="1845"/>
      <c r="AX201" s="631">
        <v>128</v>
      </c>
      <c r="AY201" s="1845"/>
      <c r="AZ201" s="1845"/>
      <c r="BA201" s="1845"/>
      <c r="BD201" s="625" t="s">
        <v>318</v>
      </c>
      <c r="BE201" s="1879"/>
      <c r="BF201" s="1879"/>
      <c r="BG201" s="1879"/>
      <c r="BH201" s="1879"/>
      <c r="BI201" s="1879"/>
      <c r="BJ201" s="1879"/>
      <c r="BK201" s="1880"/>
      <c r="BL201" s="1879"/>
      <c r="BM201" s="1879"/>
      <c r="BN201" s="29">
        <v>25.5</v>
      </c>
    </row>
    <row r="202" spans="2:66" ht="48" customHeight="1" thickBot="1">
      <c r="AC202" s="628" t="s">
        <v>320</v>
      </c>
      <c r="AD202" s="1844"/>
      <c r="AE202" s="1844"/>
      <c r="AF202" s="1844"/>
      <c r="AG202" s="1844"/>
      <c r="AH202" s="1844"/>
      <c r="AI202" s="1845"/>
      <c r="AJ202" s="1843">
        <v>130</v>
      </c>
      <c r="AK202" s="1874"/>
      <c r="AL202" s="1844"/>
      <c r="AM202" s="1844"/>
      <c r="AN202" s="1844"/>
      <c r="AQ202" s="628" t="s">
        <v>319</v>
      </c>
      <c r="AR202" s="1845"/>
      <c r="AS202" s="1845"/>
      <c r="AT202" s="1845"/>
      <c r="AU202" s="1845"/>
      <c r="AV202" s="1845"/>
      <c r="AW202" s="1845"/>
      <c r="AX202" s="631">
        <v>103</v>
      </c>
      <c r="AY202" s="1845"/>
      <c r="AZ202" s="1845"/>
      <c r="BA202" s="1845"/>
      <c r="BD202" s="625" t="s">
        <v>319</v>
      </c>
      <c r="BE202" s="1879"/>
      <c r="BF202" s="1879"/>
      <c r="BG202" s="1879"/>
      <c r="BH202" s="1879"/>
      <c r="BI202" s="1879"/>
      <c r="BJ202" s="1879"/>
      <c r="BK202" s="1878">
        <v>2.5999999999999999E-2</v>
      </c>
      <c r="BL202" s="1879"/>
      <c r="BM202" s="1879"/>
      <c r="BN202" s="29">
        <v>20.9</v>
      </c>
    </row>
    <row r="203" spans="2:66" ht="48" customHeight="1" thickBot="1">
      <c r="AC203" s="628" t="s">
        <v>321</v>
      </c>
      <c r="AD203" s="1843">
        <v>225</v>
      </c>
      <c r="AE203" s="1843">
        <v>225</v>
      </c>
      <c r="AF203" s="1843">
        <v>205</v>
      </c>
      <c r="AG203" s="1843">
        <v>194</v>
      </c>
      <c r="AH203" s="631">
        <v>130</v>
      </c>
      <c r="AI203" s="1845"/>
      <c r="AJ203" s="1844"/>
      <c r="AK203" s="1843">
        <v>65</v>
      </c>
      <c r="AL203" s="1843">
        <v>65</v>
      </c>
      <c r="AM203" s="1843">
        <v>20</v>
      </c>
      <c r="AN203" s="1843">
        <v>20</v>
      </c>
      <c r="AQ203" s="628" t="s">
        <v>320</v>
      </c>
      <c r="AR203" s="1844"/>
      <c r="AS203" s="1844"/>
      <c r="AT203" s="1845"/>
      <c r="AU203" s="1844"/>
      <c r="AV203" s="1844"/>
      <c r="AW203" s="1844"/>
      <c r="AX203" s="1843">
        <v>133</v>
      </c>
      <c r="AY203" s="1844"/>
      <c r="AZ203" s="1845"/>
      <c r="BA203" s="1844"/>
      <c r="BD203" s="625" t="s">
        <v>320</v>
      </c>
      <c r="BE203" s="1880"/>
      <c r="BF203" s="1880"/>
      <c r="BG203" s="1880"/>
      <c r="BH203" s="1880"/>
      <c r="BI203" s="1880"/>
      <c r="BJ203" s="1880"/>
      <c r="BK203" s="1880"/>
      <c r="BL203" s="1880"/>
      <c r="BM203" s="1880"/>
      <c r="BN203" s="29">
        <v>26.8</v>
      </c>
    </row>
    <row r="204" spans="2:66" ht="48" customHeight="1" thickBot="1">
      <c r="AC204" s="628" t="s">
        <v>322</v>
      </c>
      <c r="AD204" s="1845"/>
      <c r="AE204" s="1845"/>
      <c r="AF204" s="1845"/>
      <c r="AG204" s="1845"/>
      <c r="AH204" s="1843">
        <v>145</v>
      </c>
      <c r="AI204" s="1845"/>
      <c r="AJ204" s="631">
        <v>115</v>
      </c>
      <c r="AK204" s="1845"/>
      <c r="AL204" s="1845"/>
      <c r="AM204" s="1845"/>
      <c r="AN204" s="1845"/>
      <c r="AQ204" s="628" t="s">
        <v>321</v>
      </c>
      <c r="AR204" s="1843">
        <v>18</v>
      </c>
      <c r="AS204" s="1843">
        <v>19</v>
      </c>
      <c r="AT204" s="1845"/>
      <c r="AU204" s="631">
        <v>128.80000000000001</v>
      </c>
      <c r="AV204" s="1843">
        <v>54</v>
      </c>
      <c r="AW204" s="1843">
        <v>54</v>
      </c>
      <c r="AX204" s="1844"/>
      <c r="AY204" s="1843">
        <v>45</v>
      </c>
      <c r="AZ204" s="1845"/>
      <c r="BA204" s="1843">
        <v>57.3</v>
      </c>
      <c r="BD204" s="625" t="s">
        <v>321</v>
      </c>
      <c r="BE204" s="1878">
        <v>261</v>
      </c>
      <c r="BF204" s="1878">
        <v>54</v>
      </c>
      <c r="BG204" s="1878">
        <v>54</v>
      </c>
      <c r="BH204" s="1878">
        <v>51</v>
      </c>
      <c r="BI204" s="1878">
        <v>74</v>
      </c>
      <c r="BJ204" s="1878">
        <v>32</v>
      </c>
      <c r="BK204" s="29">
        <v>7.0000000000000007E-2</v>
      </c>
      <c r="BL204" s="1878">
        <v>1.2200000000000001E-2</v>
      </c>
      <c r="BM204" s="1878">
        <v>2.7300000000000001E-2</v>
      </c>
      <c r="BN204" s="29">
        <v>40.9</v>
      </c>
    </row>
    <row r="205" spans="2:66" ht="48" customHeight="1" thickBot="1">
      <c r="AC205" s="628" t="s">
        <v>323</v>
      </c>
      <c r="AD205" s="1845"/>
      <c r="AE205" s="1845"/>
      <c r="AF205" s="1845"/>
      <c r="AG205" s="1845"/>
      <c r="AH205" s="1844"/>
      <c r="AI205" s="1845"/>
      <c r="AJ205" s="631">
        <v>160</v>
      </c>
      <c r="AK205" s="1845"/>
      <c r="AL205" s="1845"/>
      <c r="AM205" s="1845"/>
      <c r="AN205" s="1845"/>
      <c r="AQ205" s="628" t="s">
        <v>322</v>
      </c>
      <c r="AR205" s="1845"/>
      <c r="AS205" s="1845"/>
      <c r="AT205" s="1845"/>
      <c r="AU205" s="1843">
        <v>144.30000000000001</v>
      </c>
      <c r="AV205" s="1845"/>
      <c r="AW205" s="1845"/>
      <c r="AX205" s="631">
        <v>118</v>
      </c>
      <c r="AY205" s="1845"/>
      <c r="AZ205" s="1845"/>
      <c r="BA205" s="1845"/>
      <c r="BD205" s="625" t="s">
        <v>322</v>
      </c>
      <c r="BE205" s="1879"/>
      <c r="BF205" s="1879"/>
      <c r="BG205" s="1879"/>
      <c r="BH205" s="1879"/>
      <c r="BI205" s="1879"/>
      <c r="BJ205" s="1879"/>
      <c r="BK205" s="1878">
        <v>6.5000000000000002E-2</v>
      </c>
      <c r="BL205" s="1879"/>
      <c r="BM205" s="1879"/>
      <c r="BN205" s="29">
        <v>35.4</v>
      </c>
    </row>
    <row r="206" spans="2:66" ht="48" customHeight="1" thickBot="1">
      <c r="AC206" s="628" t="s">
        <v>324</v>
      </c>
      <c r="AD206" s="1845"/>
      <c r="AE206" s="1845"/>
      <c r="AF206" s="1845"/>
      <c r="AG206" s="1845"/>
      <c r="AH206" s="1843">
        <v>158</v>
      </c>
      <c r="AI206" s="1845"/>
      <c r="AJ206" s="631">
        <v>115</v>
      </c>
      <c r="AK206" s="1845"/>
      <c r="AL206" s="1845"/>
      <c r="AM206" s="1845"/>
      <c r="AN206" s="1845"/>
      <c r="AQ206" s="628" t="s">
        <v>323</v>
      </c>
      <c r="AR206" s="1845"/>
      <c r="AS206" s="1845"/>
      <c r="AT206" s="1845"/>
      <c r="AU206" s="1844"/>
      <c r="AV206" s="1845"/>
      <c r="AW206" s="1845"/>
      <c r="AX206" s="631">
        <v>163</v>
      </c>
      <c r="AY206" s="1845"/>
      <c r="AZ206" s="1845"/>
      <c r="BA206" s="1845"/>
      <c r="BD206" s="625" t="s">
        <v>323</v>
      </c>
      <c r="BE206" s="1879"/>
      <c r="BF206" s="1879"/>
      <c r="BG206" s="1879"/>
      <c r="BH206" s="1879"/>
      <c r="BI206" s="1879"/>
      <c r="BJ206" s="1879"/>
      <c r="BK206" s="1880"/>
      <c r="BL206" s="1879"/>
      <c r="BM206" s="1879"/>
      <c r="BN206" s="29">
        <v>46.5</v>
      </c>
    </row>
    <row r="207" spans="2:66" ht="48" customHeight="1" thickBot="1">
      <c r="AC207" s="628" t="s">
        <v>325</v>
      </c>
      <c r="AD207" s="1845"/>
      <c r="AE207" s="1845"/>
      <c r="AF207" s="1845"/>
      <c r="AG207" s="1845"/>
      <c r="AH207" s="1845"/>
      <c r="AI207" s="1845"/>
      <c r="AJ207" s="631">
        <v>160</v>
      </c>
      <c r="AK207" s="1845"/>
      <c r="AL207" s="1845"/>
      <c r="AM207" s="1845"/>
      <c r="AN207" s="1845"/>
      <c r="AQ207" s="628" t="s">
        <v>324</v>
      </c>
      <c r="AR207" s="1845"/>
      <c r="AS207" s="1845"/>
      <c r="AT207" s="1845"/>
      <c r="AU207" s="1843">
        <v>157.30000000000001</v>
      </c>
      <c r="AV207" s="1845"/>
      <c r="AW207" s="1845"/>
      <c r="AX207" s="631">
        <v>118</v>
      </c>
      <c r="AY207" s="1845"/>
      <c r="AZ207" s="1845"/>
      <c r="BA207" s="1845"/>
      <c r="BD207" s="625" t="s">
        <v>324</v>
      </c>
      <c r="BE207" s="1879"/>
      <c r="BF207" s="1879"/>
      <c r="BG207" s="1879"/>
      <c r="BH207" s="1879"/>
      <c r="BI207" s="1879"/>
      <c r="BJ207" s="1879"/>
      <c r="BK207" s="1878">
        <v>0.05</v>
      </c>
      <c r="BL207" s="1879"/>
      <c r="BM207" s="1879"/>
      <c r="BN207" s="29">
        <v>34.1</v>
      </c>
    </row>
    <row r="208" spans="2:66" ht="48" customHeight="1" thickBot="1">
      <c r="AC208" s="628" t="s">
        <v>326</v>
      </c>
      <c r="AD208" s="1845"/>
      <c r="AE208" s="1845"/>
      <c r="AF208" s="1845"/>
      <c r="AG208" s="1845"/>
      <c r="AH208" s="1845"/>
      <c r="AI208" s="1845"/>
      <c r="AJ208" s="631">
        <v>115</v>
      </c>
      <c r="AK208" s="1845"/>
      <c r="AL208" s="1845"/>
      <c r="AM208" s="1845"/>
      <c r="AN208" s="1845"/>
      <c r="AQ208" s="628" t="s">
        <v>325</v>
      </c>
      <c r="AR208" s="1845"/>
      <c r="AS208" s="1845"/>
      <c r="AT208" s="1845"/>
      <c r="AU208" s="1845"/>
      <c r="AV208" s="1845"/>
      <c r="AW208" s="1845"/>
      <c r="AX208" s="631">
        <v>163</v>
      </c>
      <c r="AY208" s="1845"/>
      <c r="AZ208" s="1845"/>
      <c r="BA208" s="1845"/>
      <c r="BD208" s="625" t="s">
        <v>325</v>
      </c>
      <c r="BE208" s="1879"/>
      <c r="BF208" s="1879"/>
      <c r="BG208" s="1879"/>
      <c r="BH208" s="1879"/>
      <c r="BI208" s="1879"/>
      <c r="BJ208" s="1879"/>
      <c r="BK208" s="1880"/>
      <c r="BL208" s="1879"/>
      <c r="BM208" s="1879"/>
      <c r="BN208" s="29">
        <v>45</v>
      </c>
    </row>
    <row r="209" spans="29:66" ht="48" customHeight="1" thickBot="1">
      <c r="AC209" s="628" t="s">
        <v>327</v>
      </c>
      <c r="AD209" s="1844"/>
      <c r="AE209" s="1844"/>
      <c r="AF209" s="1844"/>
      <c r="AG209" s="1844"/>
      <c r="AH209" s="1844"/>
      <c r="AI209" s="1844"/>
      <c r="AJ209" s="631">
        <v>160</v>
      </c>
      <c r="AK209" s="1844"/>
      <c r="AL209" s="1844"/>
      <c r="AM209" s="1844"/>
      <c r="AN209" s="1844"/>
      <c r="AQ209" s="628" t="s">
        <v>326</v>
      </c>
      <c r="AR209" s="1845"/>
      <c r="AS209" s="1845"/>
      <c r="AT209" s="1845"/>
      <c r="AU209" s="1845"/>
      <c r="AV209" s="1845"/>
      <c r="AW209" s="1845"/>
      <c r="AX209" s="631">
        <v>118</v>
      </c>
      <c r="AY209" s="1845"/>
      <c r="AZ209" s="1845"/>
      <c r="BA209" s="1845"/>
      <c r="BD209" s="625" t="s">
        <v>326</v>
      </c>
      <c r="BE209" s="1879"/>
      <c r="BF209" s="1879"/>
      <c r="BG209" s="1879"/>
      <c r="BH209" s="1879"/>
      <c r="BI209" s="1879"/>
      <c r="BJ209" s="1879"/>
      <c r="BK209" s="1878">
        <v>4.2000000000000003E-2</v>
      </c>
      <c r="BL209" s="1879"/>
      <c r="BM209" s="1879"/>
      <c r="BN209" s="29">
        <v>34.1</v>
      </c>
    </row>
    <row r="210" spans="29:66" ht="48" customHeight="1" thickBot="1">
      <c r="AC210" s="628" t="s">
        <v>328</v>
      </c>
      <c r="AD210" s="1843">
        <v>116</v>
      </c>
      <c r="AE210" s="1843">
        <v>116</v>
      </c>
      <c r="AF210" s="1843">
        <v>105</v>
      </c>
      <c r="AG210" s="1843">
        <v>74</v>
      </c>
      <c r="AH210" s="1843">
        <v>70</v>
      </c>
      <c r="AI210" s="1843" t="s">
        <v>290</v>
      </c>
      <c r="AJ210" s="631">
        <v>74</v>
      </c>
      <c r="AK210" s="631">
        <v>42</v>
      </c>
      <c r="AL210" s="631">
        <v>42</v>
      </c>
      <c r="AM210" s="1843">
        <v>10</v>
      </c>
      <c r="AN210" s="1843">
        <v>10</v>
      </c>
      <c r="AQ210" s="628" t="s">
        <v>327</v>
      </c>
      <c r="AR210" s="1844"/>
      <c r="AS210" s="1844"/>
      <c r="AT210" s="1844"/>
      <c r="AU210" s="1844"/>
      <c r="AV210" s="1844"/>
      <c r="AW210" s="1844"/>
      <c r="AX210" s="631">
        <v>163</v>
      </c>
      <c r="AY210" s="1844"/>
      <c r="AZ210" s="1844"/>
      <c r="BA210" s="1844"/>
      <c r="BD210" s="625" t="s">
        <v>327</v>
      </c>
      <c r="BE210" s="1880"/>
      <c r="BF210" s="1880"/>
      <c r="BG210" s="1880"/>
      <c r="BH210" s="1880"/>
      <c r="BI210" s="1880"/>
      <c r="BJ210" s="1880"/>
      <c r="BK210" s="1880"/>
      <c r="BL210" s="1880"/>
      <c r="BM210" s="1880"/>
      <c r="BN210" s="29">
        <v>49.2</v>
      </c>
    </row>
    <row r="211" spans="29:66" ht="48" customHeight="1" thickBot="1">
      <c r="AC211" s="628" t="s">
        <v>329</v>
      </c>
      <c r="AD211" s="1844"/>
      <c r="AE211" s="1844"/>
      <c r="AF211" s="1844"/>
      <c r="AG211" s="1844"/>
      <c r="AH211" s="1844"/>
      <c r="AI211" s="1845"/>
      <c r="AJ211" s="631">
        <v>90</v>
      </c>
      <c r="AK211" s="631">
        <v>37</v>
      </c>
      <c r="AL211" s="631">
        <v>37</v>
      </c>
      <c r="AM211" s="1845"/>
      <c r="AN211" s="1845"/>
      <c r="AQ211" s="628" t="s">
        <v>328</v>
      </c>
      <c r="AR211" s="1843">
        <v>10</v>
      </c>
      <c r="AS211" s="1843">
        <v>13</v>
      </c>
      <c r="AT211" s="1843">
        <v>4</v>
      </c>
      <c r="AU211" s="1843">
        <v>69.5</v>
      </c>
      <c r="AV211" s="1843">
        <v>27</v>
      </c>
      <c r="AW211" s="1843">
        <v>27</v>
      </c>
      <c r="AX211" s="631">
        <v>74</v>
      </c>
      <c r="AY211" s="631">
        <v>22</v>
      </c>
      <c r="AZ211" s="1843">
        <v>5</v>
      </c>
      <c r="BA211" s="1843">
        <v>29.1</v>
      </c>
      <c r="BD211" s="625" t="s">
        <v>328</v>
      </c>
      <c r="BE211" s="1878">
        <v>134</v>
      </c>
      <c r="BF211" s="1878">
        <v>25</v>
      </c>
      <c r="BG211" s="1878">
        <v>25</v>
      </c>
      <c r="BH211" s="1878">
        <v>30</v>
      </c>
      <c r="BI211" s="1878">
        <v>49</v>
      </c>
      <c r="BJ211" s="1878">
        <v>25</v>
      </c>
      <c r="BK211" s="1878">
        <v>1.7999999999999999E-2</v>
      </c>
      <c r="BL211" s="1878">
        <v>2.5000000000000001E-3</v>
      </c>
      <c r="BM211" s="1878">
        <v>3.5000000000000001E-3</v>
      </c>
      <c r="BN211" s="29">
        <v>6.2</v>
      </c>
    </row>
    <row r="212" spans="29:66" ht="48" customHeight="1" thickBot="1">
      <c r="AC212" s="628" t="s">
        <v>330</v>
      </c>
      <c r="AD212" s="631">
        <v>131</v>
      </c>
      <c r="AE212" s="631">
        <v>131</v>
      </c>
      <c r="AF212" s="631">
        <v>123</v>
      </c>
      <c r="AG212" s="631">
        <v>90</v>
      </c>
      <c r="AH212" s="631">
        <v>84</v>
      </c>
      <c r="AI212" s="1845"/>
      <c r="AJ212" s="631">
        <v>98</v>
      </c>
      <c r="AK212" s="631">
        <v>45</v>
      </c>
      <c r="AL212" s="631">
        <v>45</v>
      </c>
      <c r="AM212" s="1844"/>
      <c r="AN212" s="1844"/>
      <c r="AQ212" s="628" t="s">
        <v>329</v>
      </c>
      <c r="AR212" s="1845"/>
      <c r="AS212" s="1844"/>
      <c r="AT212" s="1845"/>
      <c r="AU212" s="1844"/>
      <c r="AV212" s="1844"/>
      <c r="AW212" s="1844"/>
      <c r="AX212" s="631">
        <v>90</v>
      </c>
      <c r="AY212" s="631">
        <v>16</v>
      </c>
      <c r="AZ212" s="1844"/>
      <c r="BA212" s="1844"/>
      <c r="BD212" s="625" t="s">
        <v>329</v>
      </c>
      <c r="BE212" s="1880"/>
      <c r="BF212" s="1880"/>
      <c r="BG212" s="1880"/>
      <c r="BH212" s="1880"/>
      <c r="BI212" s="1879"/>
      <c r="BJ212" s="1879"/>
      <c r="BK212" s="1880"/>
      <c r="BL212" s="1880"/>
      <c r="BM212" s="1879"/>
      <c r="BN212" s="29">
        <v>6.8</v>
      </c>
    </row>
    <row r="213" spans="29:66" ht="48" customHeight="1" thickBot="1">
      <c r="AC213" s="628" t="s">
        <v>331</v>
      </c>
      <c r="AD213" s="1843">
        <v>149</v>
      </c>
      <c r="AE213" s="1843">
        <v>149</v>
      </c>
      <c r="AF213" s="1843">
        <v>135</v>
      </c>
      <c r="AG213" s="1843">
        <v>100</v>
      </c>
      <c r="AH213" s="1843">
        <v>95</v>
      </c>
      <c r="AI213" s="1845"/>
      <c r="AJ213" s="631">
        <v>90</v>
      </c>
      <c r="AK213" s="1843">
        <v>44</v>
      </c>
      <c r="AL213" s="1843">
        <v>44</v>
      </c>
      <c r="AM213" s="1843">
        <v>12</v>
      </c>
      <c r="AN213" s="1843">
        <v>12</v>
      </c>
      <c r="AQ213" s="628" t="s">
        <v>385</v>
      </c>
      <c r="AR213" s="1844"/>
      <c r="AS213" s="631">
        <v>10</v>
      </c>
      <c r="AT213" s="1845"/>
      <c r="AU213" s="631">
        <v>83.5</v>
      </c>
      <c r="AV213" s="1843">
        <v>32</v>
      </c>
      <c r="AW213" s="1843">
        <v>32</v>
      </c>
      <c r="AX213" s="631">
        <v>98</v>
      </c>
      <c r="AY213" s="631">
        <v>20</v>
      </c>
      <c r="AZ213" s="1843">
        <v>6</v>
      </c>
      <c r="BA213" s="1843">
        <v>34.799999999999997</v>
      </c>
      <c r="BD213" s="625" t="s">
        <v>385</v>
      </c>
      <c r="BE213" s="29">
        <v>150</v>
      </c>
      <c r="BF213" s="1878">
        <v>30</v>
      </c>
      <c r="BG213" s="1878">
        <v>30</v>
      </c>
      <c r="BH213" s="29">
        <v>32.5</v>
      </c>
      <c r="BI213" s="1880"/>
      <c r="BJ213" s="1879"/>
      <c r="BK213" s="29">
        <v>2.7E-2</v>
      </c>
      <c r="BL213" s="29">
        <v>3.0000000000000001E-3</v>
      </c>
      <c r="BM213" s="1880"/>
      <c r="BN213" s="29">
        <v>10.1</v>
      </c>
    </row>
    <row r="214" spans="29:66" ht="48" customHeight="1" thickBot="1">
      <c r="AC214" s="628" t="s">
        <v>332</v>
      </c>
      <c r="AD214" s="1845"/>
      <c r="AE214" s="1845"/>
      <c r="AF214" s="1845"/>
      <c r="AG214" s="1844"/>
      <c r="AH214" s="1844"/>
      <c r="AI214" s="1845"/>
      <c r="AJ214" s="631">
        <v>120</v>
      </c>
      <c r="AK214" s="1844"/>
      <c r="AL214" s="1844"/>
      <c r="AM214" s="1845"/>
      <c r="AN214" s="1845"/>
      <c r="AQ214" s="628" t="s">
        <v>331</v>
      </c>
      <c r="AR214" s="1843">
        <v>12</v>
      </c>
      <c r="AS214" s="1843">
        <v>12</v>
      </c>
      <c r="AT214" s="1845"/>
      <c r="AU214" s="1843">
        <v>94.5</v>
      </c>
      <c r="AV214" s="1845"/>
      <c r="AW214" s="1845"/>
      <c r="AX214" s="631">
        <v>90</v>
      </c>
      <c r="AY214" s="1843">
        <v>22</v>
      </c>
      <c r="AZ214" s="1845"/>
      <c r="BA214" s="1845"/>
      <c r="BD214" s="625" t="s">
        <v>331</v>
      </c>
      <c r="BE214" s="29">
        <v>172</v>
      </c>
      <c r="BF214" s="1880"/>
      <c r="BG214" s="1880"/>
      <c r="BH214" s="29">
        <v>38</v>
      </c>
      <c r="BI214" s="29">
        <v>55</v>
      </c>
      <c r="BJ214" s="1880"/>
      <c r="BK214" s="29">
        <v>3.9E-2</v>
      </c>
      <c r="BL214" s="29">
        <v>4.0000000000000001E-3</v>
      </c>
      <c r="BM214" s="29">
        <v>4.4999999999999997E-3</v>
      </c>
      <c r="BN214" s="29">
        <v>11</v>
      </c>
    </row>
    <row r="215" spans="29:66" ht="48" customHeight="1" thickBot="1">
      <c r="AC215" s="628" t="s">
        <v>333</v>
      </c>
      <c r="AD215" s="1845"/>
      <c r="AE215" s="1845"/>
      <c r="AF215" s="1845"/>
      <c r="AG215" s="1843">
        <v>105</v>
      </c>
      <c r="AH215" s="1843">
        <v>100</v>
      </c>
      <c r="AI215" s="1845"/>
      <c r="AJ215" s="631">
        <v>110</v>
      </c>
      <c r="AK215" s="631">
        <v>45</v>
      </c>
      <c r="AL215" s="631">
        <v>45</v>
      </c>
      <c r="AM215" s="1845"/>
      <c r="AN215" s="1845"/>
      <c r="AQ215" s="628" t="s">
        <v>332</v>
      </c>
      <c r="AR215" s="1845"/>
      <c r="AS215" s="1845"/>
      <c r="AT215" s="1845"/>
      <c r="AU215" s="1844"/>
      <c r="AV215" s="1845"/>
      <c r="AW215" s="1845"/>
      <c r="AX215" s="631">
        <v>120</v>
      </c>
      <c r="AY215" s="1844"/>
      <c r="AZ215" s="1845"/>
      <c r="BA215" s="1845"/>
      <c r="BD215" s="1878" t="s">
        <v>332</v>
      </c>
      <c r="BE215" s="1878">
        <v>172</v>
      </c>
      <c r="BF215" s="1878">
        <v>30</v>
      </c>
      <c r="BG215" s="1878">
        <v>30</v>
      </c>
      <c r="BH215" s="1878">
        <v>38</v>
      </c>
      <c r="BI215" s="1878">
        <v>55</v>
      </c>
      <c r="BJ215" s="1878">
        <v>25</v>
      </c>
      <c r="BK215" s="1878">
        <v>3.9E-2</v>
      </c>
      <c r="BL215" s="1878">
        <v>4.0000000000000001E-3</v>
      </c>
      <c r="BM215" s="1878">
        <v>4.4999999999999997E-3</v>
      </c>
      <c r="BN215" s="29"/>
    </row>
    <row r="216" spans="29:66" ht="48" customHeight="1" thickBot="1">
      <c r="AC216" s="628" t="s">
        <v>334</v>
      </c>
      <c r="AD216" s="1844"/>
      <c r="AE216" s="1844"/>
      <c r="AF216" s="1844"/>
      <c r="AG216" s="1844"/>
      <c r="AH216" s="1844"/>
      <c r="AI216" s="1845"/>
      <c r="AJ216" s="631">
        <v>100</v>
      </c>
      <c r="AK216" s="631">
        <v>36</v>
      </c>
      <c r="AL216" s="631">
        <v>36</v>
      </c>
      <c r="AM216" s="1844"/>
      <c r="AN216" s="1845"/>
      <c r="AQ216" s="628" t="s">
        <v>333</v>
      </c>
      <c r="AR216" s="1845"/>
      <c r="AS216" s="1845"/>
      <c r="AT216" s="1845"/>
      <c r="AU216" s="1843">
        <v>99.5</v>
      </c>
      <c r="AV216" s="1845"/>
      <c r="AW216" s="1845"/>
      <c r="AX216" s="631">
        <v>110</v>
      </c>
      <c r="AY216" s="1843">
        <v>30</v>
      </c>
      <c r="AZ216" s="1845"/>
      <c r="BA216" s="1845"/>
      <c r="BD216" s="1880"/>
      <c r="BE216" s="1879"/>
      <c r="BF216" s="1879"/>
      <c r="BG216" s="1879"/>
      <c r="BH216" s="1879"/>
      <c r="BI216" s="1879"/>
      <c r="BJ216" s="1879"/>
      <c r="BK216" s="1880"/>
      <c r="BL216" s="1879"/>
      <c r="BM216" s="1879"/>
      <c r="BN216" s="29">
        <v>14.3</v>
      </c>
    </row>
    <row r="217" spans="29:66" ht="48" customHeight="1" thickBot="1">
      <c r="AC217" s="628" t="s">
        <v>335</v>
      </c>
      <c r="AD217" s="1843">
        <v>168</v>
      </c>
      <c r="AE217" s="1843">
        <v>168</v>
      </c>
      <c r="AF217" s="1843">
        <v>158</v>
      </c>
      <c r="AG217" s="1843">
        <v>109</v>
      </c>
      <c r="AH217" s="1843">
        <v>105</v>
      </c>
      <c r="AI217" s="1845"/>
      <c r="AJ217" s="631">
        <v>110</v>
      </c>
      <c r="AK217" s="1843">
        <v>47</v>
      </c>
      <c r="AL217" s="1843">
        <v>47</v>
      </c>
      <c r="AM217" s="1843">
        <v>14</v>
      </c>
      <c r="AN217" s="1845"/>
      <c r="AQ217" s="628" t="s">
        <v>334</v>
      </c>
      <c r="AR217" s="1844"/>
      <c r="AS217" s="1844"/>
      <c r="AT217" s="1845"/>
      <c r="AU217" s="1844"/>
      <c r="AV217" s="1844"/>
      <c r="AW217" s="1844"/>
      <c r="AX217" s="631">
        <v>100</v>
      </c>
      <c r="AY217" s="1844"/>
      <c r="AZ217" s="1845"/>
      <c r="BA217" s="1844"/>
      <c r="BD217" s="625" t="s">
        <v>333</v>
      </c>
      <c r="BE217" s="1879"/>
      <c r="BF217" s="1879"/>
      <c r="BG217" s="1879"/>
      <c r="BH217" s="1879"/>
      <c r="BI217" s="1879"/>
      <c r="BJ217" s="1879"/>
      <c r="BK217" s="1878">
        <v>2.8000000000000001E-2</v>
      </c>
      <c r="BL217" s="1879"/>
      <c r="BM217" s="1879"/>
      <c r="BN217" s="29">
        <v>13.5</v>
      </c>
    </row>
    <row r="218" spans="29:66" ht="48" customHeight="1" thickBot="1">
      <c r="AC218" s="628" t="s">
        <v>336</v>
      </c>
      <c r="AD218" s="1844"/>
      <c r="AE218" s="1844"/>
      <c r="AF218" s="1844"/>
      <c r="AG218" s="1844"/>
      <c r="AH218" s="1844"/>
      <c r="AI218" s="1844"/>
      <c r="AJ218" s="631">
        <v>140</v>
      </c>
      <c r="AK218" s="1844"/>
      <c r="AL218" s="1844"/>
      <c r="AM218" s="1844"/>
      <c r="AN218" s="1844"/>
      <c r="AQ218" s="628" t="s">
        <v>335</v>
      </c>
      <c r="AR218" s="1843">
        <v>14</v>
      </c>
      <c r="AS218" s="1843">
        <v>14</v>
      </c>
      <c r="AT218" s="1845"/>
      <c r="AU218" s="1843">
        <v>104.4</v>
      </c>
      <c r="AV218" s="1843">
        <v>37</v>
      </c>
      <c r="AW218" s="1843">
        <v>37</v>
      </c>
      <c r="AX218" s="631">
        <v>110</v>
      </c>
      <c r="AY218" s="1843">
        <v>23</v>
      </c>
      <c r="AZ218" s="1845"/>
      <c r="BA218" s="1843">
        <v>39.799999999999997</v>
      </c>
      <c r="BD218" s="625" t="s">
        <v>334</v>
      </c>
      <c r="BE218" s="1880"/>
      <c r="BF218" s="1880"/>
      <c r="BG218" s="1880"/>
      <c r="BH218" s="1880"/>
      <c r="BI218" s="1880"/>
      <c r="BJ218" s="1880"/>
      <c r="BK218" s="1880"/>
      <c r="BL218" s="1880"/>
      <c r="BM218" s="1880"/>
      <c r="BN218" s="29">
        <v>12.5</v>
      </c>
    </row>
    <row r="219" spans="29:66" ht="48" customHeight="1" thickBot="1">
      <c r="AC219" s="628" t="s">
        <v>337</v>
      </c>
      <c r="AD219" s="1843">
        <v>168</v>
      </c>
      <c r="AE219" s="1843">
        <v>168</v>
      </c>
      <c r="AF219" s="1843">
        <v>158</v>
      </c>
      <c r="AG219" s="1843">
        <v>109</v>
      </c>
      <c r="AH219" s="1843">
        <v>105</v>
      </c>
      <c r="AI219" s="1843" t="s">
        <v>290</v>
      </c>
      <c r="AJ219" s="631">
        <v>110</v>
      </c>
      <c r="AK219" s="1843">
        <v>47</v>
      </c>
      <c r="AL219" s="1843">
        <v>47</v>
      </c>
      <c r="AM219" s="1843">
        <v>14</v>
      </c>
      <c r="AN219" s="1843">
        <v>14</v>
      </c>
      <c r="AQ219" s="628" t="s">
        <v>336</v>
      </c>
      <c r="AR219" s="1844"/>
      <c r="AS219" s="1844"/>
      <c r="AT219" s="1844"/>
      <c r="AU219" s="1844"/>
      <c r="AV219" s="1844"/>
      <c r="AW219" s="1844"/>
      <c r="AX219" s="631">
        <v>140</v>
      </c>
      <c r="AY219" s="1844"/>
      <c r="AZ219" s="1844"/>
      <c r="BA219" s="1844"/>
      <c r="BD219" s="625" t="s">
        <v>335</v>
      </c>
      <c r="BE219" s="1878">
        <v>194</v>
      </c>
      <c r="BF219" s="1878">
        <v>35</v>
      </c>
      <c r="BG219" s="1878">
        <v>35</v>
      </c>
      <c r="BH219" s="1878">
        <v>45</v>
      </c>
      <c r="BI219" s="1878">
        <v>59</v>
      </c>
      <c r="BJ219" s="1878">
        <v>28</v>
      </c>
      <c r="BK219" s="1878">
        <v>4.8000000000000001E-2</v>
      </c>
      <c r="BL219" s="1878">
        <v>5.0000000000000001E-3</v>
      </c>
      <c r="BM219" s="1878">
        <v>6.4999999999999997E-3</v>
      </c>
      <c r="BN219" s="29">
        <v>18.7</v>
      </c>
    </row>
    <row r="220" spans="29:66" ht="48" customHeight="1" thickBot="1">
      <c r="AC220" s="628" t="s">
        <v>338</v>
      </c>
      <c r="AD220" s="1845"/>
      <c r="AE220" s="1845"/>
      <c r="AF220" s="1845"/>
      <c r="AG220" s="1844"/>
      <c r="AH220" s="1844"/>
      <c r="AI220" s="1845"/>
      <c r="AJ220" s="631">
        <v>140</v>
      </c>
      <c r="AK220" s="1845"/>
      <c r="AL220" s="1845"/>
      <c r="AM220" s="1845"/>
      <c r="AN220" s="1845"/>
      <c r="AQ220" s="628" t="s">
        <v>337</v>
      </c>
      <c r="AR220" s="631">
        <v>14</v>
      </c>
      <c r="AS220" s="631">
        <v>14</v>
      </c>
      <c r="AT220" s="631">
        <v>4</v>
      </c>
      <c r="AU220" s="631">
        <v>104.4</v>
      </c>
      <c r="AV220" s="631">
        <v>37</v>
      </c>
      <c r="AW220" s="631">
        <v>37</v>
      </c>
      <c r="AX220" s="631">
        <v>110</v>
      </c>
      <c r="AY220" s="631">
        <v>23</v>
      </c>
      <c r="AZ220" s="631">
        <v>6</v>
      </c>
      <c r="BA220" s="631">
        <v>39.799999999999997</v>
      </c>
      <c r="BD220" s="625" t="s">
        <v>336</v>
      </c>
      <c r="BE220" s="1879"/>
      <c r="BF220" s="1879"/>
      <c r="BG220" s="1879"/>
      <c r="BH220" s="1879"/>
      <c r="BI220" s="1879"/>
      <c r="BJ220" s="1879"/>
      <c r="BK220" s="1880"/>
      <c r="BL220" s="1879"/>
      <c r="BM220" s="1879"/>
      <c r="BN220" s="29">
        <v>22.6</v>
      </c>
    </row>
    <row r="221" spans="29:66" ht="48" customHeight="1" thickBot="1">
      <c r="AC221" s="628" t="s">
        <v>339</v>
      </c>
      <c r="AD221" s="1845"/>
      <c r="AE221" s="1845"/>
      <c r="AF221" s="1845"/>
      <c r="AG221" s="1843">
        <v>118</v>
      </c>
      <c r="AH221" s="1843">
        <v>113</v>
      </c>
      <c r="AI221" s="1845"/>
      <c r="AJ221" s="631">
        <v>110</v>
      </c>
      <c r="AK221" s="1845"/>
      <c r="AL221" s="1845"/>
      <c r="AM221" s="1845"/>
      <c r="AN221" s="1845"/>
      <c r="AQ221" s="628" t="s">
        <v>386</v>
      </c>
      <c r="AR221" s="1843">
        <v>14</v>
      </c>
      <c r="AS221" s="1843">
        <v>14</v>
      </c>
      <c r="AT221" s="1843"/>
      <c r="AU221" s="631">
        <v>104.4</v>
      </c>
      <c r="AV221" s="1843">
        <v>37</v>
      </c>
      <c r="AW221" s="1843">
        <v>37</v>
      </c>
      <c r="AX221" s="631">
        <v>140</v>
      </c>
      <c r="AY221" s="1843">
        <v>23</v>
      </c>
      <c r="AZ221" s="1843">
        <v>6</v>
      </c>
      <c r="BA221" s="1843">
        <v>39.799999999999997</v>
      </c>
      <c r="BD221" s="625" t="s">
        <v>337</v>
      </c>
      <c r="BE221" s="1879"/>
      <c r="BF221" s="1879"/>
      <c r="BG221" s="1879"/>
      <c r="BH221" s="1879"/>
      <c r="BI221" s="1879"/>
      <c r="BJ221" s="1879"/>
      <c r="BK221" s="1878">
        <v>3.2000000000000001E-2</v>
      </c>
      <c r="BL221" s="1879"/>
      <c r="BM221" s="1879"/>
      <c r="BN221" s="29">
        <v>18.7</v>
      </c>
    </row>
    <row r="222" spans="29:66" ht="48" customHeight="1" thickBot="1">
      <c r="AC222" s="628" t="s">
        <v>340</v>
      </c>
      <c r="AD222" s="1845"/>
      <c r="AE222" s="1845"/>
      <c r="AF222" s="1845"/>
      <c r="AG222" s="1845"/>
      <c r="AH222" s="1845"/>
      <c r="AI222" s="1845"/>
      <c r="AJ222" s="631">
        <v>140</v>
      </c>
      <c r="AK222" s="1845"/>
      <c r="AL222" s="1845"/>
      <c r="AM222" s="1845"/>
      <c r="AN222" s="1845"/>
      <c r="AQ222" s="628" t="s">
        <v>339</v>
      </c>
      <c r="AR222" s="1845"/>
      <c r="AS222" s="1845"/>
      <c r="AT222" s="1845"/>
      <c r="AU222" s="1843">
        <v>112.4</v>
      </c>
      <c r="AV222" s="1845"/>
      <c r="AW222" s="1845"/>
      <c r="AX222" s="631">
        <v>110</v>
      </c>
      <c r="AY222" s="1845"/>
      <c r="AZ222" s="1845"/>
      <c r="BA222" s="1845"/>
      <c r="BD222" s="625" t="s">
        <v>386</v>
      </c>
      <c r="BE222" s="1879"/>
      <c r="BF222" s="1879"/>
      <c r="BG222" s="1879"/>
      <c r="BH222" s="1879"/>
      <c r="BI222" s="1879"/>
      <c r="BJ222" s="1879"/>
      <c r="BK222" s="1880"/>
      <c r="BL222" s="1879"/>
      <c r="BM222" s="1879"/>
      <c r="BN222" s="29">
        <v>22.6</v>
      </c>
    </row>
    <row r="223" spans="29:66" ht="48" customHeight="1" thickBot="1">
      <c r="AC223" s="628" t="s">
        <v>341</v>
      </c>
      <c r="AD223" s="1845"/>
      <c r="AE223" s="1845"/>
      <c r="AF223" s="1845"/>
      <c r="AG223" s="1845"/>
      <c r="AH223" s="1845"/>
      <c r="AI223" s="1845"/>
      <c r="AJ223" s="631">
        <v>110</v>
      </c>
      <c r="AK223" s="1845"/>
      <c r="AL223" s="1845"/>
      <c r="AM223" s="1845"/>
      <c r="AN223" s="1845"/>
      <c r="AQ223" s="628" t="s">
        <v>340</v>
      </c>
      <c r="AR223" s="1845"/>
      <c r="AS223" s="1845"/>
      <c r="AT223" s="1845"/>
      <c r="AU223" s="1845"/>
      <c r="AV223" s="1845"/>
      <c r="AW223" s="1845"/>
      <c r="AX223" s="631">
        <v>140</v>
      </c>
      <c r="AY223" s="1845"/>
      <c r="AZ223" s="1845"/>
      <c r="BA223" s="1845"/>
      <c r="BD223" s="625" t="s">
        <v>339</v>
      </c>
      <c r="BE223" s="1879"/>
      <c r="BF223" s="1879"/>
      <c r="BG223" s="1879"/>
      <c r="BH223" s="1879"/>
      <c r="BI223" s="1879"/>
      <c r="BJ223" s="1879"/>
      <c r="BK223" s="1878">
        <v>2.4E-2</v>
      </c>
      <c r="BL223" s="1879"/>
      <c r="BM223" s="1879"/>
      <c r="BN223" s="29">
        <v>17</v>
      </c>
    </row>
    <row r="224" spans="29:66" ht="48" customHeight="1" thickBot="1">
      <c r="AC224" s="628" t="s">
        <v>342</v>
      </c>
      <c r="AD224" s="1845"/>
      <c r="AE224" s="1845"/>
      <c r="AF224" s="1845"/>
      <c r="AG224" s="1844"/>
      <c r="AH224" s="1844"/>
      <c r="AI224" s="1845"/>
      <c r="AJ224" s="631">
        <v>140</v>
      </c>
      <c r="AK224" s="1845"/>
      <c r="AL224" s="1845"/>
      <c r="AM224" s="1845"/>
      <c r="AN224" s="1845"/>
      <c r="AQ224" s="628" t="s">
        <v>341</v>
      </c>
      <c r="AR224" s="1845"/>
      <c r="AS224" s="1845"/>
      <c r="AT224" s="1845"/>
      <c r="AU224" s="1845"/>
      <c r="AV224" s="1845"/>
      <c r="AW224" s="1845"/>
      <c r="AX224" s="631">
        <v>110</v>
      </c>
      <c r="AY224" s="1845"/>
      <c r="AZ224" s="1845"/>
      <c r="BA224" s="1845"/>
      <c r="BD224" s="625" t="s">
        <v>340</v>
      </c>
      <c r="BE224" s="1879"/>
      <c r="BF224" s="1879"/>
      <c r="BG224" s="1879"/>
      <c r="BH224" s="1879"/>
      <c r="BI224" s="1879"/>
      <c r="BJ224" s="1879"/>
      <c r="BK224" s="1879"/>
      <c r="BL224" s="1879"/>
      <c r="BM224" s="1879"/>
      <c r="BN224" s="29">
        <v>21</v>
      </c>
    </row>
    <row r="225" spans="29:66" ht="48" customHeight="1" thickBot="1">
      <c r="AC225" s="628" t="s">
        <v>343</v>
      </c>
      <c r="AD225" s="1845"/>
      <c r="AE225" s="1845"/>
      <c r="AF225" s="1845"/>
      <c r="AG225" s="1843">
        <v>109</v>
      </c>
      <c r="AH225" s="1843">
        <v>105</v>
      </c>
      <c r="AI225" s="1845"/>
      <c r="AJ225" s="631">
        <v>110</v>
      </c>
      <c r="AK225" s="1845"/>
      <c r="AL225" s="1845"/>
      <c r="AM225" s="1845"/>
      <c r="AN225" s="1845"/>
      <c r="AQ225" s="628" t="s">
        <v>342</v>
      </c>
      <c r="AR225" s="1845"/>
      <c r="AS225" s="1845"/>
      <c r="AT225" s="1845"/>
      <c r="AU225" s="1844"/>
      <c r="AV225" s="1845"/>
      <c r="AW225" s="1845"/>
      <c r="AX225" s="631">
        <v>140</v>
      </c>
      <c r="AY225" s="1845"/>
      <c r="AZ225" s="1845"/>
      <c r="BA225" s="1845"/>
      <c r="BD225" s="625" t="s">
        <v>341</v>
      </c>
      <c r="BE225" s="1879"/>
      <c r="BF225" s="1879"/>
      <c r="BG225" s="1879"/>
      <c r="BH225" s="1879"/>
      <c r="BI225" s="1879"/>
      <c r="BJ225" s="1879"/>
      <c r="BK225" s="1879"/>
      <c r="BL225" s="1879"/>
      <c r="BM225" s="1879"/>
      <c r="BN225" s="29">
        <v>17</v>
      </c>
    </row>
    <row r="226" spans="29:66" ht="48" customHeight="1" thickBot="1">
      <c r="AC226" s="628" t="s">
        <v>344</v>
      </c>
      <c r="AD226" s="1845"/>
      <c r="AE226" s="1845"/>
      <c r="AF226" s="1845"/>
      <c r="AG226" s="1845"/>
      <c r="AH226" s="1845"/>
      <c r="AI226" s="1845"/>
      <c r="AJ226" s="631">
        <v>140</v>
      </c>
      <c r="AK226" s="1845"/>
      <c r="AL226" s="1845"/>
      <c r="AM226" s="1845"/>
      <c r="AN226" s="1845"/>
      <c r="AQ226" s="628" t="s">
        <v>343</v>
      </c>
      <c r="AR226" s="1845"/>
      <c r="AS226" s="1845"/>
      <c r="AT226" s="1845"/>
      <c r="AU226" s="1843">
        <v>104.4</v>
      </c>
      <c r="AV226" s="1845"/>
      <c r="AW226" s="1845"/>
      <c r="AX226" s="631">
        <v>110</v>
      </c>
      <c r="AY226" s="1845"/>
      <c r="AZ226" s="1845"/>
      <c r="BA226" s="1845"/>
      <c r="BD226" s="625" t="s">
        <v>342</v>
      </c>
      <c r="BE226" s="1879"/>
      <c r="BF226" s="1879"/>
      <c r="BG226" s="1879"/>
      <c r="BH226" s="1879"/>
      <c r="BI226" s="1879"/>
      <c r="BJ226" s="1879"/>
      <c r="BK226" s="1880"/>
      <c r="BL226" s="1879"/>
      <c r="BM226" s="1879"/>
      <c r="BN226" s="29">
        <v>21</v>
      </c>
    </row>
    <row r="227" spans="29:66" ht="48" customHeight="1" thickBot="1">
      <c r="AC227" s="628" t="s">
        <v>345</v>
      </c>
      <c r="AD227" s="1845"/>
      <c r="AE227" s="1845"/>
      <c r="AF227" s="1845"/>
      <c r="AG227" s="1845"/>
      <c r="AH227" s="1845"/>
      <c r="AI227" s="1845"/>
      <c r="AJ227" s="631">
        <v>110</v>
      </c>
      <c r="AK227" s="1845"/>
      <c r="AL227" s="1845"/>
      <c r="AM227" s="1845"/>
      <c r="AN227" s="1845"/>
      <c r="AQ227" s="628" t="s">
        <v>344</v>
      </c>
      <c r="AR227" s="1845"/>
      <c r="AS227" s="1845"/>
      <c r="AT227" s="1845"/>
      <c r="AU227" s="1845"/>
      <c r="AV227" s="1845"/>
      <c r="AW227" s="1845"/>
      <c r="AX227" s="631">
        <v>140</v>
      </c>
      <c r="AY227" s="1845"/>
      <c r="AZ227" s="1845"/>
      <c r="BA227" s="1845"/>
      <c r="BD227" s="625" t="s">
        <v>343</v>
      </c>
      <c r="BE227" s="1879"/>
      <c r="BF227" s="1879"/>
      <c r="BG227" s="1879"/>
      <c r="BH227" s="1879"/>
      <c r="BI227" s="1879"/>
      <c r="BJ227" s="1879"/>
      <c r="BK227" s="1878">
        <v>3.0200000000000001E-2</v>
      </c>
      <c r="BL227" s="1879"/>
      <c r="BM227" s="1879"/>
      <c r="BN227" s="29">
        <v>18.7</v>
      </c>
    </row>
    <row r="228" spans="29:66" ht="48" customHeight="1" thickBot="1">
      <c r="AC228" s="628" t="s">
        <v>346</v>
      </c>
      <c r="AD228" s="1845"/>
      <c r="AE228" s="1845"/>
      <c r="AF228" s="1845"/>
      <c r="AG228" s="1844"/>
      <c r="AH228" s="1844"/>
      <c r="AI228" s="1844"/>
      <c r="AJ228" s="631">
        <v>140</v>
      </c>
      <c r="AK228" s="1844"/>
      <c r="AL228" s="1844"/>
      <c r="AM228" s="1844"/>
      <c r="AN228" s="1844"/>
      <c r="AQ228" s="628" t="s">
        <v>345</v>
      </c>
      <c r="AR228" s="1845"/>
      <c r="AS228" s="1845"/>
      <c r="AT228" s="1845"/>
      <c r="AU228" s="1845"/>
      <c r="AV228" s="1845"/>
      <c r="AW228" s="1845"/>
      <c r="AX228" s="631">
        <v>110</v>
      </c>
      <c r="AY228" s="1845"/>
      <c r="AZ228" s="1845"/>
      <c r="BA228" s="1845"/>
      <c r="BD228" s="625" t="s">
        <v>344</v>
      </c>
      <c r="BE228" s="1879"/>
      <c r="BF228" s="1879"/>
      <c r="BG228" s="1879"/>
      <c r="BH228" s="1879"/>
      <c r="BI228" s="1879"/>
      <c r="BJ228" s="1879"/>
      <c r="BK228" s="1880"/>
      <c r="BL228" s="1879"/>
      <c r="BM228" s="1879"/>
      <c r="BN228" s="29">
        <v>22.6</v>
      </c>
    </row>
    <row r="229" spans="29:66" ht="48" customHeight="1" thickBot="1">
      <c r="AC229" s="628" t="s">
        <v>347</v>
      </c>
      <c r="AD229" s="1845"/>
      <c r="AE229" s="1845"/>
      <c r="AF229" s="1845"/>
      <c r="AG229" s="1843">
        <v>118</v>
      </c>
      <c r="AH229" s="1843">
        <v>113</v>
      </c>
      <c r="AI229" s="1843"/>
      <c r="AJ229" s="631">
        <v>110</v>
      </c>
      <c r="AK229" s="1843">
        <v>47</v>
      </c>
      <c r="AL229" s="1843">
        <v>47</v>
      </c>
      <c r="AM229" s="1843">
        <v>14</v>
      </c>
      <c r="AN229" s="1843">
        <v>14</v>
      </c>
      <c r="AQ229" s="628" t="s">
        <v>346</v>
      </c>
      <c r="AR229" s="1845"/>
      <c r="AS229" s="1845"/>
      <c r="AT229" s="1845"/>
      <c r="AU229" s="1844"/>
      <c r="AV229" s="1845"/>
      <c r="AW229" s="1845"/>
      <c r="AX229" s="631">
        <v>140</v>
      </c>
      <c r="AY229" s="1845"/>
      <c r="AZ229" s="1845"/>
      <c r="BA229" s="1845"/>
      <c r="BD229" s="625" t="s">
        <v>345</v>
      </c>
      <c r="BE229" s="1879"/>
      <c r="BF229" s="1879"/>
      <c r="BG229" s="1879"/>
      <c r="BH229" s="1879"/>
      <c r="BI229" s="1879"/>
      <c r="BJ229" s="1879"/>
      <c r="BK229" s="1878">
        <v>2.4E-2</v>
      </c>
      <c r="BL229" s="1879"/>
      <c r="BM229" s="1879"/>
      <c r="BN229" s="29">
        <v>18.7</v>
      </c>
    </row>
    <row r="230" spans="29:66" ht="48" customHeight="1" thickBot="1">
      <c r="AC230" s="628" t="s">
        <v>348</v>
      </c>
      <c r="AD230" s="1845"/>
      <c r="AE230" s="1845"/>
      <c r="AF230" s="1845"/>
      <c r="AG230" s="1845"/>
      <c r="AH230" s="1845"/>
      <c r="AI230" s="1845"/>
      <c r="AJ230" s="631">
        <v>140</v>
      </c>
      <c r="AK230" s="1845"/>
      <c r="AL230" s="1845"/>
      <c r="AM230" s="1845"/>
      <c r="AN230" s="1845"/>
      <c r="AQ230" s="628" t="s">
        <v>347</v>
      </c>
      <c r="AR230" s="1845"/>
      <c r="AS230" s="1845"/>
      <c r="AT230" s="1845"/>
      <c r="AU230" s="1843">
        <v>112.4</v>
      </c>
      <c r="AV230" s="1845"/>
      <c r="AW230" s="1845"/>
      <c r="AX230" s="631">
        <v>110</v>
      </c>
      <c r="AY230" s="1845"/>
      <c r="AZ230" s="1845"/>
      <c r="BA230" s="1845"/>
      <c r="BD230" s="625" t="s">
        <v>346</v>
      </c>
      <c r="BE230" s="1879"/>
      <c r="BF230" s="1879"/>
      <c r="BG230" s="1879"/>
      <c r="BH230" s="1879"/>
      <c r="BI230" s="1879"/>
      <c r="BJ230" s="1879"/>
      <c r="BK230" s="1879"/>
      <c r="BL230" s="1879"/>
      <c r="BM230" s="1879"/>
      <c r="BN230" s="29">
        <v>22.6</v>
      </c>
    </row>
    <row r="231" spans="29:66" ht="48" customHeight="1" thickBot="1">
      <c r="AC231" s="628" t="s">
        <v>349</v>
      </c>
      <c r="AD231" s="1845"/>
      <c r="AE231" s="1845"/>
      <c r="AF231" s="1845"/>
      <c r="AG231" s="1845"/>
      <c r="AH231" s="1845"/>
      <c r="AI231" s="1845"/>
      <c r="AJ231" s="631">
        <v>110</v>
      </c>
      <c r="AK231" s="1845"/>
      <c r="AL231" s="1845"/>
      <c r="AM231" s="1845"/>
      <c r="AN231" s="1845"/>
      <c r="AQ231" s="628" t="s">
        <v>348</v>
      </c>
      <c r="AR231" s="1845"/>
      <c r="AS231" s="1845"/>
      <c r="AT231" s="1845"/>
      <c r="AU231" s="1845"/>
      <c r="AV231" s="1845"/>
      <c r="AW231" s="1845"/>
      <c r="AX231" s="631">
        <v>140</v>
      </c>
      <c r="AY231" s="1845"/>
      <c r="AZ231" s="1845"/>
      <c r="BA231" s="1845"/>
      <c r="BD231" s="625" t="s">
        <v>347</v>
      </c>
      <c r="BE231" s="1879"/>
      <c r="BF231" s="1879"/>
      <c r="BG231" s="1879"/>
      <c r="BH231" s="1879"/>
      <c r="BI231" s="1879"/>
      <c r="BJ231" s="1879"/>
      <c r="BK231" s="1879"/>
      <c r="BL231" s="1879"/>
      <c r="BM231" s="1879"/>
      <c r="BN231" s="29">
        <v>17</v>
      </c>
    </row>
    <row r="232" spans="29:66" ht="48" customHeight="1" thickBot="1">
      <c r="AC232" s="628" t="s">
        <v>350</v>
      </c>
      <c r="AD232" s="1844"/>
      <c r="AE232" s="1844"/>
      <c r="AF232" s="1844"/>
      <c r="AG232" s="1844"/>
      <c r="AH232" s="1844"/>
      <c r="AI232" s="1844"/>
      <c r="AJ232" s="631">
        <v>140</v>
      </c>
      <c r="AK232" s="1844"/>
      <c r="AL232" s="1844"/>
      <c r="AM232" s="1844"/>
      <c r="AN232" s="1844"/>
      <c r="AQ232" s="628" t="s">
        <v>349</v>
      </c>
      <c r="AR232" s="1845"/>
      <c r="AS232" s="1845"/>
      <c r="AT232" s="1845"/>
      <c r="AU232" s="1845"/>
      <c r="AV232" s="1845"/>
      <c r="AW232" s="1845"/>
      <c r="AX232" s="631">
        <v>110</v>
      </c>
      <c r="AY232" s="1845"/>
      <c r="AZ232" s="1845"/>
      <c r="BA232" s="1845"/>
      <c r="BD232" s="625" t="s">
        <v>348</v>
      </c>
      <c r="BE232" s="1879"/>
      <c r="BF232" s="1879"/>
      <c r="BG232" s="1879"/>
      <c r="BH232" s="1879"/>
      <c r="BI232" s="1879"/>
      <c r="BJ232" s="1879"/>
      <c r="BK232" s="1879"/>
      <c r="BL232" s="1879"/>
      <c r="BM232" s="1879"/>
      <c r="BN232" s="29">
        <v>21</v>
      </c>
    </row>
    <row r="233" spans="29:66" ht="48" customHeight="1" thickBot="1">
      <c r="AQ233" s="628" t="s">
        <v>350</v>
      </c>
      <c r="AR233" s="1844"/>
      <c r="AS233" s="1844"/>
      <c r="AT233" s="1844"/>
      <c r="AU233" s="1844"/>
      <c r="AV233" s="1844"/>
      <c r="AW233" s="1844"/>
      <c r="AX233" s="631">
        <v>140</v>
      </c>
      <c r="AY233" s="1844"/>
      <c r="AZ233" s="1844"/>
      <c r="BA233" s="1844"/>
      <c r="BD233" s="625" t="s">
        <v>349</v>
      </c>
      <c r="BE233" s="1879"/>
      <c r="BF233" s="1879"/>
      <c r="BG233" s="1879"/>
      <c r="BH233" s="1879"/>
      <c r="BI233" s="1879"/>
      <c r="BJ233" s="1879"/>
      <c r="BK233" s="1879"/>
      <c r="BL233" s="1879"/>
      <c r="BM233" s="1879"/>
      <c r="BN233" s="29">
        <v>17</v>
      </c>
    </row>
    <row r="234" spans="29:66" ht="48" customHeight="1" thickBot="1">
      <c r="BD234" s="625" t="s">
        <v>350</v>
      </c>
      <c r="BE234" s="1880"/>
      <c r="BF234" s="1880"/>
      <c r="BG234" s="1880"/>
      <c r="BH234" s="1880"/>
      <c r="BI234" s="1880"/>
      <c r="BJ234" s="1880"/>
      <c r="BK234" s="1880"/>
      <c r="BL234" s="1880"/>
      <c r="BM234" s="1880"/>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topLeftCell="AR103" zoomScale="55" zoomScaleNormal="55" workbookViewId="0">
      <selection activeCell="AR108" sqref="AR108:AS108"/>
    </sheetView>
  </sheetViews>
  <sheetFormatPr defaultRowHeight="24" customHeight="1"/>
  <sheetData>
    <row r="12" spans="30:41" ht="24" customHeight="1">
      <c r="AD12" s="65"/>
      <c r="AE12" s="65"/>
      <c r="AF12" s="65"/>
      <c r="AG12" s="65"/>
      <c r="AH12" s="65"/>
      <c r="AI12" s="65"/>
      <c r="AJ12" s="65"/>
      <c r="AK12" s="65"/>
      <c r="AL12" s="65"/>
      <c r="AM12" s="65"/>
      <c r="AN12" s="65"/>
      <c r="AO12" s="65"/>
    </row>
    <row r="13" spans="30:41" ht="24" customHeight="1">
      <c r="AD13" s="65"/>
      <c r="AE13" s="65"/>
      <c r="AF13" s="65"/>
      <c r="AG13" s="65"/>
      <c r="AH13" s="65"/>
      <c r="AI13" s="65"/>
      <c r="AJ13" s="65"/>
      <c r="AK13" s="65"/>
      <c r="AL13" s="65"/>
      <c r="AM13" s="65"/>
      <c r="AN13" s="65"/>
      <c r="AO13" s="65"/>
    </row>
    <row r="17" spans="10:124" ht="24" customHeight="1">
      <c r="J17" s="63"/>
      <c r="K17" s="63"/>
      <c r="L17" s="63"/>
      <c r="M17" s="63"/>
      <c r="N17" s="63"/>
      <c r="O17" s="63"/>
      <c r="P17" s="63"/>
      <c r="Q17" s="63"/>
      <c r="R17" s="63"/>
      <c r="S17" s="63"/>
      <c r="T17" s="63"/>
      <c r="U17" s="63"/>
      <c r="V17" s="63"/>
      <c r="W17" s="63"/>
      <c r="DL17" s="1385" t="s">
        <v>1091</v>
      </c>
      <c r="DM17" s="1385"/>
      <c r="DN17" s="1385"/>
      <c r="DO17" s="1385"/>
      <c r="DP17" s="1385"/>
      <c r="DQ17" s="1385"/>
      <c r="DR17" s="1385"/>
      <c r="DS17" s="1385"/>
      <c r="DT17" s="1049"/>
    </row>
    <row r="18" spans="10:124" ht="24" customHeight="1">
      <c r="J18" s="1906"/>
      <c r="K18" s="1906"/>
      <c r="L18" s="1906"/>
      <c r="M18" s="1906"/>
      <c r="N18" s="1906"/>
      <c r="O18" s="1906"/>
      <c r="P18" s="1906"/>
      <c r="Q18" s="1906"/>
      <c r="R18" s="1906"/>
      <c r="S18" s="1906"/>
      <c r="T18" s="1906"/>
      <c r="U18" s="1906"/>
      <c r="V18" s="1906"/>
      <c r="W18" s="767"/>
      <c r="AC18" s="1894"/>
      <c r="AD18" s="1900"/>
      <c r="AE18" s="1901"/>
      <c r="AF18" s="1901"/>
      <c r="AG18" s="1901"/>
      <c r="AH18" s="1901"/>
      <c r="AI18" s="1901"/>
      <c r="AJ18" s="1901"/>
      <c r="AK18" s="1901"/>
      <c r="AL18" s="1901"/>
      <c r="AM18" s="1901"/>
      <c r="AN18" s="1901"/>
      <c r="AO18" s="1902"/>
      <c r="AP18" s="825"/>
      <c r="AV18" s="825"/>
      <c r="AW18" s="1035" t="s">
        <v>823</v>
      </c>
      <c r="AX18" s="1036"/>
      <c r="AY18" s="825"/>
      <c r="AZ18" s="1035" t="s">
        <v>856</v>
      </c>
      <c r="BA18" s="1797"/>
      <c r="BB18" s="1797"/>
      <c r="BC18" s="1797"/>
      <c r="BD18" s="1797"/>
      <c r="BE18" s="1797"/>
      <c r="BF18" s="1797"/>
      <c r="BG18" s="1797"/>
      <c r="BH18" s="1036"/>
      <c r="BI18" s="767"/>
      <c r="BO18" s="825"/>
      <c r="BP18" s="1035" t="s">
        <v>824</v>
      </c>
      <c r="BQ18" s="1036"/>
      <c r="BR18" s="825"/>
      <c r="BS18" s="1035"/>
      <c r="BT18" s="1797"/>
      <c r="BU18" s="1797"/>
      <c r="BV18" s="1797"/>
      <c r="BW18" s="1797"/>
      <c r="BX18" s="1797"/>
      <c r="BY18" s="1797"/>
      <c r="BZ18" s="1797"/>
      <c r="CA18" s="1036"/>
      <c r="CB18" s="767"/>
      <c r="CI18" s="1894"/>
      <c r="CJ18" s="1035"/>
      <c r="CK18" s="1797"/>
      <c r="CL18" s="1797"/>
      <c r="CM18" s="1797"/>
      <c r="CN18" s="1797"/>
      <c r="CO18" s="1797"/>
      <c r="CP18" s="1797"/>
      <c r="CQ18" s="1797"/>
      <c r="CR18" s="1797"/>
      <c r="CS18" s="1797"/>
      <c r="CT18" s="1797"/>
      <c r="CU18" s="1036"/>
      <c r="CV18" s="825"/>
      <c r="DL18" s="1385"/>
      <c r="DM18" s="1385"/>
      <c r="DN18" s="1385"/>
      <c r="DO18" s="1385"/>
      <c r="DP18" s="1385"/>
      <c r="DQ18" s="1385"/>
      <c r="DR18" s="1385"/>
      <c r="DS18" s="1385"/>
      <c r="DT18" s="1049"/>
    </row>
    <row r="19" spans="10:124" ht="24" customHeight="1" thickBot="1">
      <c r="J19" s="1906"/>
      <c r="K19" s="1906"/>
      <c r="L19" s="1906"/>
      <c r="M19" s="1906"/>
      <c r="N19" s="1906"/>
      <c r="O19" s="1906"/>
      <c r="P19" s="1906"/>
      <c r="Q19" s="1906"/>
      <c r="R19" s="1906"/>
      <c r="S19" s="1906"/>
      <c r="T19" s="1906"/>
      <c r="U19" s="1906"/>
      <c r="V19" s="1906"/>
      <c r="W19" s="767"/>
      <c r="AC19" s="1896"/>
      <c r="AD19" s="1903"/>
      <c r="AE19" s="1904"/>
      <c r="AF19" s="1904"/>
      <c r="AG19" s="1904"/>
      <c r="AH19" s="1904"/>
      <c r="AI19" s="1904"/>
      <c r="AJ19" s="1904"/>
      <c r="AK19" s="1904"/>
      <c r="AL19" s="1904"/>
      <c r="AM19" s="1904"/>
      <c r="AN19" s="1904"/>
      <c r="AO19" s="1905"/>
      <c r="AP19" s="827"/>
      <c r="AV19" s="1304"/>
      <c r="AW19" s="1039"/>
      <c r="AX19" s="1040"/>
      <c r="AY19" s="1304"/>
      <c r="AZ19" s="1039"/>
      <c r="BA19" s="1889"/>
      <c r="BB19" s="1889"/>
      <c r="BC19" s="1889"/>
      <c r="BD19" s="1889"/>
      <c r="BE19" s="1889"/>
      <c r="BF19" s="1889"/>
      <c r="BG19" s="1889"/>
      <c r="BH19" s="1040"/>
      <c r="BI19" s="767"/>
      <c r="BO19" s="1304"/>
      <c r="BP19" s="1039"/>
      <c r="BQ19" s="1040"/>
      <c r="BR19" s="1304"/>
      <c r="BS19" s="1039"/>
      <c r="BT19" s="1889"/>
      <c r="BU19" s="1889"/>
      <c r="BV19" s="1889"/>
      <c r="BW19" s="1889"/>
      <c r="BX19" s="1889"/>
      <c r="BY19" s="1889"/>
      <c r="BZ19" s="1889"/>
      <c r="CA19" s="1040"/>
      <c r="CB19" s="767"/>
      <c r="CI19" s="1896"/>
      <c r="CJ19" s="1039"/>
      <c r="CK19" s="1889"/>
      <c r="CL19" s="1889"/>
      <c r="CM19" s="1889"/>
      <c r="CN19" s="1889"/>
      <c r="CO19" s="1889"/>
      <c r="CP19" s="1889"/>
      <c r="CQ19" s="1889"/>
      <c r="CR19" s="1889"/>
      <c r="CS19" s="1889"/>
      <c r="CT19" s="1889"/>
      <c r="CU19" s="1040"/>
      <c r="CV19" s="827"/>
      <c r="DL19" s="1385"/>
      <c r="DM19" s="1385"/>
      <c r="DN19" s="1385"/>
      <c r="DO19" s="1385"/>
      <c r="DP19" s="1385"/>
      <c r="DQ19" s="1385"/>
      <c r="DR19" s="1385"/>
      <c r="DS19" s="1385"/>
      <c r="DT19" s="1049"/>
    </row>
    <row r="20" spans="10:124" ht="24" customHeight="1">
      <c r="J20" s="154"/>
      <c r="K20" s="1735" t="s">
        <v>859</v>
      </c>
      <c r="L20" s="1736"/>
      <c r="M20" s="1736"/>
      <c r="N20" s="1736"/>
      <c r="O20" s="1736"/>
      <c r="P20" s="1736"/>
      <c r="Q20" s="1736"/>
      <c r="R20" s="1736"/>
      <c r="S20" s="1736"/>
      <c r="T20" s="1736"/>
      <c r="U20" s="1736"/>
      <c r="V20" s="1737"/>
      <c r="W20" s="1891" t="s">
        <v>466</v>
      </c>
      <c r="Y20" s="64"/>
      <c r="Z20" s="64"/>
      <c r="AA20" s="64"/>
      <c r="AB20" s="64"/>
      <c r="AC20" s="154"/>
      <c r="AD20" s="1728" t="s">
        <v>858</v>
      </c>
      <c r="AE20" s="1724"/>
      <c r="AF20" s="1724"/>
      <c r="AG20" s="1724"/>
      <c r="AH20" s="1724"/>
      <c r="AI20" s="1724"/>
      <c r="AJ20" s="1724"/>
      <c r="AK20" s="1724"/>
      <c r="AL20" s="1724"/>
      <c r="AM20" s="1724"/>
      <c r="AN20" s="1724"/>
      <c r="AO20" s="1725"/>
      <c r="AP20" s="1890" t="s">
        <v>466</v>
      </c>
      <c r="AV20" s="154"/>
      <c r="AW20" s="1897"/>
      <c r="AX20" s="1898"/>
      <c r="AY20" s="1898"/>
      <c r="AZ20" s="1898"/>
      <c r="BA20" s="1898"/>
      <c r="BB20" s="1898"/>
      <c r="BC20" s="1898"/>
      <c r="BD20" s="1898"/>
      <c r="BE20" s="1898"/>
      <c r="BF20" s="1898"/>
      <c r="BG20" s="1898"/>
      <c r="BH20" s="1899"/>
      <c r="BI20" s="1891"/>
      <c r="BO20" s="154"/>
      <c r="BP20" s="1897"/>
      <c r="BQ20" s="1898"/>
      <c r="BR20" s="1898"/>
      <c r="BS20" s="1898"/>
      <c r="BT20" s="1898"/>
      <c r="BU20" s="1898"/>
      <c r="BV20" s="1898"/>
      <c r="BW20" s="1898"/>
      <c r="BX20" s="1898"/>
      <c r="BY20" s="1898"/>
      <c r="BZ20" s="1898"/>
      <c r="CA20" s="1899"/>
      <c r="CB20" s="1890"/>
      <c r="CI20" s="154"/>
      <c r="CJ20" s="1897"/>
      <c r="CK20" s="1898"/>
      <c r="CL20" s="1898"/>
      <c r="CM20" s="1898"/>
      <c r="CN20" s="1898"/>
      <c r="CO20" s="1898"/>
      <c r="CP20" s="1898"/>
      <c r="CQ20" s="1898"/>
      <c r="CR20" s="1898"/>
      <c r="CS20" s="1898"/>
      <c r="CT20" s="1898"/>
      <c r="CU20" s="1899"/>
      <c r="CV20" s="1890" t="s">
        <v>466</v>
      </c>
      <c r="DL20" s="1385"/>
      <c r="DM20" s="1385"/>
      <c r="DN20" s="1385"/>
      <c r="DO20" s="1385"/>
      <c r="DP20" s="1385"/>
      <c r="DQ20" s="1385"/>
      <c r="DR20" s="1385"/>
      <c r="DS20" s="1385"/>
      <c r="DT20" s="1049"/>
    </row>
    <row r="21" spans="10:124" ht="24" customHeight="1">
      <c r="J21" s="154"/>
      <c r="K21" s="1735"/>
      <c r="L21" s="1736"/>
      <c r="M21" s="1736"/>
      <c r="N21" s="1736"/>
      <c r="O21" s="1736"/>
      <c r="P21" s="1736"/>
      <c r="Q21" s="1736"/>
      <c r="R21" s="1736"/>
      <c r="S21" s="1736"/>
      <c r="T21" s="1736"/>
      <c r="U21" s="1736"/>
      <c r="V21" s="1737"/>
      <c r="W21" s="1891"/>
      <c r="Y21" s="64"/>
      <c r="Z21" s="64"/>
      <c r="AA21" s="64"/>
      <c r="AB21" s="64"/>
      <c r="AC21" s="154"/>
      <c r="AD21" s="1745"/>
      <c r="AE21" s="1746"/>
      <c r="AF21" s="1746"/>
      <c r="AG21" s="1746"/>
      <c r="AH21" s="1746"/>
      <c r="AI21" s="1746"/>
      <c r="AJ21" s="1746"/>
      <c r="AK21" s="1746"/>
      <c r="AL21" s="1746"/>
      <c r="AM21" s="1746"/>
      <c r="AN21" s="1746"/>
      <c r="AO21" s="1747"/>
      <c r="AP21" s="1891"/>
      <c r="AV21" s="154"/>
      <c r="AW21" s="1883"/>
      <c r="AX21" s="1884"/>
      <c r="AY21" s="1884"/>
      <c r="AZ21" s="1884"/>
      <c r="BA21" s="1884"/>
      <c r="BB21" s="1884"/>
      <c r="BC21" s="1884"/>
      <c r="BD21" s="1884"/>
      <c r="BE21" s="1884"/>
      <c r="BF21" s="1884"/>
      <c r="BG21" s="1884"/>
      <c r="BH21" s="1885"/>
      <c r="BI21" s="1891"/>
      <c r="BO21" s="154"/>
      <c r="BP21" s="1883"/>
      <c r="BQ21" s="1884"/>
      <c r="BR21" s="1884"/>
      <c r="BS21" s="1884"/>
      <c r="BT21" s="1884"/>
      <c r="BU21" s="1884"/>
      <c r="BV21" s="1884"/>
      <c r="BW21" s="1884"/>
      <c r="BX21" s="1884"/>
      <c r="BY21" s="1884"/>
      <c r="BZ21" s="1884"/>
      <c r="CA21" s="1885"/>
      <c r="CB21" s="1891"/>
      <c r="CI21" s="154"/>
      <c r="CJ21" s="1883"/>
      <c r="CK21" s="1884"/>
      <c r="CL21" s="1884"/>
      <c r="CM21" s="1884"/>
      <c r="CN21" s="1884"/>
      <c r="CO21" s="1884"/>
      <c r="CP21" s="1884"/>
      <c r="CQ21" s="1884"/>
      <c r="CR21" s="1884"/>
      <c r="CS21" s="1884"/>
      <c r="CT21" s="1884"/>
      <c r="CU21" s="1885"/>
      <c r="CV21" s="1891"/>
      <c r="DL21" s="1908"/>
      <c r="DM21" s="1908"/>
      <c r="DN21" s="1908"/>
      <c r="DO21" s="1908"/>
      <c r="DP21" s="1908"/>
      <c r="DQ21" s="1908"/>
      <c r="DR21" s="1908"/>
      <c r="DS21" s="1908"/>
      <c r="DT21" s="1908"/>
    </row>
    <row r="22" spans="10:124" ht="24" customHeight="1">
      <c r="J22" s="154"/>
      <c r="K22" s="1735"/>
      <c r="L22" s="1736"/>
      <c r="M22" s="1736"/>
      <c r="N22" s="1736"/>
      <c r="O22" s="1736"/>
      <c r="P22" s="1736"/>
      <c r="Q22" s="1736"/>
      <c r="R22" s="1736"/>
      <c r="S22" s="1736"/>
      <c r="T22" s="1736"/>
      <c r="U22" s="1736"/>
      <c r="V22" s="1737"/>
      <c r="W22" s="1892"/>
      <c r="Y22" s="64"/>
      <c r="Z22" s="64"/>
      <c r="AA22" s="64"/>
      <c r="AB22" s="64"/>
      <c r="AC22" s="154"/>
      <c r="AD22" s="1729"/>
      <c r="AE22" s="1726"/>
      <c r="AF22" s="1726"/>
      <c r="AG22" s="1726"/>
      <c r="AH22" s="1726"/>
      <c r="AI22" s="1726"/>
      <c r="AJ22" s="1726"/>
      <c r="AK22" s="1726"/>
      <c r="AL22" s="1726"/>
      <c r="AM22" s="1726"/>
      <c r="AN22" s="1726"/>
      <c r="AO22" s="1727"/>
      <c r="AP22" s="1892"/>
      <c r="AV22" s="154"/>
      <c r="AW22" s="1883"/>
      <c r="AX22" s="1884"/>
      <c r="AY22" s="1884"/>
      <c r="AZ22" s="1884"/>
      <c r="BA22" s="1884"/>
      <c r="BB22" s="1884"/>
      <c r="BC22" s="1884"/>
      <c r="BD22" s="1884"/>
      <c r="BE22" s="1884"/>
      <c r="BF22" s="1884"/>
      <c r="BG22" s="1884"/>
      <c r="BH22" s="1885"/>
      <c r="BI22" s="1892"/>
      <c r="BO22" s="154"/>
      <c r="BP22" s="1883"/>
      <c r="BQ22" s="1884"/>
      <c r="BR22" s="1884"/>
      <c r="BS22" s="1884"/>
      <c r="BT22" s="1884"/>
      <c r="BU22" s="1884"/>
      <c r="BV22" s="1884"/>
      <c r="BW22" s="1884"/>
      <c r="BX22" s="1884"/>
      <c r="BY22" s="1884"/>
      <c r="BZ22" s="1884"/>
      <c r="CA22" s="1885"/>
      <c r="CB22" s="1892"/>
      <c r="CI22" s="154"/>
      <c r="CJ22" s="1883"/>
      <c r="CK22" s="1884"/>
      <c r="CL22" s="1884"/>
      <c r="CM22" s="1884"/>
      <c r="CN22" s="1884"/>
      <c r="CO22" s="1884"/>
      <c r="CP22" s="1884"/>
      <c r="CQ22" s="1884"/>
      <c r="CR22" s="1884"/>
      <c r="CS22" s="1884"/>
      <c r="CT22" s="1884"/>
      <c r="CU22" s="1885"/>
      <c r="CV22" s="1892"/>
      <c r="DL22" s="1908"/>
      <c r="DM22" s="1908"/>
      <c r="DN22" s="1908"/>
      <c r="DO22" s="1908"/>
      <c r="DP22" s="1908"/>
      <c r="DQ22" s="1908"/>
      <c r="DR22" s="1908"/>
      <c r="DS22" s="1908"/>
      <c r="DT22" s="1908"/>
    </row>
    <row r="23" spans="10:124" ht="24" customHeight="1">
      <c r="J23" s="154"/>
      <c r="K23" s="1735"/>
      <c r="L23" s="1736"/>
      <c r="M23" s="1736"/>
      <c r="N23" s="1736"/>
      <c r="O23" s="1736"/>
      <c r="P23" s="1736"/>
      <c r="Q23" s="1736"/>
      <c r="R23" s="1736"/>
      <c r="S23" s="1736"/>
      <c r="T23" s="1736"/>
      <c r="U23" s="1736"/>
      <c r="V23" s="1737"/>
      <c r="W23" s="1893"/>
      <c r="Y23" s="64"/>
      <c r="Z23" s="64"/>
      <c r="AA23" s="64"/>
      <c r="AB23" s="64"/>
      <c r="AC23" s="154"/>
      <c r="AD23" s="159"/>
      <c r="AE23" s="160"/>
      <c r="AF23" s="160"/>
      <c r="AG23" s="160"/>
      <c r="AH23" s="160"/>
      <c r="AI23" s="160"/>
      <c r="AJ23" s="160"/>
      <c r="AK23" s="160"/>
      <c r="AL23" s="160"/>
      <c r="AM23" s="160"/>
      <c r="AN23" s="160"/>
      <c r="AO23" s="161"/>
      <c r="AP23" s="1893"/>
      <c r="AV23" s="154"/>
      <c r="AW23" s="1883"/>
      <c r="AX23" s="1884"/>
      <c r="AY23" s="1884"/>
      <c r="AZ23" s="1884"/>
      <c r="BA23" s="1884"/>
      <c r="BB23" s="1884"/>
      <c r="BC23" s="1884"/>
      <c r="BD23" s="1884"/>
      <c r="BE23" s="1884"/>
      <c r="BF23" s="1884"/>
      <c r="BG23" s="1884"/>
      <c r="BH23" s="1885"/>
      <c r="BI23" s="1893"/>
      <c r="BO23" s="154"/>
      <c r="BP23" s="1883"/>
      <c r="BQ23" s="1884"/>
      <c r="BR23" s="1884"/>
      <c r="BS23" s="1884"/>
      <c r="BT23" s="1884"/>
      <c r="BU23" s="1884"/>
      <c r="BV23" s="1884"/>
      <c r="BW23" s="1884"/>
      <c r="BX23" s="1884"/>
      <c r="BY23" s="1884"/>
      <c r="BZ23" s="1884"/>
      <c r="CA23" s="1885"/>
      <c r="CB23" s="1893"/>
      <c r="CI23" s="154"/>
      <c r="CJ23" s="1883"/>
      <c r="CK23" s="1884"/>
      <c r="CL23" s="1884"/>
      <c r="CM23" s="1884"/>
      <c r="CN23" s="1884"/>
      <c r="CO23" s="1884"/>
      <c r="CP23" s="1884"/>
      <c r="CQ23" s="1884"/>
      <c r="CR23" s="1884"/>
      <c r="CS23" s="1884"/>
      <c r="CT23" s="1884"/>
      <c r="CU23" s="1885"/>
      <c r="CV23" s="1893"/>
      <c r="DL23" s="1908"/>
      <c r="DM23" s="1908"/>
      <c r="DN23" s="1908"/>
      <c r="DO23" s="1908"/>
      <c r="DP23" s="1908"/>
      <c r="DQ23" s="1908"/>
      <c r="DR23" s="1908"/>
      <c r="DS23" s="1908"/>
      <c r="DT23" s="1908"/>
    </row>
    <row r="24" spans="10:124" ht="24" customHeight="1">
      <c r="J24" s="154"/>
      <c r="K24" s="1735"/>
      <c r="L24" s="1736"/>
      <c r="M24" s="1736"/>
      <c r="N24" s="1736"/>
      <c r="O24" s="1736"/>
      <c r="P24" s="1736"/>
      <c r="Q24" s="1736"/>
      <c r="R24" s="1736"/>
      <c r="S24" s="1736"/>
      <c r="T24" s="1736"/>
      <c r="U24" s="1736"/>
      <c r="V24" s="1737"/>
      <c r="W24" s="1893"/>
      <c r="Y24" s="64"/>
      <c r="Z24" s="64"/>
      <c r="AA24" s="64"/>
      <c r="AB24" s="64"/>
      <c r="AC24" s="154"/>
      <c r="AD24" s="162"/>
      <c r="AE24" s="163"/>
      <c r="AF24" s="163"/>
      <c r="AG24" s="163"/>
      <c r="AH24" s="163"/>
      <c r="AI24" s="163"/>
      <c r="AJ24" s="163"/>
      <c r="AK24" s="163"/>
      <c r="AL24" s="163"/>
      <c r="AM24" s="163"/>
      <c r="AN24" s="163"/>
      <c r="AO24" s="164"/>
      <c r="AP24" s="1893"/>
      <c r="AV24" s="154"/>
      <c r="AW24" s="1883"/>
      <c r="AX24" s="1884"/>
      <c r="AY24" s="1884"/>
      <c r="AZ24" s="1884"/>
      <c r="BA24" s="1884"/>
      <c r="BB24" s="1884"/>
      <c r="BC24" s="1884"/>
      <c r="BD24" s="1884"/>
      <c r="BE24" s="1884"/>
      <c r="BF24" s="1884"/>
      <c r="BG24" s="1884"/>
      <c r="BH24" s="1885"/>
      <c r="BI24" s="1893"/>
      <c r="BO24" s="154"/>
      <c r="BP24" s="1883"/>
      <c r="BQ24" s="1884"/>
      <c r="BR24" s="1884"/>
      <c r="BS24" s="1884"/>
      <c r="BT24" s="1884"/>
      <c r="BU24" s="1884"/>
      <c r="BV24" s="1884"/>
      <c r="BW24" s="1884"/>
      <c r="BX24" s="1884"/>
      <c r="BY24" s="1884"/>
      <c r="BZ24" s="1884"/>
      <c r="CA24" s="1885"/>
      <c r="CB24" s="1893"/>
      <c r="CI24" s="154"/>
      <c r="CJ24" s="1883"/>
      <c r="CK24" s="1884"/>
      <c r="CL24" s="1884"/>
      <c r="CM24" s="1884"/>
      <c r="CN24" s="1884"/>
      <c r="CO24" s="1884"/>
      <c r="CP24" s="1884"/>
      <c r="CQ24" s="1884"/>
      <c r="CR24" s="1884"/>
      <c r="CS24" s="1884"/>
      <c r="CT24" s="1884"/>
      <c r="CU24" s="1885"/>
      <c r="CV24" s="1893"/>
      <c r="DL24" s="1908"/>
      <c r="DM24" s="1908"/>
      <c r="DN24" s="1908"/>
      <c r="DO24" s="1908"/>
      <c r="DP24" s="1908"/>
      <c r="DQ24" s="1908"/>
      <c r="DR24" s="1908"/>
      <c r="DS24" s="1908"/>
      <c r="DT24" s="1908"/>
    </row>
    <row r="25" spans="10:124" ht="24" customHeight="1">
      <c r="J25" s="154"/>
      <c r="K25" s="1735"/>
      <c r="L25" s="1736"/>
      <c r="M25" s="1736"/>
      <c r="N25" s="1736"/>
      <c r="O25" s="1736"/>
      <c r="P25" s="1736"/>
      <c r="Q25" s="1736"/>
      <c r="R25" s="1736"/>
      <c r="S25" s="1736"/>
      <c r="T25" s="1736"/>
      <c r="U25" s="1736"/>
      <c r="V25" s="1737"/>
      <c r="W25" s="1893"/>
      <c r="Y25" s="64"/>
      <c r="Z25" s="64"/>
      <c r="AA25" s="64"/>
      <c r="AB25" s="64"/>
      <c r="AC25" s="154"/>
      <c r="AD25" s="1882"/>
      <c r="AE25" s="1882"/>
      <c r="AF25" s="1882"/>
      <c r="AG25" s="1882"/>
      <c r="AH25" s="1882"/>
      <c r="AI25" s="1882"/>
      <c r="AJ25" s="1882"/>
      <c r="AK25" s="1882"/>
      <c r="AL25" s="1882"/>
      <c r="AM25" s="1882"/>
      <c r="AN25" s="1882"/>
      <c r="AO25" s="1882"/>
      <c r="AP25" s="1893"/>
      <c r="AV25" s="154"/>
      <c r="AW25" s="1883"/>
      <c r="AX25" s="1884"/>
      <c r="AY25" s="1884"/>
      <c r="AZ25" s="1884"/>
      <c r="BA25" s="1884"/>
      <c r="BB25" s="1884"/>
      <c r="BC25" s="1884"/>
      <c r="BD25" s="1884"/>
      <c r="BE25" s="1884"/>
      <c r="BF25" s="1884"/>
      <c r="BG25" s="1884"/>
      <c r="BH25" s="1885"/>
      <c r="BI25" s="1893"/>
      <c r="BO25" s="154"/>
      <c r="BP25" s="1883"/>
      <c r="BQ25" s="1884"/>
      <c r="BR25" s="1884"/>
      <c r="BS25" s="1884"/>
      <c r="BT25" s="1884"/>
      <c r="BU25" s="1884"/>
      <c r="BV25" s="1884"/>
      <c r="BW25" s="1884"/>
      <c r="BX25" s="1884"/>
      <c r="BY25" s="1884"/>
      <c r="BZ25" s="1884"/>
      <c r="CA25" s="1885"/>
      <c r="CB25" s="1893"/>
      <c r="CI25" s="154"/>
      <c r="CJ25" s="1883"/>
      <c r="CK25" s="1884"/>
      <c r="CL25" s="1884"/>
      <c r="CM25" s="1884"/>
      <c r="CN25" s="1884"/>
      <c r="CO25" s="1884"/>
      <c r="CP25" s="1884"/>
      <c r="CQ25" s="1884"/>
      <c r="CR25" s="1884"/>
      <c r="CS25" s="1884"/>
      <c r="CT25" s="1884"/>
      <c r="CU25" s="1885"/>
      <c r="CV25" s="1893"/>
      <c r="DL25" s="1908"/>
      <c r="DM25" s="1908"/>
      <c r="DN25" s="1908"/>
      <c r="DO25" s="1908"/>
      <c r="DP25" s="1908"/>
      <c r="DQ25" s="1908"/>
      <c r="DR25" s="1908"/>
      <c r="DS25" s="1908"/>
      <c r="DT25" s="1908"/>
    </row>
    <row r="26" spans="10:124" ht="24" customHeight="1">
      <c r="J26" s="154"/>
      <c r="K26" s="1735"/>
      <c r="L26" s="1736"/>
      <c r="M26" s="1736"/>
      <c r="N26" s="1736"/>
      <c r="O26" s="1736"/>
      <c r="P26" s="1736"/>
      <c r="Q26" s="1736"/>
      <c r="R26" s="1736"/>
      <c r="S26" s="1736"/>
      <c r="T26" s="1736"/>
      <c r="U26" s="1736"/>
      <c r="V26" s="1737"/>
      <c r="W26" s="1893"/>
      <c r="Y26" s="64"/>
      <c r="Z26" s="64"/>
      <c r="AA26" s="64"/>
      <c r="AB26" s="64"/>
      <c r="AC26" s="154"/>
      <c r="AD26" s="1882"/>
      <c r="AE26" s="1882"/>
      <c r="AF26" s="1882"/>
      <c r="AG26" s="1882"/>
      <c r="AH26" s="1882"/>
      <c r="AI26" s="1882"/>
      <c r="AJ26" s="1882"/>
      <c r="AK26" s="1882"/>
      <c r="AL26" s="1882"/>
      <c r="AM26" s="1882"/>
      <c r="AN26" s="1882"/>
      <c r="AO26" s="1882"/>
      <c r="AP26" s="1893"/>
      <c r="AV26" s="154"/>
      <c r="AW26" s="1883"/>
      <c r="AX26" s="1884"/>
      <c r="AY26" s="1884"/>
      <c r="AZ26" s="1884"/>
      <c r="BA26" s="1884"/>
      <c r="BB26" s="1884"/>
      <c r="BC26" s="1884"/>
      <c r="BD26" s="1884"/>
      <c r="BE26" s="1884"/>
      <c r="BF26" s="1884"/>
      <c r="BG26" s="1884"/>
      <c r="BH26" s="1885"/>
      <c r="BI26" s="1893"/>
      <c r="BO26" s="154"/>
      <c r="BP26" s="1883"/>
      <c r="BQ26" s="1884"/>
      <c r="BR26" s="1884"/>
      <c r="BS26" s="1884"/>
      <c r="BT26" s="1884"/>
      <c r="BU26" s="1884"/>
      <c r="BV26" s="1884"/>
      <c r="BW26" s="1884"/>
      <c r="BX26" s="1884"/>
      <c r="BY26" s="1884"/>
      <c r="BZ26" s="1884"/>
      <c r="CA26" s="1885"/>
      <c r="CB26" s="1893"/>
      <c r="CI26" s="154"/>
      <c r="CJ26" s="1883"/>
      <c r="CK26" s="1884"/>
      <c r="CL26" s="1884"/>
      <c r="CM26" s="1884"/>
      <c r="CN26" s="1884"/>
      <c r="CO26" s="1884"/>
      <c r="CP26" s="1884"/>
      <c r="CQ26" s="1884"/>
      <c r="CR26" s="1884"/>
      <c r="CS26" s="1884"/>
      <c r="CT26" s="1884"/>
      <c r="CU26" s="1885"/>
      <c r="CV26" s="1893"/>
      <c r="DL26" s="1908"/>
      <c r="DM26" s="1908"/>
      <c r="DN26" s="1908"/>
      <c r="DO26" s="1908"/>
      <c r="DP26" s="1908"/>
      <c r="DQ26" s="1908"/>
      <c r="DR26" s="1908"/>
      <c r="DS26" s="1908"/>
      <c r="DT26" s="1908"/>
    </row>
    <row r="27" spans="10:124" ht="24" customHeight="1">
      <c r="J27" s="154"/>
      <c r="K27" s="1735"/>
      <c r="L27" s="1736"/>
      <c r="M27" s="1736"/>
      <c r="N27" s="1736"/>
      <c r="O27" s="1736"/>
      <c r="P27" s="1736"/>
      <c r="Q27" s="1736"/>
      <c r="R27" s="1736"/>
      <c r="S27" s="1736"/>
      <c r="T27" s="1736"/>
      <c r="U27" s="1736"/>
      <c r="V27" s="1737"/>
      <c r="W27" s="1893"/>
      <c r="Y27" s="64"/>
      <c r="Z27" s="64"/>
      <c r="AA27" s="64"/>
      <c r="AB27" s="64"/>
      <c r="AC27" s="154"/>
      <c r="AD27" s="1882"/>
      <c r="AE27" s="1882"/>
      <c r="AF27" s="1882"/>
      <c r="AG27" s="1882"/>
      <c r="AH27" s="1882"/>
      <c r="AI27" s="1882"/>
      <c r="AJ27" s="1882"/>
      <c r="AK27" s="1882"/>
      <c r="AL27" s="1882"/>
      <c r="AM27" s="1882"/>
      <c r="AN27" s="1882"/>
      <c r="AO27" s="1882"/>
      <c r="AP27" s="1893"/>
      <c r="AV27" s="154"/>
      <c r="AW27" s="1883"/>
      <c r="AX27" s="1884"/>
      <c r="AY27" s="1884"/>
      <c r="AZ27" s="1884"/>
      <c r="BA27" s="1884"/>
      <c r="BB27" s="1884"/>
      <c r="BC27" s="1884"/>
      <c r="BD27" s="1884"/>
      <c r="BE27" s="1884"/>
      <c r="BF27" s="1884"/>
      <c r="BG27" s="1884"/>
      <c r="BH27" s="1885"/>
      <c r="BI27" s="1893"/>
      <c r="BO27" s="154"/>
      <c r="BP27" s="1883"/>
      <c r="BQ27" s="1884"/>
      <c r="BR27" s="1884"/>
      <c r="BS27" s="1884"/>
      <c r="BT27" s="1884"/>
      <c r="BU27" s="1884"/>
      <c r="BV27" s="1884"/>
      <c r="BW27" s="1884"/>
      <c r="BX27" s="1884"/>
      <c r="BY27" s="1884"/>
      <c r="BZ27" s="1884"/>
      <c r="CA27" s="1885"/>
      <c r="CB27" s="1893"/>
      <c r="CI27" s="154"/>
      <c r="CJ27" s="1883"/>
      <c r="CK27" s="1884"/>
      <c r="CL27" s="1884"/>
      <c r="CM27" s="1884"/>
      <c r="CN27" s="1884"/>
      <c r="CO27" s="1884"/>
      <c r="CP27" s="1884"/>
      <c r="CQ27" s="1884"/>
      <c r="CR27" s="1884"/>
      <c r="CS27" s="1884"/>
      <c r="CT27" s="1884"/>
      <c r="CU27" s="1885"/>
      <c r="CV27" s="1893"/>
      <c r="DL27" s="1908"/>
      <c r="DM27" s="1908"/>
      <c r="DN27" s="1908"/>
      <c r="DO27" s="1908"/>
      <c r="DP27" s="1908"/>
      <c r="DQ27" s="1908"/>
      <c r="DR27" s="1908"/>
      <c r="DS27" s="1908"/>
      <c r="DT27" s="1908"/>
    </row>
    <row r="28" spans="10:124" ht="24" customHeight="1">
      <c r="J28" s="154"/>
      <c r="K28" s="1735"/>
      <c r="L28" s="1736"/>
      <c r="M28" s="1736"/>
      <c r="N28" s="1736"/>
      <c r="O28" s="1736"/>
      <c r="P28" s="1736"/>
      <c r="Q28" s="1736"/>
      <c r="R28" s="1736"/>
      <c r="S28" s="1736"/>
      <c r="T28" s="1736"/>
      <c r="U28" s="1736"/>
      <c r="V28" s="1737"/>
      <c r="W28" s="1893"/>
      <c r="Y28" s="64"/>
      <c r="Z28" s="64"/>
      <c r="AA28" s="64"/>
      <c r="AB28" s="64"/>
      <c r="AC28" s="154"/>
      <c r="AD28" s="1882"/>
      <c r="AE28" s="1882"/>
      <c r="AF28" s="1882"/>
      <c r="AG28" s="1882"/>
      <c r="AH28" s="1882"/>
      <c r="AI28" s="1882"/>
      <c r="AJ28" s="1882"/>
      <c r="AK28" s="1882"/>
      <c r="AL28" s="1882"/>
      <c r="AM28" s="1882"/>
      <c r="AN28" s="1882"/>
      <c r="AO28" s="1882"/>
      <c r="AP28" s="1893"/>
      <c r="AV28" s="154"/>
      <c r="AW28" s="1883"/>
      <c r="AX28" s="1884"/>
      <c r="AY28" s="1884"/>
      <c r="AZ28" s="1884"/>
      <c r="BA28" s="1884"/>
      <c r="BB28" s="1884"/>
      <c r="BC28" s="1884"/>
      <c r="BD28" s="1884"/>
      <c r="BE28" s="1884"/>
      <c r="BF28" s="1884"/>
      <c r="BG28" s="1884"/>
      <c r="BH28" s="1885"/>
      <c r="BI28" s="1893"/>
      <c r="BO28" s="154"/>
      <c r="BP28" s="1883"/>
      <c r="BQ28" s="1884"/>
      <c r="BR28" s="1884"/>
      <c r="BS28" s="1884"/>
      <c r="BT28" s="1884"/>
      <c r="BU28" s="1884"/>
      <c r="BV28" s="1884"/>
      <c r="BW28" s="1884"/>
      <c r="BX28" s="1884"/>
      <c r="BY28" s="1884"/>
      <c r="BZ28" s="1884"/>
      <c r="CA28" s="1885"/>
      <c r="CB28" s="1893"/>
      <c r="CI28" s="154"/>
      <c r="CJ28" s="1883"/>
      <c r="CK28" s="1884"/>
      <c r="CL28" s="1884"/>
      <c r="CM28" s="1884"/>
      <c r="CN28" s="1884"/>
      <c r="CO28" s="1884"/>
      <c r="CP28" s="1884"/>
      <c r="CQ28" s="1884"/>
      <c r="CR28" s="1884"/>
      <c r="CS28" s="1884"/>
      <c r="CT28" s="1884"/>
      <c r="CU28" s="1885"/>
      <c r="CV28" s="1893"/>
      <c r="DL28" s="1908"/>
      <c r="DM28" s="1908"/>
      <c r="DN28" s="1908"/>
      <c r="DO28" s="1908"/>
      <c r="DP28" s="1908"/>
      <c r="DQ28" s="1908"/>
      <c r="DR28" s="1908"/>
      <c r="DS28" s="1908"/>
      <c r="DT28" s="1908"/>
    </row>
    <row r="29" spans="10:124" ht="24" customHeight="1">
      <c r="J29" s="154"/>
      <c r="K29" s="1735"/>
      <c r="L29" s="1736"/>
      <c r="M29" s="1736"/>
      <c r="N29" s="1736"/>
      <c r="O29" s="1736"/>
      <c r="P29" s="1736"/>
      <c r="Q29" s="1736"/>
      <c r="R29" s="1736"/>
      <c r="S29" s="1736"/>
      <c r="T29" s="1736"/>
      <c r="U29" s="1736"/>
      <c r="V29" s="1737"/>
      <c r="W29" s="1893"/>
      <c r="Y29" s="64"/>
      <c r="Z29" s="64"/>
      <c r="AA29" s="64"/>
      <c r="AB29" s="64"/>
      <c r="AC29" s="154"/>
      <c r="AD29" s="1882"/>
      <c r="AE29" s="1882"/>
      <c r="AF29" s="1882"/>
      <c r="AG29" s="1882"/>
      <c r="AH29" s="1882"/>
      <c r="AI29" s="1882"/>
      <c r="AJ29" s="1882"/>
      <c r="AK29" s="1882"/>
      <c r="AL29" s="1882"/>
      <c r="AM29" s="1882"/>
      <c r="AN29" s="1882"/>
      <c r="AO29" s="1882"/>
      <c r="AP29" s="1893"/>
      <c r="AV29" s="154"/>
      <c r="AW29" s="1883"/>
      <c r="AX29" s="1884"/>
      <c r="AY29" s="1884"/>
      <c r="AZ29" s="1884"/>
      <c r="BA29" s="1884"/>
      <c r="BB29" s="1884"/>
      <c r="BC29" s="1884"/>
      <c r="BD29" s="1884"/>
      <c r="BE29" s="1884"/>
      <c r="BF29" s="1884"/>
      <c r="BG29" s="1884"/>
      <c r="BH29" s="1885"/>
      <c r="BI29" s="1893"/>
      <c r="BO29" s="154"/>
      <c r="BP29" s="1883"/>
      <c r="BQ29" s="1884"/>
      <c r="BR29" s="1884"/>
      <c r="BS29" s="1884"/>
      <c r="BT29" s="1884"/>
      <c r="BU29" s="1884"/>
      <c r="BV29" s="1884"/>
      <c r="BW29" s="1884"/>
      <c r="BX29" s="1884"/>
      <c r="BY29" s="1884"/>
      <c r="BZ29" s="1884"/>
      <c r="CA29" s="1885"/>
      <c r="CB29" s="1893"/>
      <c r="CI29" s="154"/>
      <c r="CJ29" s="1883"/>
      <c r="CK29" s="1884"/>
      <c r="CL29" s="1884"/>
      <c r="CM29" s="1884"/>
      <c r="CN29" s="1884"/>
      <c r="CO29" s="1884"/>
      <c r="CP29" s="1884"/>
      <c r="CQ29" s="1884"/>
      <c r="CR29" s="1884"/>
      <c r="CS29" s="1884"/>
      <c r="CT29" s="1884"/>
      <c r="CU29" s="1885"/>
      <c r="CV29" s="1893"/>
      <c r="DL29" s="1908"/>
      <c r="DM29" s="1908"/>
      <c r="DN29" s="1908"/>
      <c r="DO29" s="1908"/>
      <c r="DP29" s="1908"/>
      <c r="DQ29" s="1908"/>
      <c r="DR29" s="1908"/>
      <c r="DS29" s="1908"/>
      <c r="DT29" s="1908"/>
    </row>
    <row r="30" spans="10:124" ht="24" customHeight="1">
      <c r="J30" s="154"/>
      <c r="K30" s="1735"/>
      <c r="L30" s="1736"/>
      <c r="M30" s="1736"/>
      <c r="N30" s="1736"/>
      <c r="O30" s="1736"/>
      <c r="P30" s="1736"/>
      <c r="Q30" s="1736"/>
      <c r="R30" s="1736"/>
      <c r="S30" s="1736"/>
      <c r="T30" s="1736"/>
      <c r="U30" s="1736"/>
      <c r="V30" s="1737"/>
      <c r="W30" s="1893"/>
      <c r="Y30" s="64"/>
      <c r="Z30" s="64"/>
      <c r="AA30" s="64"/>
      <c r="AB30" s="64"/>
      <c r="AC30" s="154"/>
      <c r="AD30" s="1882"/>
      <c r="AE30" s="1882"/>
      <c r="AF30" s="1882"/>
      <c r="AG30" s="1882"/>
      <c r="AH30" s="1882"/>
      <c r="AI30" s="1882"/>
      <c r="AJ30" s="1882"/>
      <c r="AK30" s="1882"/>
      <c r="AL30" s="1882"/>
      <c r="AM30" s="1882"/>
      <c r="AN30" s="1882"/>
      <c r="AO30" s="1882"/>
      <c r="AP30" s="1893"/>
      <c r="AV30" s="154"/>
      <c r="AW30" s="1883"/>
      <c r="AX30" s="1884"/>
      <c r="AY30" s="1884"/>
      <c r="AZ30" s="1884"/>
      <c r="BA30" s="1884"/>
      <c r="BB30" s="1884"/>
      <c r="BC30" s="1884"/>
      <c r="BD30" s="1884"/>
      <c r="BE30" s="1884"/>
      <c r="BF30" s="1884"/>
      <c r="BG30" s="1884"/>
      <c r="BH30" s="1885"/>
      <c r="BI30" s="1893"/>
      <c r="BO30" s="154"/>
      <c r="BP30" s="1883"/>
      <c r="BQ30" s="1884"/>
      <c r="BR30" s="1884"/>
      <c r="BS30" s="1884"/>
      <c r="BT30" s="1884"/>
      <c r="BU30" s="1884"/>
      <c r="BV30" s="1884"/>
      <c r="BW30" s="1884"/>
      <c r="BX30" s="1884"/>
      <c r="BY30" s="1884"/>
      <c r="BZ30" s="1884"/>
      <c r="CA30" s="1885"/>
      <c r="CB30" s="1893"/>
      <c r="CI30" s="154"/>
      <c r="CJ30" s="1883"/>
      <c r="CK30" s="1884"/>
      <c r="CL30" s="1884"/>
      <c r="CM30" s="1884"/>
      <c r="CN30" s="1884"/>
      <c r="CO30" s="1884"/>
      <c r="CP30" s="1884"/>
      <c r="CQ30" s="1884"/>
      <c r="CR30" s="1884"/>
      <c r="CS30" s="1884"/>
      <c r="CT30" s="1884"/>
      <c r="CU30" s="1885"/>
      <c r="CV30" s="1893"/>
      <c r="DL30" s="1908"/>
      <c r="DM30" s="1908"/>
      <c r="DN30" s="1908"/>
      <c r="DO30" s="1908"/>
      <c r="DP30" s="1908"/>
      <c r="DQ30" s="1908"/>
      <c r="DR30" s="1908"/>
      <c r="DS30" s="1908"/>
      <c r="DT30" s="1908"/>
    </row>
    <row r="31" spans="10:124" ht="24" customHeight="1">
      <c r="J31" s="154"/>
      <c r="K31" s="1735"/>
      <c r="L31" s="1736"/>
      <c r="M31" s="1736"/>
      <c r="N31" s="1736"/>
      <c r="O31" s="1736"/>
      <c r="P31" s="1736"/>
      <c r="Q31" s="1736"/>
      <c r="R31" s="1736"/>
      <c r="S31" s="1736"/>
      <c r="T31" s="1736"/>
      <c r="U31" s="1736"/>
      <c r="V31" s="1737"/>
      <c r="W31" s="1893"/>
      <c r="Y31" s="64"/>
      <c r="Z31" s="64"/>
      <c r="AA31" s="64"/>
      <c r="AB31" s="64"/>
      <c r="AC31" s="154"/>
      <c r="AD31" s="1882"/>
      <c r="AE31" s="1882"/>
      <c r="AF31" s="1882"/>
      <c r="AG31" s="1882"/>
      <c r="AH31" s="1882"/>
      <c r="AI31" s="1882"/>
      <c r="AJ31" s="1882"/>
      <c r="AK31" s="1882"/>
      <c r="AL31" s="1882"/>
      <c r="AM31" s="1882"/>
      <c r="AN31" s="1882"/>
      <c r="AO31" s="1882"/>
      <c r="AP31" s="1893"/>
      <c r="AV31" s="154"/>
      <c r="AW31" s="1883"/>
      <c r="AX31" s="1884"/>
      <c r="AY31" s="1884"/>
      <c r="AZ31" s="1884"/>
      <c r="BA31" s="1884"/>
      <c r="BB31" s="1884"/>
      <c r="BC31" s="1884"/>
      <c r="BD31" s="1884"/>
      <c r="BE31" s="1884"/>
      <c r="BF31" s="1884"/>
      <c r="BG31" s="1884"/>
      <c r="BH31" s="1885"/>
      <c r="BI31" s="1893"/>
      <c r="BO31" s="154"/>
      <c r="BP31" s="1883"/>
      <c r="BQ31" s="1884"/>
      <c r="BR31" s="1884"/>
      <c r="BS31" s="1884"/>
      <c r="BT31" s="1884"/>
      <c r="BU31" s="1884"/>
      <c r="BV31" s="1884"/>
      <c r="BW31" s="1884"/>
      <c r="BX31" s="1884"/>
      <c r="BY31" s="1884"/>
      <c r="BZ31" s="1884"/>
      <c r="CA31" s="1885"/>
      <c r="CB31" s="1893"/>
      <c r="CI31" s="154"/>
      <c r="CJ31" s="1883"/>
      <c r="CK31" s="1884"/>
      <c r="CL31" s="1884"/>
      <c r="CM31" s="1884"/>
      <c r="CN31" s="1884"/>
      <c r="CO31" s="1884"/>
      <c r="CP31" s="1884"/>
      <c r="CQ31" s="1884"/>
      <c r="CR31" s="1884"/>
      <c r="CS31" s="1884"/>
      <c r="CT31" s="1884"/>
      <c r="CU31" s="1885"/>
      <c r="CV31" s="1893"/>
    </row>
    <row r="32" spans="10:124" ht="24" customHeight="1">
      <c r="J32" s="154"/>
      <c r="K32" s="1735"/>
      <c r="L32" s="1736"/>
      <c r="M32" s="1736"/>
      <c r="N32" s="1736"/>
      <c r="O32" s="1736"/>
      <c r="P32" s="1736"/>
      <c r="Q32" s="1736"/>
      <c r="R32" s="1736"/>
      <c r="S32" s="1736"/>
      <c r="T32" s="1736"/>
      <c r="U32" s="1736"/>
      <c r="V32" s="1737"/>
      <c r="W32" s="1893"/>
      <c r="Y32" s="64"/>
      <c r="Z32" s="64"/>
      <c r="AA32" s="64"/>
      <c r="AB32" s="64"/>
      <c r="AC32" s="154"/>
      <c r="AD32" s="1882"/>
      <c r="AE32" s="1882"/>
      <c r="AF32" s="1882"/>
      <c r="AG32" s="1882"/>
      <c r="AH32" s="1882"/>
      <c r="AI32" s="1882"/>
      <c r="AJ32" s="1882"/>
      <c r="AK32" s="1882"/>
      <c r="AL32" s="1882"/>
      <c r="AM32" s="1882"/>
      <c r="AN32" s="1882"/>
      <c r="AO32" s="1882"/>
      <c r="AP32" s="1893"/>
      <c r="AV32" s="154"/>
      <c r="AW32" s="1883"/>
      <c r="AX32" s="1884"/>
      <c r="AY32" s="1884"/>
      <c r="AZ32" s="1884"/>
      <c r="BA32" s="1884"/>
      <c r="BB32" s="1884"/>
      <c r="BC32" s="1884"/>
      <c r="BD32" s="1884"/>
      <c r="BE32" s="1884"/>
      <c r="BF32" s="1884"/>
      <c r="BG32" s="1884"/>
      <c r="BH32" s="1885"/>
      <c r="BI32" s="1893"/>
      <c r="BO32" s="154"/>
      <c r="BP32" s="1883"/>
      <c r="BQ32" s="1884"/>
      <c r="BR32" s="1884"/>
      <c r="BS32" s="1884"/>
      <c r="BT32" s="1884"/>
      <c r="BU32" s="1884"/>
      <c r="BV32" s="1884"/>
      <c r="BW32" s="1884"/>
      <c r="BX32" s="1884"/>
      <c r="BY32" s="1884"/>
      <c r="BZ32" s="1884"/>
      <c r="CA32" s="1885"/>
      <c r="CB32" s="1893"/>
      <c r="CI32" s="154"/>
      <c r="CJ32" s="1883"/>
      <c r="CK32" s="1884"/>
      <c r="CL32" s="1884"/>
      <c r="CM32" s="1884"/>
      <c r="CN32" s="1884"/>
      <c r="CO32" s="1884"/>
      <c r="CP32" s="1884"/>
      <c r="CQ32" s="1884"/>
      <c r="CR32" s="1884"/>
      <c r="CS32" s="1884"/>
      <c r="CT32" s="1884"/>
      <c r="CU32" s="1885"/>
      <c r="CV32" s="1893"/>
    </row>
    <row r="33" spans="10:100" ht="24" customHeight="1">
      <c r="J33" s="154"/>
      <c r="K33" s="1735"/>
      <c r="L33" s="1736"/>
      <c r="M33" s="1736"/>
      <c r="N33" s="1736"/>
      <c r="O33" s="1736"/>
      <c r="P33" s="1736"/>
      <c r="Q33" s="1736"/>
      <c r="R33" s="1736"/>
      <c r="S33" s="1736"/>
      <c r="T33" s="1736"/>
      <c r="U33" s="1736"/>
      <c r="V33" s="1737"/>
      <c r="W33" s="1893"/>
      <c r="AC33" s="154"/>
      <c r="AD33" s="1882"/>
      <c r="AE33" s="1882"/>
      <c r="AF33" s="1882"/>
      <c r="AG33" s="1882"/>
      <c r="AH33" s="1882"/>
      <c r="AI33" s="1882"/>
      <c r="AJ33" s="1882"/>
      <c r="AK33" s="1882"/>
      <c r="AL33" s="1882"/>
      <c r="AM33" s="1882"/>
      <c r="AN33" s="1882"/>
      <c r="AO33" s="1882"/>
      <c r="AP33" s="1893"/>
      <c r="AV33" s="154"/>
      <c r="AW33" s="1883"/>
      <c r="AX33" s="1884"/>
      <c r="AY33" s="1884"/>
      <c r="AZ33" s="1884"/>
      <c r="BA33" s="1884"/>
      <c r="BB33" s="1884"/>
      <c r="BC33" s="1884"/>
      <c r="BD33" s="1884"/>
      <c r="BE33" s="1884"/>
      <c r="BF33" s="1884"/>
      <c r="BG33" s="1884"/>
      <c r="BH33" s="1885"/>
      <c r="BI33" s="1893"/>
      <c r="BO33" s="154"/>
      <c r="BP33" s="1883"/>
      <c r="BQ33" s="1884"/>
      <c r="BR33" s="1884"/>
      <c r="BS33" s="1884"/>
      <c r="BT33" s="1884"/>
      <c r="BU33" s="1884"/>
      <c r="BV33" s="1884"/>
      <c r="BW33" s="1884"/>
      <c r="BX33" s="1884"/>
      <c r="BY33" s="1884"/>
      <c r="BZ33" s="1884"/>
      <c r="CA33" s="1885"/>
      <c r="CB33" s="1893"/>
      <c r="CI33" s="154"/>
      <c r="CJ33" s="1883"/>
      <c r="CK33" s="1884"/>
      <c r="CL33" s="1884"/>
      <c r="CM33" s="1884"/>
      <c r="CN33" s="1884"/>
      <c r="CO33" s="1884"/>
      <c r="CP33" s="1884"/>
      <c r="CQ33" s="1884"/>
      <c r="CR33" s="1884"/>
      <c r="CS33" s="1884"/>
      <c r="CT33" s="1884"/>
      <c r="CU33" s="1885"/>
      <c r="CV33" s="1893"/>
    </row>
    <row r="34" spans="10:100" ht="24" customHeight="1">
      <c r="J34" s="154"/>
      <c r="K34" s="1735"/>
      <c r="L34" s="1736"/>
      <c r="M34" s="1736"/>
      <c r="N34" s="1736"/>
      <c r="O34" s="1736"/>
      <c r="P34" s="1736"/>
      <c r="Q34" s="1736"/>
      <c r="R34" s="1736"/>
      <c r="S34" s="1736"/>
      <c r="T34" s="1736"/>
      <c r="U34" s="1736"/>
      <c r="V34" s="1737"/>
      <c r="W34" s="1893"/>
      <c r="AC34" s="154"/>
      <c r="AD34" s="1882"/>
      <c r="AE34" s="1882"/>
      <c r="AF34" s="1882"/>
      <c r="AG34" s="1882"/>
      <c r="AH34" s="1882"/>
      <c r="AI34" s="1882"/>
      <c r="AJ34" s="1882"/>
      <c r="AK34" s="1882"/>
      <c r="AL34" s="1882"/>
      <c r="AM34" s="1882"/>
      <c r="AN34" s="1882"/>
      <c r="AO34" s="1882"/>
      <c r="AP34" s="1893"/>
      <c r="AV34" s="154"/>
      <c r="AW34" s="1883"/>
      <c r="AX34" s="1884"/>
      <c r="AY34" s="1884"/>
      <c r="AZ34" s="1884"/>
      <c r="BA34" s="1884"/>
      <c r="BB34" s="1884"/>
      <c r="BC34" s="1884"/>
      <c r="BD34" s="1884"/>
      <c r="BE34" s="1884"/>
      <c r="BF34" s="1884"/>
      <c r="BG34" s="1884"/>
      <c r="BH34" s="1885"/>
      <c r="BI34" s="1893"/>
      <c r="BO34" s="154"/>
      <c r="BP34" s="1883"/>
      <c r="BQ34" s="1884"/>
      <c r="BR34" s="1884"/>
      <c r="BS34" s="1884"/>
      <c r="BT34" s="1884"/>
      <c r="BU34" s="1884"/>
      <c r="BV34" s="1884"/>
      <c r="BW34" s="1884"/>
      <c r="BX34" s="1884"/>
      <c r="BY34" s="1884"/>
      <c r="BZ34" s="1884"/>
      <c r="CA34" s="1885"/>
      <c r="CB34" s="1893"/>
      <c r="CI34" s="154"/>
      <c r="CJ34" s="1883"/>
      <c r="CK34" s="1884"/>
      <c r="CL34" s="1884"/>
      <c r="CM34" s="1884"/>
      <c r="CN34" s="1884"/>
      <c r="CO34" s="1884"/>
      <c r="CP34" s="1884"/>
      <c r="CQ34" s="1884"/>
      <c r="CR34" s="1884"/>
      <c r="CS34" s="1884"/>
      <c r="CT34" s="1884"/>
      <c r="CU34" s="1885"/>
      <c r="CV34" s="1893"/>
    </row>
    <row r="35" spans="10:100" ht="24" customHeight="1">
      <c r="J35" s="154"/>
      <c r="K35" s="1735"/>
      <c r="L35" s="1736"/>
      <c r="M35" s="1736"/>
      <c r="N35" s="1736"/>
      <c r="O35" s="1736"/>
      <c r="P35" s="1736"/>
      <c r="Q35" s="1736"/>
      <c r="R35" s="1736"/>
      <c r="S35" s="1736"/>
      <c r="T35" s="1736"/>
      <c r="U35" s="1736"/>
      <c r="V35" s="1737"/>
      <c r="W35" s="1893"/>
      <c r="AC35" s="154"/>
      <c r="AD35" s="1882"/>
      <c r="AE35" s="1882"/>
      <c r="AF35" s="1882"/>
      <c r="AG35" s="1882"/>
      <c r="AH35" s="1882"/>
      <c r="AI35" s="1882"/>
      <c r="AJ35" s="1882"/>
      <c r="AK35" s="1882"/>
      <c r="AL35" s="1882"/>
      <c r="AM35" s="1882"/>
      <c r="AN35" s="1882"/>
      <c r="AO35" s="1882"/>
      <c r="AP35" s="1893"/>
      <c r="AV35" s="154"/>
      <c r="AW35" s="1883"/>
      <c r="AX35" s="1884"/>
      <c r="AY35" s="1884"/>
      <c r="AZ35" s="1884"/>
      <c r="BA35" s="1884"/>
      <c r="BB35" s="1884"/>
      <c r="BC35" s="1884"/>
      <c r="BD35" s="1884"/>
      <c r="BE35" s="1884"/>
      <c r="BF35" s="1884"/>
      <c r="BG35" s="1884"/>
      <c r="BH35" s="1885"/>
      <c r="BI35" s="1893"/>
      <c r="BO35" s="154"/>
      <c r="BP35" s="1883"/>
      <c r="BQ35" s="1884"/>
      <c r="BR35" s="1884"/>
      <c r="BS35" s="1884"/>
      <c r="BT35" s="1884"/>
      <c r="BU35" s="1884"/>
      <c r="BV35" s="1884"/>
      <c r="BW35" s="1884"/>
      <c r="BX35" s="1884"/>
      <c r="BY35" s="1884"/>
      <c r="BZ35" s="1884"/>
      <c r="CA35" s="1885"/>
      <c r="CB35" s="1893"/>
      <c r="CI35" s="154"/>
      <c r="CJ35" s="1883"/>
      <c r="CK35" s="1884"/>
      <c r="CL35" s="1884"/>
      <c r="CM35" s="1884"/>
      <c r="CN35" s="1884"/>
      <c r="CO35" s="1884"/>
      <c r="CP35" s="1884"/>
      <c r="CQ35" s="1884"/>
      <c r="CR35" s="1884"/>
      <c r="CS35" s="1884"/>
      <c r="CT35" s="1884"/>
      <c r="CU35" s="1885"/>
      <c r="CV35" s="1893"/>
    </row>
    <row r="36" spans="10:100" ht="24" customHeight="1">
      <c r="J36" s="154"/>
      <c r="K36" s="1735"/>
      <c r="L36" s="1736"/>
      <c r="M36" s="1736"/>
      <c r="N36" s="1736"/>
      <c r="O36" s="1736"/>
      <c r="P36" s="1736"/>
      <c r="Q36" s="1736"/>
      <c r="R36" s="1736"/>
      <c r="S36" s="1736"/>
      <c r="T36" s="1736"/>
      <c r="U36" s="1736"/>
      <c r="V36" s="1737"/>
      <c r="W36" s="1893"/>
      <c r="AC36" s="154"/>
      <c r="AD36" s="1881" t="s">
        <v>1066</v>
      </c>
      <c r="AE36" s="1881"/>
      <c r="AF36" s="1881"/>
      <c r="AG36" s="1881"/>
      <c r="AH36" s="1881"/>
      <c r="AI36" s="1881"/>
      <c r="AJ36" s="1881" t="s">
        <v>1067</v>
      </c>
      <c r="AK36" s="1881"/>
      <c r="AL36" s="1881"/>
      <c r="AM36" s="1881"/>
      <c r="AN36" s="1881"/>
      <c r="AO36" s="1881"/>
      <c r="AP36" s="1893"/>
      <c r="AR36" s="158"/>
      <c r="AS36" s="158"/>
      <c r="AT36" s="158"/>
      <c r="AV36" s="154"/>
      <c r="AW36" s="1883"/>
      <c r="AX36" s="1884"/>
      <c r="AY36" s="1884"/>
      <c r="AZ36" s="1884"/>
      <c r="BA36" s="1884"/>
      <c r="BB36" s="1884"/>
      <c r="BC36" s="1884"/>
      <c r="BD36" s="1884"/>
      <c r="BE36" s="1884"/>
      <c r="BF36" s="1884"/>
      <c r="BG36" s="1884"/>
      <c r="BH36" s="1885"/>
      <c r="BI36" s="1893"/>
      <c r="BO36" s="154"/>
      <c r="BP36" s="1883"/>
      <c r="BQ36" s="1884"/>
      <c r="BR36" s="1884"/>
      <c r="BS36" s="1884"/>
      <c r="BT36" s="1884"/>
      <c r="BU36" s="1884"/>
      <c r="BV36" s="1884"/>
      <c r="BW36" s="1884"/>
      <c r="BX36" s="1884"/>
      <c r="BY36" s="1884"/>
      <c r="BZ36" s="1884"/>
      <c r="CA36" s="1885"/>
      <c r="CB36" s="1893"/>
      <c r="CI36" s="154"/>
      <c r="CJ36" s="1883"/>
      <c r="CK36" s="1884"/>
      <c r="CL36" s="1884"/>
      <c r="CM36" s="1884"/>
      <c r="CN36" s="1884"/>
      <c r="CO36" s="1884"/>
      <c r="CP36" s="1884"/>
      <c r="CQ36" s="1884"/>
      <c r="CR36" s="1884"/>
      <c r="CS36" s="1884"/>
      <c r="CT36" s="1884"/>
      <c r="CU36" s="1885"/>
      <c r="CV36" s="1893"/>
    </row>
    <row r="37" spans="10:100" ht="24" customHeight="1">
      <c r="J37" s="154"/>
      <c r="K37" s="1735"/>
      <c r="L37" s="1736"/>
      <c r="M37" s="1736"/>
      <c r="N37" s="1736"/>
      <c r="O37" s="1736"/>
      <c r="P37" s="1736"/>
      <c r="Q37" s="1736"/>
      <c r="R37" s="1736"/>
      <c r="S37" s="1736"/>
      <c r="T37" s="1736"/>
      <c r="U37" s="1736"/>
      <c r="V37" s="1737"/>
      <c r="W37" s="1893"/>
      <c r="AC37" s="154"/>
      <c r="AD37" s="1881"/>
      <c r="AE37" s="1881"/>
      <c r="AF37" s="1881"/>
      <c r="AG37" s="1881"/>
      <c r="AH37" s="1881"/>
      <c r="AI37" s="1881"/>
      <c r="AJ37" s="1881"/>
      <c r="AK37" s="1881"/>
      <c r="AL37" s="1881"/>
      <c r="AM37" s="1881"/>
      <c r="AN37" s="1881"/>
      <c r="AO37" s="1881"/>
      <c r="AP37" s="1893"/>
      <c r="AR37" s="158"/>
      <c r="AS37" s="158"/>
      <c r="AT37" s="158"/>
      <c r="AV37" s="154"/>
      <c r="AW37" s="1883"/>
      <c r="AX37" s="1884"/>
      <c r="AY37" s="1884"/>
      <c r="AZ37" s="1884"/>
      <c r="BA37" s="1884"/>
      <c r="BB37" s="1884"/>
      <c r="BC37" s="1884"/>
      <c r="BD37" s="1884"/>
      <c r="BE37" s="1884"/>
      <c r="BF37" s="1884"/>
      <c r="BG37" s="1884"/>
      <c r="BH37" s="1885"/>
      <c r="BI37" s="1893"/>
      <c r="BO37" s="154"/>
      <c r="BP37" s="1883"/>
      <c r="BQ37" s="1884"/>
      <c r="BR37" s="1884"/>
      <c r="BS37" s="1884"/>
      <c r="BT37" s="1884"/>
      <c r="BU37" s="1884"/>
      <c r="BV37" s="1884"/>
      <c r="BW37" s="1884"/>
      <c r="BX37" s="1884"/>
      <c r="BY37" s="1884"/>
      <c r="BZ37" s="1884"/>
      <c r="CA37" s="1885"/>
      <c r="CB37" s="1893"/>
      <c r="CI37" s="154"/>
      <c r="CJ37" s="1883"/>
      <c r="CK37" s="1884"/>
      <c r="CL37" s="1884"/>
      <c r="CM37" s="1884"/>
      <c r="CN37" s="1884"/>
      <c r="CO37" s="1884"/>
      <c r="CP37" s="1884"/>
      <c r="CQ37" s="1884"/>
      <c r="CR37" s="1884"/>
      <c r="CS37" s="1884"/>
      <c r="CT37" s="1884"/>
      <c r="CU37" s="1885"/>
      <c r="CV37" s="1893"/>
    </row>
    <row r="38" spans="10:100" ht="24" customHeight="1">
      <c r="J38" s="154"/>
      <c r="K38" s="1759"/>
      <c r="L38" s="1760"/>
      <c r="M38" s="1760"/>
      <c r="N38" s="1760"/>
      <c r="O38" s="1760"/>
      <c r="P38" s="1760"/>
      <c r="Q38" s="1760"/>
      <c r="R38" s="1760"/>
      <c r="S38" s="1760"/>
      <c r="T38" s="1760"/>
      <c r="U38" s="1760"/>
      <c r="V38" s="1799"/>
      <c r="W38" s="1893"/>
      <c r="AC38" s="154"/>
      <c r="AD38" s="1881"/>
      <c r="AE38" s="1881"/>
      <c r="AF38" s="1881"/>
      <c r="AG38" s="1881"/>
      <c r="AH38" s="1881"/>
      <c r="AI38" s="1881"/>
      <c r="AJ38" s="1881"/>
      <c r="AK38" s="1881"/>
      <c r="AL38" s="1881"/>
      <c r="AM38" s="1881"/>
      <c r="AN38" s="1881"/>
      <c r="AO38" s="1881"/>
      <c r="AP38" s="1893"/>
      <c r="AR38" s="158"/>
      <c r="AS38" s="158"/>
      <c r="AT38" s="158"/>
      <c r="AV38" s="154"/>
      <c r="AW38" s="1883"/>
      <c r="AX38" s="1884"/>
      <c r="AY38" s="1884"/>
      <c r="AZ38" s="1884"/>
      <c r="BA38" s="1884"/>
      <c r="BB38" s="1884"/>
      <c r="BC38" s="1884"/>
      <c r="BD38" s="1884"/>
      <c r="BE38" s="1884"/>
      <c r="BF38" s="1884"/>
      <c r="BG38" s="1884"/>
      <c r="BH38" s="1885"/>
      <c r="BI38" s="1893"/>
      <c r="BO38" s="154"/>
      <c r="BP38" s="1883"/>
      <c r="BQ38" s="1884"/>
      <c r="BR38" s="1884"/>
      <c r="BS38" s="1884"/>
      <c r="BT38" s="1884"/>
      <c r="BU38" s="1884"/>
      <c r="BV38" s="1884"/>
      <c r="BW38" s="1884"/>
      <c r="BX38" s="1884"/>
      <c r="BY38" s="1884"/>
      <c r="BZ38" s="1884"/>
      <c r="CA38" s="1885"/>
      <c r="CB38" s="1893"/>
      <c r="CI38" s="154"/>
      <c r="CJ38" s="1883"/>
      <c r="CK38" s="1884"/>
      <c r="CL38" s="1884"/>
      <c r="CM38" s="1884"/>
      <c r="CN38" s="1884"/>
      <c r="CO38" s="1884"/>
      <c r="CP38" s="1884"/>
      <c r="CQ38" s="1884"/>
      <c r="CR38" s="1884"/>
      <c r="CS38" s="1884"/>
      <c r="CT38" s="1884"/>
      <c r="CU38" s="1885"/>
      <c r="CV38" s="1893"/>
    </row>
    <row r="39" spans="10:100" ht="24" customHeight="1">
      <c r="J39" s="154"/>
      <c r="K39" s="159"/>
      <c r="L39" s="160"/>
      <c r="M39" s="160"/>
      <c r="N39" s="160"/>
      <c r="O39" s="160"/>
      <c r="P39" s="160"/>
      <c r="Q39" s="160"/>
      <c r="R39" s="160"/>
      <c r="S39" s="160"/>
      <c r="T39" s="160"/>
      <c r="U39" s="160"/>
      <c r="V39" s="161"/>
      <c r="W39" s="1893"/>
      <c r="AC39" s="154"/>
      <c r="AD39" s="1881"/>
      <c r="AE39" s="1881"/>
      <c r="AF39" s="1881"/>
      <c r="AG39" s="1881"/>
      <c r="AH39" s="1881"/>
      <c r="AI39" s="1881"/>
      <c r="AJ39" s="1881"/>
      <c r="AK39" s="1881"/>
      <c r="AL39" s="1881"/>
      <c r="AM39" s="1881"/>
      <c r="AN39" s="1881"/>
      <c r="AO39" s="1881"/>
      <c r="AP39" s="1893"/>
      <c r="AR39" s="158"/>
      <c r="AS39" s="158"/>
      <c r="AT39" s="158"/>
      <c r="AV39" s="154"/>
      <c r="AW39" s="1883"/>
      <c r="AX39" s="1884"/>
      <c r="AY39" s="1884"/>
      <c r="AZ39" s="1884"/>
      <c r="BA39" s="1884"/>
      <c r="BB39" s="1884"/>
      <c r="BC39" s="1884"/>
      <c r="BD39" s="1884"/>
      <c r="BE39" s="1884"/>
      <c r="BF39" s="1884"/>
      <c r="BG39" s="1884"/>
      <c r="BH39" s="1885"/>
      <c r="BI39" s="1893"/>
      <c r="BO39" s="154"/>
      <c r="BP39" s="1883"/>
      <c r="BQ39" s="1884"/>
      <c r="BR39" s="1884"/>
      <c r="BS39" s="1884"/>
      <c r="BT39" s="1884"/>
      <c r="BU39" s="1884"/>
      <c r="BV39" s="1884"/>
      <c r="BW39" s="1884"/>
      <c r="BX39" s="1884"/>
      <c r="BY39" s="1884"/>
      <c r="BZ39" s="1884"/>
      <c r="CA39" s="1885"/>
      <c r="CB39" s="1893"/>
      <c r="CI39" s="154"/>
      <c r="CJ39" s="1883"/>
      <c r="CK39" s="1884"/>
      <c r="CL39" s="1884"/>
      <c r="CM39" s="1884"/>
      <c r="CN39" s="1884"/>
      <c r="CO39" s="1884"/>
      <c r="CP39" s="1884"/>
      <c r="CQ39" s="1884"/>
      <c r="CR39" s="1884"/>
      <c r="CS39" s="1884"/>
      <c r="CT39" s="1884"/>
      <c r="CU39" s="1885"/>
      <c r="CV39" s="1893"/>
    </row>
    <row r="40" spans="10:100" ht="24" customHeight="1">
      <c r="J40" s="154"/>
      <c r="K40" s="162"/>
      <c r="L40" s="163"/>
      <c r="M40" s="163"/>
      <c r="N40" s="163"/>
      <c r="O40" s="163"/>
      <c r="P40" s="163"/>
      <c r="Q40" s="163"/>
      <c r="R40" s="163"/>
      <c r="S40" s="163"/>
      <c r="T40" s="163"/>
      <c r="U40" s="163"/>
      <c r="V40" s="164"/>
      <c r="W40" s="1893"/>
      <c r="AC40" s="154"/>
      <c r="AD40" s="1883"/>
      <c r="AE40" s="1884"/>
      <c r="AF40" s="1884"/>
      <c r="AG40" s="1884"/>
      <c r="AH40" s="1884"/>
      <c r="AI40" s="1884"/>
      <c r="AJ40" s="1884"/>
      <c r="AK40" s="1884"/>
      <c r="AL40" s="1884"/>
      <c r="AM40" s="1884"/>
      <c r="AN40" s="1884"/>
      <c r="AO40" s="1885"/>
      <c r="AP40" s="1893"/>
      <c r="AR40" s="158"/>
      <c r="AS40" s="158"/>
      <c r="AT40" s="158"/>
      <c r="AV40" s="154"/>
      <c r="AW40" s="1883"/>
      <c r="AX40" s="1884"/>
      <c r="AY40" s="1884"/>
      <c r="AZ40" s="1884"/>
      <c r="BA40" s="1884"/>
      <c r="BB40" s="1884"/>
      <c r="BC40" s="1884"/>
      <c r="BD40" s="1884"/>
      <c r="BE40" s="1884"/>
      <c r="BF40" s="1884"/>
      <c r="BG40" s="1884"/>
      <c r="BH40" s="1885"/>
      <c r="BI40" s="1893"/>
      <c r="BO40" s="154"/>
      <c r="BP40" s="1883"/>
      <c r="BQ40" s="1884"/>
      <c r="BR40" s="1884"/>
      <c r="BS40" s="1884"/>
      <c r="BT40" s="1884"/>
      <c r="BU40" s="1884"/>
      <c r="BV40" s="1884"/>
      <c r="BW40" s="1884"/>
      <c r="BX40" s="1884"/>
      <c r="BY40" s="1884"/>
      <c r="BZ40" s="1884"/>
      <c r="CA40" s="1885"/>
      <c r="CB40" s="1893"/>
      <c r="CI40" s="154"/>
      <c r="CJ40" s="1883"/>
      <c r="CK40" s="1884"/>
      <c r="CL40" s="1884"/>
      <c r="CM40" s="1884"/>
      <c r="CN40" s="1884"/>
      <c r="CO40" s="1884"/>
      <c r="CP40" s="1884"/>
      <c r="CQ40" s="1884"/>
      <c r="CR40" s="1884"/>
      <c r="CS40" s="1884"/>
      <c r="CT40" s="1884"/>
      <c r="CU40" s="1885"/>
      <c r="CV40" s="1893"/>
    </row>
    <row r="41" spans="10:100" ht="24" customHeight="1">
      <c r="J41" s="154"/>
      <c r="K41" s="1735" t="s">
        <v>836</v>
      </c>
      <c r="L41" s="1736"/>
      <c r="M41" s="1736"/>
      <c r="N41" s="1736"/>
      <c r="O41" s="1736"/>
      <c r="P41" s="1736"/>
      <c r="Q41" s="1736"/>
      <c r="R41" s="1736"/>
      <c r="S41" s="1736"/>
      <c r="T41" s="1736"/>
      <c r="U41" s="1736"/>
      <c r="V41" s="1737"/>
      <c r="W41" s="1893"/>
      <c r="AC41" s="154"/>
      <c r="AD41" s="1883"/>
      <c r="AE41" s="1884"/>
      <c r="AF41" s="1884"/>
      <c r="AG41" s="1884"/>
      <c r="AH41" s="1884"/>
      <c r="AI41" s="1884"/>
      <c r="AJ41" s="1884"/>
      <c r="AK41" s="1884"/>
      <c r="AL41" s="1884"/>
      <c r="AM41" s="1884"/>
      <c r="AN41" s="1884"/>
      <c r="AO41" s="1885"/>
      <c r="AP41" s="1893"/>
      <c r="AR41" s="158"/>
      <c r="AS41" s="158"/>
      <c r="AT41" s="158"/>
      <c r="AV41" s="154"/>
      <c r="AW41" s="1883"/>
      <c r="AX41" s="1884"/>
      <c r="AY41" s="1884"/>
      <c r="AZ41" s="1884"/>
      <c r="BA41" s="1884"/>
      <c r="BB41" s="1884"/>
      <c r="BC41" s="1884"/>
      <c r="BD41" s="1884"/>
      <c r="BE41" s="1884"/>
      <c r="BF41" s="1884"/>
      <c r="BG41" s="1884"/>
      <c r="BH41" s="1885"/>
      <c r="BI41" s="1893"/>
      <c r="BO41" s="154"/>
      <c r="BP41" s="1883"/>
      <c r="BQ41" s="1884"/>
      <c r="BR41" s="1884"/>
      <c r="BS41" s="1884"/>
      <c r="BT41" s="1884"/>
      <c r="BU41" s="1884"/>
      <c r="BV41" s="1884"/>
      <c r="BW41" s="1884"/>
      <c r="BX41" s="1884"/>
      <c r="BY41" s="1884"/>
      <c r="BZ41" s="1884"/>
      <c r="CA41" s="1885"/>
      <c r="CB41" s="1893"/>
      <c r="CI41" s="154"/>
      <c r="CJ41" s="1883"/>
      <c r="CK41" s="1884"/>
      <c r="CL41" s="1884"/>
      <c r="CM41" s="1884"/>
      <c r="CN41" s="1884"/>
      <c r="CO41" s="1884"/>
      <c r="CP41" s="1884"/>
      <c r="CQ41" s="1884"/>
      <c r="CR41" s="1884"/>
      <c r="CS41" s="1884"/>
      <c r="CT41" s="1884"/>
      <c r="CU41" s="1885"/>
      <c r="CV41" s="1893"/>
    </row>
    <row r="42" spans="10:100" ht="24" customHeight="1">
      <c r="J42" s="154"/>
      <c r="K42" s="1735"/>
      <c r="L42" s="1736"/>
      <c r="M42" s="1736"/>
      <c r="N42" s="1736"/>
      <c r="O42" s="1736"/>
      <c r="P42" s="1736"/>
      <c r="Q42" s="1736"/>
      <c r="R42" s="1736"/>
      <c r="S42" s="1736"/>
      <c r="T42" s="1736"/>
      <c r="U42" s="1736"/>
      <c r="V42" s="1737"/>
      <c r="W42" s="1893"/>
      <c r="AC42" s="154"/>
      <c r="AD42" s="1883"/>
      <c r="AE42" s="1884"/>
      <c r="AF42" s="1884"/>
      <c r="AG42" s="1884"/>
      <c r="AH42" s="1884"/>
      <c r="AI42" s="1884"/>
      <c r="AJ42" s="1884"/>
      <c r="AK42" s="1884"/>
      <c r="AL42" s="1884"/>
      <c r="AM42" s="1884"/>
      <c r="AN42" s="1884"/>
      <c r="AO42" s="1885"/>
      <c r="AP42" s="1893"/>
      <c r="AR42" s="158"/>
      <c r="AS42" s="158"/>
      <c r="AT42" s="158"/>
      <c r="AV42" s="154"/>
      <c r="AW42" s="1883"/>
      <c r="AX42" s="1884"/>
      <c r="AY42" s="1884"/>
      <c r="AZ42" s="1884"/>
      <c r="BA42" s="1884"/>
      <c r="BB42" s="1884"/>
      <c r="BC42" s="1884"/>
      <c r="BD42" s="1884"/>
      <c r="BE42" s="1884"/>
      <c r="BF42" s="1884"/>
      <c r="BG42" s="1884"/>
      <c r="BH42" s="1885"/>
      <c r="BI42" s="1893"/>
      <c r="BO42" s="154"/>
      <c r="BP42" s="1883"/>
      <c r="BQ42" s="1884"/>
      <c r="BR42" s="1884"/>
      <c r="BS42" s="1884"/>
      <c r="BT42" s="1884"/>
      <c r="BU42" s="1884"/>
      <c r="BV42" s="1884"/>
      <c r="BW42" s="1884"/>
      <c r="BX42" s="1884"/>
      <c r="BY42" s="1884"/>
      <c r="BZ42" s="1884"/>
      <c r="CA42" s="1885"/>
      <c r="CB42" s="1893"/>
      <c r="CI42" s="154"/>
      <c r="CJ42" s="1883"/>
      <c r="CK42" s="1884"/>
      <c r="CL42" s="1884"/>
      <c r="CM42" s="1884"/>
      <c r="CN42" s="1884"/>
      <c r="CO42" s="1884"/>
      <c r="CP42" s="1884"/>
      <c r="CQ42" s="1884"/>
      <c r="CR42" s="1884"/>
      <c r="CS42" s="1884"/>
      <c r="CT42" s="1884"/>
      <c r="CU42" s="1885"/>
      <c r="CV42" s="1893"/>
    </row>
    <row r="43" spans="10:100" ht="24" customHeight="1">
      <c r="J43" s="154"/>
      <c r="K43" s="1735"/>
      <c r="L43" s="1736"/>
      <c r="M43" s="1736"/>
      <c r="N43" s="1736"/>
      <c r="O43" s="1736"/>
      <c r="P43" s="1736"/>
      <c r="Q43" s="1736"/>
      <c r="R43" s="1736"/>
      <c r="S43" s="1736"/>
      <c r="T43" s="1736"/>
      <c r="U43" s="1736"/>
      <c r="V43" s="1737"/>
      <c r="W43" s="1893"/>
      <c r="AC43" s="154"/>
      <c r="AD43" s="1883"/>
      <c r="AE43" s="1884"/>
      <c r="AF43" s="1884"/>
      <c r="AG43" s="1884"/>
      <c r="AH43" s="1884"/>
      <c r="AI43" s="1884"/>
      <c r="AJ43" s="1884"/>
      <c r="AK43" s="1884"/>
      <c r="AL43" s="1884"/>
      <c r="AM43" s="1884"/>
      <c r="AN43" s="1884"/>
      <c r="AO43" s="1885"/>
      <c r="AP43" s="1893"/>
      <c r="AV43" s="154"/>
      <c r="AW43" s="1883"/>
      <c r="AX43" s="1884"/>
      <c r="AY43" s="1884"/>
      <c r="AZ43" s="1884"/>
      <c r="BA43" s="1884"/>
      <c r="BB43" s="1884"/>
      <c r="BC43" s="1884"/>
      <c r="BD43" s="1884"/>
      <c r="BE43" s="1884"/>
      <c r="BF43" s="1884"/>
      <c r="BG43" s="1884"/>
      <c r="BH43" s="1885"/>
      <c r="BI43" s="1893"/>
      <c r="BO43" s="154"/>
      <c r="BP43" s="1883"/>
      <c r="BQ43" s="1884"/>
      <c r="BR43" s="1884"/>
      <c r="BS43" s="1884"/>
      <c r="BT43" s="1884"/>
      <c r="BU43" s="1884"/>
      <c r="BV43" s="1884"/>
      <c r="BW43" s="1884"/>
      <c r="BX43" s="1884"/>
      <c r="BY43" s="1884"/>
      <c r="BZ43" s="1884"/>
      <c r="CA43" s="1885"/>
      <c r="CB43" s="1893"/>
      <c r="CI43" s="154"/>
      <c r="CJ43" s="1883"/>
      <c r="CK43" s="1884"/>
      <c r="CL43" s="1884"/>
      <c r="CM43" s="1884"/>
      <c r="CN43" s="1884"/>
      <c r="CO43" s="1884"/>
      <c r="CP43" s="1884"/>
      <c r="CQ43" s="1884"/>
      <c r="CR43" s="1884"/>
      <c r="CS43" s="1884"/>
      <c r="CT43" s="1884"/>
      <c r="CU43" s="1885"/>
      <c r="CV43" s="1893"/>
    </row>
    <row r="44" spans="10:100" ht="24" customHeight="1">
      <c r="J44" s="154"/>
      <c r="K44" s="1735"/>
      <c r="L44" s="1736"/>
      <c r="M44" s="1736"/>
      <c r="N44" s="1736"/>
      <c r="O44" s="1736"/>
      <c r="P44" s="1736"/>
      <c r="Q44" s="1736"/>
      <c r="R44" s="1736"/>
      <c r="S44" s="1736"/>
      <c r="T44" s="1736"/>
      <c r="U44" s="1736"/>
      <c r="V44" s="1737"/>
      <c r="W44" s="1893"/>
      <c r="AC44" s="154"/>
      <c r="AD44" s="1883"/>
      <c r="AE44" s="1884"/>
      <c r="AF44" s="1884"/>
      <c r="AG44" s="1884"/>
      <c r="AH44" s="1884"/>
      <c r="AI44" s="1884"/>
      <c r="AJ44" s="1884"/>
      <c r="AK44" s="1884"/>
      <c r="AL44" s="1884"/>
      <c r="AM44" s="1884"/>
      <c r="AN44" s="1884"/>
      <c r="AO44" s="1885"/>
      <c r="AP44" s="1893"/>
      <c r="AV44" s="154"/>
      <c r="AW44" s="1883"/>
      <c r="AX44" s="1884"/>
      <c r="AY44" s="1884"/>
      <c r="AZ44" s="1884"/>
      <c r="BA44" s="1884"/>
      <c r="BB44" s="1884"/>
      <c r="BC44" s="1884"/>
      <c r="BD44" s="1884"/>
      <c r="BE44" s="1884"/>
      <c r="BF44" s="1884"/>
      <c r="BG44" s="1884"/>
      <c r="BH44" s="1885"/>
      <c r="BI44" s="1893"/>
      <c r="BO44" s="154"/>
      <c r="BP44" s="1883"/>
      <c r="BQ44" s="1884"/>
      <c r="BR44" s="1884"/>
      <c r="BS44" s="1884"/>
      <c r="BT44" s="1884"/>
      <c r="BU44" s="1884"/>
      <c r="BV44" s="1884"/>
      <c r="BW44" s="1884"/>
      <c r="BX44" s="1884"/>
      <c r="BY44" s="1884"/>
      <c r="BZ44" s="1884"/>
      <c r="CA44" s="1885"/>
      <c r="CB44" s="1893"/>
      <c r="CI44" s="154"/>
      <c r="CJ44" s="1883"/>
      <c r="CK44" s="1884"/>
      <c r="CL44" s="1884"/>
      <c r="CM44" s="1884"/>
      <c r="CN44" s="1884"/>
      <c r="CO44" s="1884"/>
      <c r="CP44" s="1884"/>
      <c r="CQ44" s="1884"/>
      <c r="CR44" s="1884"/>
      <c r="CS44" s="1884"/>
      <c r="CT44" s="1884"/>
      <c r="CU44" s="1885"/>
      <c r="CV44" s="1893"/>
    </row>
    <row r="45" spans="10:100" ht="24" customHeight="1">
      <c r="J45" s="154"/>
      <c r="K45" s="1735"/>
      <c r="L45" s="1736"/>
      <c r="M45" s="1736"/>
      <c r="N45" s="1736"/>
      <c r="O45" s="1736"/>
      <c r="P45" s="1736"/>
      <c r="Q45" s="1736"/>
      <c r="R45" s="1736"/>
      <c r="S45" s="1736"/>
      <c r="T45" s="1736"/>
      <c r="U45" s="1736"/>
      <c r="V45" s="1737"/>
      <c r="W45" s="1893"/>
      <c r="AC45" s="154"/>
      <c r="AD45" s="1883"/>
      <c r="AE45" s="1884"/>
      <c r="AF45" s="1884"/>
      <c r="AG45" s="1884"/>
      <c r="AH45" s="1884"/>
      <c r="AI45" s="1884"/>
      <c r="AJ45" s="1884"/>
      <c r="AK45" s="1884"/>
      <c r="AL45" s="1884"/>
      <c r="AM45" s="1884"/>
      <c r="AN45" s="1884"/>
      <c r="AO45" s="1885"/>
      <c r="AP45" s="1893"/>
      <c r="AV45" s="154"/>
      <c r="AW45" s="1883"/>
      <c r="AX45" s="1884"/>
      <c r="AY45" s="1884"/>
      <c r="AZ45" s="1884"/>
      <c r="BA45" s="1884"/>
      <c r="BB45" s="1884"/>
      <c r="BC45" s="1884"/>
      <c r="BD45" s="1884"/>
      <c r="BE45" s="1884"/>
      <c r="BF45" s="1884"/>
      <c r="BG45" s="1884"/>
      <c r="BH45" s="1885"/>
      <c r="BI45" s="1893"/>
      <c r="BO45" s="154"/>
      <c r="BP45" s="1883"/>
      <c r="BQ45" s="1884"/>
      <c r="BR45" s="1884"/>
      <c r="BS45" s="1884"/>
      <c r="BT45" s="1884"/>
      <c r="BU45" s="1884"/>
      <c r="BV45" s="1884"/>
      <c r="BW45" s="1884"/>
      <c r="BX45" s="1884"/>
      <c r="BY45" s="1884"/>
      <c r="BZ45" s="1884"/>
      <c r="CA45" s="1885"/>
      <c r="CB45" s="1893"/>
      <c r="CI45" s="154"/>
      <c r="CJ45" s="1883"/>
      <c r="CK45" s="1884"/>
      <c r="CL45" s="1884"/>
      <c r="CM45" s="1884"/>
      <c r="CN45" s="1884"/>
      <c r="CO45" s="1884"/>
      <c r="CP45" s="1884"/>
      <c r="CQ45" s="1884"/>
      <c r="CR45" s="1884"/>
      <c r="CS45" s="1884"/>
      <c r="CT45" s="1884"/>
      <c r="CU45" s="1885"/>
      <c r="CV45" s="1893"/>
    </row>
    <row r="46" spans="10:100" ht="24" customHeight="1">
      <c r="J46" s="154"/>
      <c r="K46" s="1735"/>
      <c r="L46" s="1736"/>
      <c r="M46" s="1736"/>
      <c r="N46" s="1736"/>
      <c r="O46" s="1736"/>
      <c r="P46" s="1736"/>
      <c r="Q46" s="1736"/>
      <c r="R46" s="1736"/>
      <c r="S46" s="1736"/>
      <c r="T46" s="1736"/>
      <c r="U46" s="1736"/>
      <c r="V46" s="1737"/>
      <c r="W46" s="1893"/>
      <c r="AC46" s="154"/>
      <c r="AD46" s="1883"/>
      <c r="AE46" s="1884"/>
      <c r="AF46" s="1884"/>
      <c r="AG46" s="1884"/>
      <c r="AH46" s="1884"/>
      <c r="AI46" s="1884"/>
      <c r="AJ46" s="1884"/>
      <c r="AK46" s="1884"/>
      <c r="AL46" s="1884"/>
      <c r="AM46" s="1884"/>
      <c r="AN46" s="1884"/>
      <c r="AO46" s="1885"/>
      <c r="AP46" s="1893"/>
      <c r="AV46" s="154"/>
      <c r="AW46" s="1883"/>
      <c r="AX46" s="1884"/>
      <c r="AY46" s="1884"/>
      <c r="AZ46" s="1884"/>
      <c r="BA46" s="1884"/>
      <c r="BB46" s="1884"/>
      <c r="BC46" s="1884"/>
      <c r="BD46" s="1884"/>
      <c r="BE46" s="1884"/>
      <c r="BF46" s="1884"/>
      <c r="BG46" s="1884"/>
      <c r="BH46" s="1885"/>
      <c r="BI46" s="1893"/>
      <c r="BO46" s="154"/>
      <c r="BP46" s="1883"/>
      <c r="BQ46" s="1884"/>
      <c r="BR46" s="1884"/>
      <c r="BS46" s="1884"/>
      <c r="BT46" s="1884"/>
      <c r="BU46" s="1884"/>
      <c r="BV46" s="1884"/>
      <c r="BW46" s="1884"/>
      <c r="BX46" s="1884"/>
      <c r="BY46" s="1884"/>
      <c r="BZ46" s="1884"/>
      <c r="CA46" s="1885"/>
      <c r="CB46" s="1893"/>
      <c r="CI46" s="154"/>
      <c r="CJ46" s="1883"/>
      <c r="CK46" s="1884"/>
      <c r="CL46" s="1884"/>
      <c r="CM46" s="1884"/>
      <c r="CN46" s="1884"/>
      <c r="CO46" s="1884"/>
      <c r="CP46" s="1884"/>
      <c r="CQ46" s="1884"/>
      <c r="CR46" s="1884"/>
      <c r="CS46" s="1884"/>
      <c r="CT46" s="1884"/>
      <c r="CU46" s="1885"/>
      <c r="CV46" s="1893"/>
    </row>
    <row r="47" spans="10:100" ht="24" customHeight="1">
      <c r="J47" s="154"/>
      <c r="K47" s="1735"/>
      <c r="L47" s="1736"/>
      <c r="M47" s="1736"/>
      <c r="N47" s="1736"/>
      <c r="O47" s="1736"/>
      <c r="P47" s="1736"/>
      <c r="Q47" s="1736"/>
      <c r="R47" s="1736"/>
      <c r="S47" s="1736"/>
      <c r="T47" s="1736"/>
      <c r="U47" s="1736"/>
      <c r="V47" s="1737"/>
      <c r="W47" s="1893"/>
      <c r="AC47" s="154"/>
      <c r="AD47" s="1883"/>
      <c r="AE47" s="1884"/>
      <c r="AF47" s="1884"/>
      <c r="AG47" s="1884"/>
      <c r="AH47" s="1884"/>
      <c r="AI47" s="1884"/>
      <c r="AJ47" s="1884"/>
      <c r="AK47" s="1884"/>
      <c r="AL47" s="1884"/>
      <c r="AM47" s="1884"/>
      <c r="AN47" s="1884"/>
      <c r="AO47" s="1885"/>
      <c r="AP47" s="1893"/>
      <c r="AV47" s="154"/>
      <c r="AW47" s="1883"/>
      <c r="AX47" s="1884"/>
      <c r="AY47" s="1884"/>
      <c r="AZ47" s="1884"/>
      <c r="BA47" s="1884"/>
      <c r="BB47" s="1884"/>
      <c r="BC47" s="1884"/>
      <c r="BD47" s="1884"/>
      <c r="BE47" s="1884"/>
      <c r="BF47" s="1884"/>
      <c r="BG47" s="1884"/>
      <c r="BH47" s="1885"/>
      <c r="BI47" s="1893"/>
      <c r="BO47" s="154"/>
      <c r="BP47" s="1883"/>
      <c r="BQ47" s="1884"/>
      <c r="BR47" s="1884"/>
      <c r="BS47" s="1884"/>
      <c r="BT47" s="1884"/>
      <c r="BU47" s="1884"/>
      <c r="BV47" s="1884"/>
      <c r="BW47" s="1884"/>
      <c r="BX47" s="1884"/>
      <c r="BY47" s="1884"/>
      <c r="BZ47" s="1884"/>
      <c r="CA47" s="1885"/>
      <c r="CB47" s="1893"/>
      <c r="CI47" s="154"/>
      <c r="CJ47" s="1883"/>
      <c r="CK47" s="1884"/>
      <c r="CL47" s="1884"/>
      <c r="CM47" s="1884"/>
      <c r="CN47" s="1884"/>
      <c r="CO47" s="1884"/>
      <c r="CP47" s="1884"/>
      <c r="CQ47" s="1884"/>
      <c r="CR47" s="1884"/>
      <c r="CS47" s="1884"/>
      <c r="CT47" s="1884"/>
      <c r="CU47" s="1885"/>
      <c r="CV47" s="1893"/>
    </row>
    <row r="48" spans="10:100" ht="24" customHeight="1">
      <c r="J48" s="154"/>
      <c r="K48" s="1735"/>
      <c r="L48" s="1736"/>
      <c r="M48" s="1736"/>
      <c r="N48" s="1736"/>
      <c r="O48" s="1736"/>
      <c r="P48" s="1736"/>
      <c r="Q48" s="1736"/>
      <c r="R48" s="1736"/>
      <c r="S48" s="1736"/>
      <c r="T48" s="1736"/>
      <c r="U48" s="1736"/>
      <c r="V48" s="1737"/>
      <c r="W48" s="1893"/>
      <c r="AC48" s="154"/>
      <c r="AD48" s="1883"/>
      <c r="AE48" s="1884"/>
      <c r="AF48" s="1884"/>
      <c r="AG48" s="1884"/>
      <c r="AH48" s="1884"/>
      <c r="AI48" s="1884"/>
      <c r="AJ48" s="1884"/>
      <c r="AK48" s="1884"/>
      <c r="AL48" s="1884"/>
      <c r="AM48" s="1884"/>
      <c r="AN48" s="1884"/>
      <c r="AO48" s="1885"/>
      <c r="AP48" s="1893"/>
      <c r="AV48" s="154"/>
      <c r="AW48" s="1883"/>
      <c r="AX48" s="1884"/>
      <c r="AY48" s="1884"/>
      <c r="AZ48" s="1884"/>
      <c r="BA48" s="1884"/>
      <c r="BB48" s="1884"/>
      <c r="BC48" s="1884"/>
      <c r="BD48" s="1884"/>
      <c r="BE48" s="1884"/>
      <c r="BF48" s="1884"/>
      <c r="BG48" s="1884"/>
      <c r="BH48" s="1885"/>
      <c r="BI48" s="1893"/>
      <c r="BO48" s="154"/>
      <c r="BP48" s="1883"/>
      <c r="BQ48" s="1884"/>
      <c r="BR48" s="1884"/>
      <c r="BS48" s="1884"/>
      <c r="BT48" s="1884"/>
      <c r="BU48" s="1884"/>
      <c r="BV48" s="1884"/>
      <c r="BW48" s="1884"/>
      <c r="BX48" s="1884"/>
      <c r="BY48" s="1884"/>
      <c r="BZ48" s="1884"/>
      <c r="CA48" s="1885"/>
      <c r="CB48" s="1893"/>
      <c r="CI48" s="154"/>
      <c r="CJ48" s="1883"/>
      <c r="CK48" s="1884"/>
      <c r="CL48" s="1884"/>
      <c r="CM48" s="1884"/>
      <c r="CN48" s="1884"/>
      <c r="CO48" s="1884"/>
      <c r="CP48" s="1884"/>
      <c r="CQ48" s="1884"/>
      <c r="CR48" s="1884"/>
      <c r="CS48" s="1884"/>
      <c r="CT48" s="1884"/>
      <c r="CU48" s="1885"/>
      <c r="CV48" s="1893"/>
    </row>
    <row r="49" spans="7:126" ht="24" customHeight="1">
      <c r="J49" s="154"/>
      <c r="K49" s="1735"/>
      <c r="L49" s="1736"/>
      <c r="M49" s="1736"/>
      <c r="N49" s="1736"/>
      <c r="O49" s="1736"/>
      <c r="P49" s="1736"/>
      <c r="Q49" s="1736"/>
      <c r="R49" s="1736"/>
      <c r="S49" s="1736"/>
      <c r="T49" s="1736"/>
      <c r="U49" s="1736"/>
      <c r="V49" s="1737"/>
      <c r="W49" s="1907"/>
      <c r="AC49" s="154"/>
      <c r="AD49" s="1883"/>
      <c r="AE49" s="1884"/>
      <c r="AF49" s="1884"/>
      <c r="AG49" s="1884"/>
      <c r="AH49" s="1884"/>
      <c r="AI49" s="1884"/>
      <c r="AJ49" s="1884"/>
      <c r="AK49" s="1884"/>
      <c r="AL49" s="1884"/>
      <c r="AM49" s="1884"/>
      <c r="AN49" s="1884"/>
      <c r="AO49" s="1885"/>
      <c r="AP49" s="1893"/>
      <c r="AV49" s="154"/>
      <c r="AW49" s="1883"/>
      <c r="AX49" s="1884"/>
      <c r="AY49" s="1884"/>
      <c r="AZ49" s="1884"/>
      <c r="BA49" s="1884"/>
      <c r="BB49" s="1884"/>
      <c r="BC49" s="1884"/>
      <c r="BD49" s="1884"/>
      <c r="BE49" s="1884"/>
      <c r="BF49" s="1884"/>
      <c r="BG49" s="1884"/>
      <c r="BH49" s="1885"/>
      <c r="BI49" s="1893"/>
      <c r="BO49" s="154"/>
      <c r="BP49" s="1883"/>
      <c r="BQ49" s="1884"/>
      <c r="BR49" s="1884"/>
      <c r="BS49" s="1884"/>
      <c r="BT49" s="1884"/>
      <c r="BU49" s="1884"/>
      <c r="BV49" s="1884"/>
      <c r="BW49" s="1884"/>
      <c r="BX49" s="1884"/>
      <c r="BY49" s="1884"/>
      <c r="BZ49" s="1884"/>
      <c r="CA49" s="1885"/>
      <c r="CB49" s="1893"/>
      <c r="CI49" s="154"/>
      <c r="CJ49" s="1883"/>
      <c r="CK49" s="1884"/>
      <c r="CL49" s="1884"/>
      <c r="CM49" s="1884"/>
      <c r="CN49" s="1884"/>
      <c r="CO49" s="1884"/>
      <c r="CP49" s="1884"/>
      <c r="CQ49" s="1884"/>
      <c r="CR49" s="1884"/>
      <c r="CS49" s="1884"/>
      <c r="CT49" s="1884"/>
      <c r="CU49" s="1885"/>
      <c r="CV49" s="1893"/>
    </row>
    <row r="50" spans="7:126" ht="24" customHeight="1">
      <c r="J50" s="154"/>
      <c r="K50" s="1735"/>
      <c r="L50" s="1736"/>
      <c r="M50" s="1736"/>
      <c r="N50" s="1736"/>
      <c r="O50" s="1736"/>
      <c r="P50" s="1736"/>
      <c r="Q50" s="1736"/>
      <c r="R50" s="1736"/>
      <c r="S50" s="1736"/>
      <c r="T50" s="1736"/>
      <c r="U50" s="1736"/>
      <c r="V50" s="1737"/>
      <c r="W50" s="825"/>
      <c r="AC50" s="154"/>
      <c r="AD50" s="1883"/>
      <c r="AE50" s="1884"/>
      <c r="AF50" s="1884"/>
      <c r="AG50" s="1884"/>
      <c r="AH50" s="1884"/>
      <c r="AI50" s="1884"/>
      <c r="AJ50" s="1884"/>
      <c r="AK50" s="1884"/>
      <c r="AL50" s="1884"/>
      <c r="AM50" s="1884"/>
      <c r="AN50" s="1884"/>
      <c r="AO50" s="1885"/>
      <c r="AP50" s="825"/>
      <c r="AV50" s="154"/>
      <c r="AW50" s="1883"/>
      <c r="AX50" s="1884"/>
      <c r="AY50" s="1884"/>
      <c r="AZ50" s="1884"/>
      <c r="BA50" s="1884"/>
      <c r="BB50" s="1884"/>
      <c r="BC50" s="1884"/>
      <c r="BD50" s="1884"/>
      <c r="BE50" s="1884"/>
      <c r="BF50" s="1884"/>
      <c r="BG50" s="1884"/>
      <c r="BH50" s="1885"/>
      <c r="BI50" s="825"/>
      <c r="BO50" s="154"/>
      <c r="BP50" s="1883"/>
      <c r="BQ50" s="1884"/>
      <c r="BR50" s="1884"/>
      <c r="BS50" s="1884"/>
      <c r="BT50" s="1884"/>
      <c r="BU50" s="1884"/>
      <c r="BV50" s="1884"/>
      <c r="BW50" s="1884"/>
      <c r="BX50" s="1884"/>
      <c r="BY50" s="1884"/>
      <c r="BZ50" s="1884"/>
      <c r="CA50" s="1885"/>
      <c r="CB50" s="825"/>
      <c r="CI50" s="154"/>
      <c r="CJ50" s="1883"/>
      <c r="CK50" s="1884"/>
      <c r="CL50" s="1884"/>
      <c r="CM50" s="1884"/>
      <c r="CN50" s="1884"/>
      <c r="CO50" s="1884"/>
      <c r="CP50" s="1884"/>
      <c r="CQ50" s="1884"/>
      <c r="CR50" s="1884"/>
      <c r="CS50" s="1884"/>
      <c r="CT50" s="1884"/>
      <c r="CU50" s="1885"/>
      <c r="CV50" s="825"/>
    </row>
    <row r="51" spans="7:126" ht="24" customHeight="1">
      <c r="G51" s="63"/>
      <c r="H51" s="63"/>
      <c r="I51" s="63"/>
      <c r="J51" s="154"/>
      <c r="K51" s="1759"/>
      <c r="L51" s="1760"/>
      <c r="M51" s="1760"/>
      <c r="N51" s="1760"/>
      <c r="O51" s="1760"/>
      <c r="P51" s="1760"/>
      <c r="Q51" s="1760"/>
      <c r="R51" s="1760"/>
      <c r="S51" s="1760"/>
      <c r="T51" s="1760"/>
      <c r="U51" s="1760"/>
      <c r="V51" s="1799"/>
      <c r="W51" s="826"/>
      <c r="AC51" s="154"/>
      <c r="AD51" s="1886"/>
      <c r="AE51" s="1887"/>
      <c r="AF51" s="1887"/>
      <c r="AG51" s="1887"/>
      <c r="AH51" s="1887"/>
      <c r="AI51" s="1887"/>
      <c r="AJ51" s="1887"/>
      <c r="AK51" s="1887"/>
      <c r="AL51" s="1887"/>
      <c r="AM51" s="1887"/>
      <c r="AN51" s="1887"/>
      <c r="AO51" s="1888"/>
      <c r="AP51" s="826"/>
      <c r="AV51" s="154"/>
      <c r="AW51" s="1886"/>
      <c r="AX51" s="1887"/>
      <c r="AY51" s="1887"/>
      <c r="AZ51" s="1887"/>
      <c r="BA51" s="1887"/>
      <c r="BB51" s="1887"/>
      <c r="BC51" s="1887"/>
      <c r="BD51" s="1887"/>
      <c r="BE51" s="1887"/>
      <c r="BF51" s="1887"/>
      <c r="BG51" s="1887"/>
      <c r="BH51" s="1888"/>
      <c r="BI51" s="826"/>
      <c r="BO51" s="154"/>
      <c r="BP51" s="1886"/>
      <c r="BQ51" s="1887"/>
      <c r="BR51" s="1887"/>
      <c r="BS51" s="1887"/>
      <c r="BT51" s="1887"/>
      <c r="BU51" s="1887"/>
      <c r="BV51" s="1887"/>
      <c r="BW51" s="1887"/>
      <c r="BX51" s="1887"/>
      <c r="BY51" s="1887"/>
      <c r="BZ51" s="1887"/>
      <c r="CA51" s="1888"/>
      <c r="CB51" s="826"/>
      <c r="CI51" s="154"/>
      <c r="CJ51" s="1886"/>
      <c r="CK51" s="1887"/>
      <c r="CL51" s="1887"/>
      <c r="CM51" s="1887"/>
      <c r="CN51" s="1887"/>
      <c r="CO51" s="1887"/>
      <c r="CP51" s="1887"/>
      <c r="CQ51" s="1887"/>
      <c r="CR51" s="1887"/>
      <c r="CS51" s="1887"/>
      <c r="CT51" s="1887"/>
      <c r="CU51" s="1888"/>
      <c r="CV51" s="826"/>
    </row>
    <row r="52" spans="7:126" ht="24" customHeight="1">
      <c r="G52" s="63"/>
      <c r="H52" s="63"/>
      <c r="I52" s="63"/>
      <c r="J52" s="154"/>
      <c r="K52" s="1894"/>
      <c r="L52" s="1894"/>
      <c r="M52" s="1894"/>
      <c r="N52" s="1894"/>
      <c r="O52" s="1894"/>
      <c r="P52" s="1894"/>
      <c r="Q52" s="1894"/>
      <c r="R52" s="1894"/>
      <c r="S52" s="1894"/>
      <c r="T52" s="1894"/>
      <c r="U52" s="1894"/>
      <c r="V52" s="1894"/>
      <c r="W52" s="826"/>
      <c r="AC52" s="154"/>
      <c r="AD52" s="1894"/>
      <c r="AE52" s="1894"/>
      <c r="AF52" s="1894"/>
      <c r="AG52" s="1894"/>
      <c r="AH52" s="1894"/>
      <c r="AI52" s="1894"/>
      <c r="AJ52" s="1894"/>
      <c r="AK52" s="1894"/>
      <c r="AL52" s="1894"/>
      <c r="AM52" s="1894"/>
      <c r="AN52" s="1894"/>
      <c r="AO52" s="1894"/>
      <c r="AP52" s="826"/>
      <c r="AV52" s="154"/>
      <c r="AW52" s="1894"/>
      <c r="AX52" s="1894"/>
      <c r="AY52" s="1894"/>
      <c r="AZ52" s="1894"/>
      <c r="BA52" s="1894"/>
      <c r="BB52" s="1894"/>
      <c r="BC52" s="1894"/>
      <c r="BD52" s="1894"/>
      <c r="BE52" s="1894"/>
      <c r="BF52" s="1894"/>
      <c r="BG52" s="1894"/>
      <c r="BH52" s="1894"/>
      <c r="BI52" s="826"/>
      <c r="BO52" s="154"/>
      <c r="BP52" s="1894"/>
      <c r="BQ52" s="1894"/>
      <c r="BR52" s="1894"/>
      <c r="BS52" s="1894"/>
      <c r="BT52" s="1894"/>
      <c r="BU52" s="1894"/>
      <c r="BV52" s="1894"/>
      <c r="BW52" s="1894"/>
      <c r="BX52" s="1894"/>
      <c r="BY52" s="1894"/>
      <c r="BZ52" s="1894"/>
      <c r="CA52" s="1894"/>
      <c r="CB52" s="826"/>
      <c r="CI52" s="154"/>
      <c r="CJ52" s="1894"/>
      <c r="CK52" s="1894"/>
      <c r="CL52" s="1894"/>
      <c r="CM52" s="1894"/>
      <c r="CN52" s="1894"/>
      <c r="CO52" s="1894"/>
      <c r="CP52" s="1894"/>
      <c r="CQ52" s="1894"/>
      <c r="CR52" s="1894"/>
      <c r="CS52" s="1894"/>
      <c r="CT52" s="1894"/>
      <c r="CU52" s="1894"/>
      <c r="CV52" s="826"/>
    </row>
    <row r="53" spans="7:126" ht="24" customHeight="1" thickBot="1">
      <c r="G53" s="63"/>
      <c r="H53" s="63"/>
      <c r="I53" s="63"/>
      <c r="J53" s="155"/>
      <c r="K53" s="1895"/>
      <c r="L53" s="1895"/>
      <c r="M53" s="1895"/>
      <c r="N53" s="1895"/>
      <c r="O53" s="1895"/>
      <c r="P53" s="1895"/>
      <c r="Q53" s="1895"/>
      <c r="R53" s="1895"/>
      <c r="S53" s="1895"/>
      <c r="T53" s="1895"/>
      <c r="U53" s="1895"/>
      <c r="V53" s="1895"/>
      <c r="W53" s="827"/>
      <c r="AC53" s="155"/>
      <c r="AD53" s="1895"/>
      <c r="AE53" s="1895"/>
      <c r="AF53" s="1895"/>
      <c r="AG53" s="1895"/>
      <c r="AH53" s="1895"/>
      <c r="AI53" s="1895"/>
      <c r="AJ53" s="1895"/>
      <c r="AK53" s="1895"/>
      <c r="AL53" s="1895"/>
      <c r="AM53" s="1895"/>
      <c r="AN53" s="1895"/>
      <c r="AO53" s="1895"/>
      <c r="AP53" s="827"/>
      <c r="AV53" s="155"/>
      <c r="AW53" s="1895"/>
      <c r="AX53" s="1895"/>
      <c r="AY53" s="1895"/>
      <c r="AZ53" s="1895"/>
      <c r="BA53" s="1895"/>
      <c r="BB53" s="1895"/>
      <c r="BC53" s="1895"/>
      <c r="BD53" s="1895"/>
      <c r="BE53" s="1895"/>
      <c r="BF53" s="1895"/>
      <c r="BG53" s="1895"/>
      <c r="BH53" s="1895"/>
      <c r="BI53" s="827"/>
      <c r="BO53" s="155"/>
      <c r="BP53" s="1895"/>
      <c r="BQ53" s="1895"/>
      <c r="BR53" s="1895"/>
      <c r="BS53" s="1895"/>
      <c r="BT53" s="1895"/>
      <c r="BU53" s="1895"/>
      <c r="BV53" s="1895"/>
      <c r="BW53" s="1895"/>
      <c r="BX53" s="1895"/>
      <c r="BY53" s="1895"/>
      <c r="BZ53" s="1895"/>
      <c r="CA53" s="1895"/>
      <c r="CB53" s="827"/>
      <c r="CI53" s="155"/>
      <c r="CJ53" s="1895"/>
      <c r="CK53" s="1895"/>
      <c r="CL53" s="1895"/>
      <c r="CM53" s="1895"/>
      <c r="CN53" s="1895"/>
      <c r="CO53" s="1895"/>
      <c r="CP53" s="1895"/>
      <c r="CQ53" s="1895"/>
      <c r="CR53" s="1895"/>
      <c r="CS53" s="1895"/>
      <c r="CT53" s="1895"/>
      <c r="CU53" s="1895"/>
      <c r="CV53" s="827"/>
    </row>
    <row r="57" spans="7:126" ht="24" customHeight="1">
      <c r="J57" s="1894"/>
      <c r="K57" s="1035"/>
      <c r="L57" s="1797"/>
      <c r="M57" s="1797"/>
      <c r="N57" s="1797"/>
      <c r="O57" s="1797"/>
      <c r="P57" s="1797"/>
      <c r="Q57" s="1797"/>
      <c r="R57" s="1797"/>
      <c r="S57" s="1797"/>
      <c r="T57" s="1797"/>
      <c r="U57" s="1797"/>
      <c r="V57" s="1036"/>
      <c r="W57" s="825"/>
      <c r="AC57" s="1894"/>
      <c r="AD57" s="1035"/>
      <c r="AE57" s="1797"/>
      <c r="AF57" s="1797"/>
      <c r="AG57" s="1797"/>
      <c r="AH57" s="1797"/>
      <c r="AI57" s="1797"/>
      <c r="AJ57" s="1797"/>
      <c r="AK57" s="1797"/>
      <c r="AL57" s="1797"/>
      <c r="AM57" s="1797"/>
      <c r="AN57" s="1797"/>
      <c r="AO57" s="1036"/>
      <c r="AP57" s="825"/>
      <c r="AV57" s="1894"/>
      <c r="AW57" s="1035"/>
      <c r="AX57" s="1797"/>
      <c r="AY57" s="1797"/>
      <c r="AZ57" s="1797"/>
      <c r="BA57" s="1797"/>
      <c r="BB57" s="1797"/>
      <c r="BC57" s="1797"/>
      <c r="BD57" s="1797"/>
      <c r="BE57" s="1797"/>
      <c r="BF57" s="1797"/>
      <c r="BG57" s="1797"/>
      <c r="BH57" s="1036"/>
      <c r="BI57" s="825"/>
      <c r="BO57" s="1894"/>
      <c r="BP57" s="1035"/>
      <c r="BQ57" s="1797"/>
      <c r="BR57" s="1797"/>
      <c r="BS57" s="1797"/>
      <c r="BT57" s="1797"/>
      <c r="BU57" s="1797"/>
      <c r="BV57" s="1797"/>
      <c r="BW57" s="1797"/>
      <c r="BX57" s="1797"/>
      <c r="BY57" s="1797"/>
      <c r="BZ57" s="1797"/>
      <c r="CA57" s="1036"/>
      <c r="CB57" s="825"/>
      <c r="CI57" s="1894"/>
      <c r="CJ57" s="1035"/>
      <c r="CK57" s="1797"/>
      <c r="CL57" s="1797"/>
      <c r="CM57" s="1797"/>
      <c r="CN57" s="1797"/>
      <c r="CO57" s="1797"/>
      <c r="CP57" s="1797"/>
      <c r="CQ57" s="1797"/>
      <c r="CR57" s="1797"/>
      <c r="CS57" s="1797"/>
      <c r="CT57" s="1797"/>
      <c r="CU57" s="1036"/>
      <c r="CV57" s="825"/>
    </row>
    <row r="58" spans="7:126" ht="24" customHeight="1" thickBot="1">
      <c r="J58" s="1896"/>
      <c r="K58" s="1039"/>
      <c r="L58" s="1889"/>
      <c r="M58" s="1889"/>
      <c r="N58" s="1889"/>
      <c r="O58" s="1889"/>
      <c r="P58" s="1889"/>
      <c r="Q58" s="1889"/>
      <c r="R58" s="1889"/>
      <c r="S58" s="1889"/>
      <c r="T58" s="1889"/>
      <c r="U58" s="1889"/>
      <c r="V58" s="1040"/>
      <c r="W58" s="827"/>
      <c r="AC58" s="1896"/>
      <c r="AD58" s="1039"/>
      <c r="AE58" s="1889"/>
      <c r="AF58" s="1889"/>
      <c r="AG58" s="1889"/>
      <c r="AH58" s="1889"/>
      <c r="AI58" s="1889"/>
      <c r="AJ58" s="1889"/>
      <c r="AK58" s="1889"/>
      <c r="AL58" s="1889"/>
      <c r="AM58" s="1889"/>
      <c r="AN58" s="1889"/>
      <c r="AO58" s="1040"/>
      <c r="AP58" s="827"/>
      <c r="AV58" s="1896"/>
      <c r="AW58" s="1039"/>
      <c r="AX58" s="1889"/>
      <c r="AY58" s="1889"/>
      <c r="AZ58" s="1889"/>
      <c r="BA58" s="1889"/>
      <c r="BB58" s="1889"/>
      <c r="BC58" s="1889"/>
      <c r="BD58" s="1889"/>
      <c r="BE58" s="1889"/>
      <c r="BF58" s="1889"/>
      <c r="BG58" s="1889"/>
      <c r="BH58" s="1040"/>
      <c r="BI58" s="827"/>
      <c r="BO58" s="1896"/>
      <c r="BP58" s="1039"/>
      <c r="BQ58" s="1889"/>
      <c r="BR58" s="1889"/>
      <c r="BS58" s="1889"/>
      <c r="BT58" s="1889"/>
      <c r="BU58" s="1889"/>
      <c r="BV58" s="1889"/>
      <c r="BW58" s="1889"/>
      <c r="BX58" s="1889"/>
      <c r="BY58" s="1889"/>
      <c r="BZ58" s="1889"/>
      <c r="CA58" s="1040"/>
      <c r="CB58" s="827"/>
      <c r="CI58" s="1896"/>
      <c r="CJ58" s="1039"/>
      <c r="CK58" s="1889"/>
      <c r="CL58" s="1889"/>
      <c r="CM58" s="1889"/>
      <c r="CN58" s="1889"/>
      <c r="CO58" s="1889"/>
      <c r="CP58" s="1889"/>
      <c r="CQ58" s="1889"/>
      <c r="CR58" s="1889"/>
      <c r="CS58" s="1889"/>
      <c r="CT58" s="1889"/>
      <c r="CU58" s="1040"/>
      <c r="CV58" s="827"/>
      <c r="DM58" s="1385" t="s">
        <v>830</v>
      </c>
      <c r="DN58" s="1385"/>
      <c r="DO58" s="1385"/>
      <c r="DP58" s="1385"/>
      <c r="DQ58" s="1385"/>
      <c r="DR58" s="1385"/>
      <c r="DS58" s="1385"/>
      <c r="DT58" s="1385"/>
      <c r="DU58" s="1385"/>
      <c r="DV58" s="1049"/>
    </row>
    <row r="59" spans="7:126" ht="24" customHeight="1">
      <c r="J59" s="154"/>
      <c r="K59" s="1897"/>
      <c r="L59" s="1898"/>
      <c r="M59" s="1898"/>
      <c r="N59" s="1898"/>
      <c r="O59" s="1898"/>
      <c r="P59" s="1898"/>
      <c r="Q59" s="1898"/>
      <c r="R59" s="1898"/>
      <c r="S59" s="1898"/>
      <c r="T59" s="1898"/>
      <c r="U59" s="1898"/>
      <c r="V59" s="1899"/>
      <c r="W59" s="1890" t="s">
        <v>466</v>
      </c>
      <c r="AC59" s="154"/>
      <c r="AD59" s="1897"/>
      <c r="AE59" s="1898"/>
      <c r="AF59" s="1898"/>
      <c r="AG59" s="1898"/>
      <c r="AH59" s="1898"/>
      <c r="AI59" s="1898"/>
      <c r="AJ59" s="1898"/>
      <c r="AK59" s="1898"/>
      <c r="AL59" s="1898"/>
      <c r="AM59" s="1898"/>
      <c r="AN59" s="1898"/>
      <c r="AO59" s="1899"/>
      <c r="AP59" s="1890" t="s">
        <v>466</v>
      </c>
      <c r="AV59" s="154"/>
      <c r="AW59" s="1897"/>
      <c r="AX59" s="1898"/>
      <c r="AY59" s="1898"/>
      <c r="AZ59" s="1898"/>
      <c r="BA59" s="1898"/>
      <c r="BB59" s="1898"/>
      <c r="BC59" s="1898"/>
      <c r="BD59" s="1898"/>
      <c r="BE59" s="1898"/>
      <c r="BF59" s="1898"/>
      <c r="BG59" s="1898"/>
      <c r="BH59" s="1899"/>
      <c r="BI59" s="1890" t="s">
        <v>466</v>
      </c>
      <c r="BO59" s="154"/>
      <c r="BP59" s="1897"/>
      <c r="BQ59" s="1898"/>
      <c r="BR59" s="1898"/>
      <c r="BS59" s="1898"/>
      <c r="BT59" s="1898"/>
      <c r="BU59" s="1898"/>
      <c r="BV59" s="1898"/>
      <c r="BW59" s="1898"/>
      <c r="BX59" s="1898"/>
      <c r="BY59" s="1898"/>
      <c r="BZ59" s="1898"/>
      <c r="CA59" s="1899"/>
      <c r="CB59" s="1890" t="s">
        <v>466</v>
      </c>
      <c r="CI59" s="154"/>
      <c r="CJ59" s="1897"/>
      <c r="CK59" s="1898"/>
      <c r="CL59" s="1898"/>
      <c r="CM59" s="1898"/>
      <c r="CN59" s="1898"/>
      <c r="CO59" s="1898"/>
      <c r="CP59" s="1898"/>
      <c r="CQ59" s="1898"/>
      <c r="CR59" s="1898"/>
      <c r="CS59" s="1898"/>
      <c r="CT59" s="1898"/>
      <c r="CU59" s="1899"/>
      <c r="CV59" s="1890" t="s">
        <v>466</v>
      </c>
      <c r="DM59" s="1385"/>
      <c r="DN59" s="1385"/>
      <c r="DO59" s="1385"/>
      <c r="DP59" s="1385"/>
      <c r="DQ59" s="1385"/>
      <c r="DR59" s="1385"/>
      <c r="DS59" s="1385"/>
      <c r="DT59" s="1385"/>
      <c r="DU59" s="1385"/>
      <c r="DV59" s="1049"/>
    </row>
    <row r="60" spans="7:126" ht="24" customHeight="1">
      <c r="J60" s="154"/>
      <c r="K60" s="1883"/>
      <c r="L60" s="1884"/>
      <c r="M60" s="1884"/>
      <c r="N60" s="1884"/>
      <c r="O60" s="1884"/>
      <c r="P60" s="1884"/>
      <c r="Q60" s="1884"/>
      <c r="R60" s="1884"/>
      <c r="S60" s="1884"/>
      <c r="T60" s="1884"/>
      <c r="U60" s="1884"/>
      <c r="V60" s="1885"/>
      <c r="W60" s="1891"/>
      <c r="AC60" s="154"/>
      <c r="AD60" s="1883"/>
      <c r="AE60" s="1884"/>
      <c r="AF60" s="1884"/>
      <c r="AG60" s="1884"/>
      <c r="AH60" s="1884"/>
      <c r="AI60" s="1884"/>
      <c r="AJ60" s="1884"/>
      <c r="AK60" s="1884"/>
      <c r="AL60" s="1884"/>
      <c r="AM60" s="1884"/>
      <c r="AN60" s="1884"/>
      <c r="AO60" s="1885"/>
      <c r="AP60" s="1891"/>
      <c r="AV60" s="154"/>
      <c r="AW60" s="1883"/>
      <c r="AX60" s="1884"/>
      <c r="AY60" s="1884"/>
      <c r="AZ60" s="1884"/>
      <c r="BA60" s="1884"/>
      <c r="BB60" s="1884"/>
      <c r="BC60" s="1884"/>
      <c r="BD60" s="1884"/>
      <c r="BE60" s="1884"/>
      <c r="BF60" s="1884"/>
      <c r="BG60" s="1884"/>
      <c r="BH60" s="1885"/>
      <c r="BI60" s="1891"/>
      <c r="BO60" s="154"/>
      <c r="BP60" s="1883"/>
      <c r="BQ60" s="1884"/>
      <c r="BR60" s="1884"/>
      <c r="BS60" s="1884"/>
      <c r="BT60" s="1884"/>
      <c r="BU60" s="1884"/>
      <c r="BV60" s="1884"/>
      <c r="BW60" s="1884"/>
      <c r="BX60" s="1884"/>
      <c r="BY60" s="1884"/>
      <c r="BZ60" s="1884"/>
      <c r="CA60" s="1885"/>
      <c r="CB60" s="1891"/>
      <c r="CI60" s="154"/>
      <c r="CJ60" s="1883"/>
      <c r="CK60" s="1884"/>
      <c r="CL60" s="1884"/>
      <c r="CM60" s="1884"/>
      <c r="CN60" s="1884"/>
      <c r="CO60" s="1884"/>
      <c r="CP60" s="1884"/>
      <c r="CQ60" s="1884"/>
      <c r="CR60" s="1884"/>
      <c r="CS60" s="1884"/>
      <c r="CT60" s="1884"/>
      <c r="CU60" s="1885"/>
      <c r="CV60" s="1891"/>
      <c r="DM60" s="1386"/>
      <c r="DN60" s="1386"/>
      <c r="DO60" s="1386"/>
      <c r="DP60" s="1386"/>
      <c r="DQ60" s="1386"/>
      <c r="DR60" s="1386"/>
      <c r="DS60" s="1386"/>
      <c r="DT60" s="1386"/>
      <c r="DU60" s="1386"/>
      <c r="DV60" s="1386"/>
    </row>
    <row r="61" spans="7:126" ht="24" customHeight="1">
      <c r="J61" s="154"/>
      <c r="K61" s="1883"/>
      <c r="L61" s="1884"/>
      <c r="M61" s="1884"/>
      <c r="N61" s="1884"/>
      <c r="O61" s="1884"/>
      <c r="P61" s="1884"/>
      <c r="Q61" s="1884"/>
      <c r="R61" s="1884"/>
      <c r="S61" s="1884"/>
      <c r="T61" s="1884"/>
      <c r="U61" s="1884"/>
      <c r="V61" s="1885"/>
      <c r="W61" s="1892"/>
      <c r="AC61" s="154"/>
      <c r="AD61" s="1883"/>
      <c r="AE61" s="1884"/>
      <c r="AF61" s="1884"/>
      <c r="AG61" s="1884"/>
      <c r="AH61" s="1884"/>
      <c r="AI61" s="1884"/>
      <c r="AJ61" s="1884"/>
      <c r="AK61" s="1884"/>
      <c r="AL61" s="1884"/>
      <c r="AM61" s="1884"/>
      <c r="AN61" s="1884"/>
      <c r="AO61" s="1885"/>
      <c r="AP61" s="1892"/>
      <c r="AV61" s="154"/>
      <c r="AW61" s="1883"/>
      <c r="AX61" s="1884"/>
      <c r="AY61" s="1884"/>
      <c r="AZ61" s="1884"/>
      <c r="BA61" s="1884"/>
      <c r="BB61" s="1884"/>
      <c r="BC61" s="1884"/>
      <c r="BD61" s="1884"/>
      <c r="BE61" s="1884"/>
      <c r="BF61" s="1884"/>
      <c r="BG61" s="1884"/>
      <c r="BH61" s="1885"/>
      <c r="BI61" s="1892"/>
      <c r="BO61" s="154"/>
      <c r="BP61" s="1883"/>
      <c r="BQ61" s="1884"/>
      <c r="BR61" s="1884"/>
      <c r="BS61" s="1884"/>
      <c r="BT61" s="1884"/>
      <c r="BU61" s="1884"/>
      <c r="BV61" s="1884"/>
      <c r="BW61" s="1884"/>
      <c r="BX61" s="1884"/>
      <c r="BY61" s="1884"/>
      <c r="BZ61" s="1884"/>
      <c r="CA61" s="1885"/>
      <c r="CB61" s="1892"/>
      <c r="CI61" s="154"/>
      <c r="CJ61" s="1883"/>
      <c r="CK61" s="1884"/>
      <c r="CL61" s="1884"/>
      <c r="CM61" s="1884"/>
      <c r="CN61" s="1884"/>
      <c r="CO61" s="1884"/>
      <c r="CP61" s="1884"/>
      <c r="CQ61" s="1884"/>
      <c r="CR61" s="1884"/>
      <c r="CS61" s="1884"/>
      <c r="CT61" s="1884"/>
      <c r="CU61" s="1885"/>
      <c r="CV61" s="1892"/>
      <c r="DM61" s="1386"/>
      <c r="DN61" s="1386"/>
      <c r="DO61" s="1386"/>
      <c r="DP61" s="1386"/>
      <c r="DQ61" s="1386"/>
      <c r="DR61" s="1386"/>
      <c r="DS61" s="1386"/>
      <c r="DT61" s="1386"/>
      <c r="DU61" s="1386"/>
      <c r="DV61" s="1386"/>
    </row>
    <row r="62" spans="7:126" ht="24" customHeight="1">
      <c r="J62" s="154"/>
      <c r="K62" s="1883"/>
      <c r="L62" s="1884"/>
      <c r="M62" s="1884"/>
      <c r="N62" s="1884"/>
      <c r="O62" s="1884"/>
      <c r="P62" s="1884"/>
      <c r="Q62" s="1884"/>
      <c r="R62" s="1884"/>
      <c r="S62" s="1884"/>
      <c r="T62" s="1884"/>
      <c r="U62" s="1884"/>
      <c r="V62" s="1885"/>
      <c r="W62" s="1893"/>
      <c r="AC62" s="154"/>
      <c r="AD62" s="1883"/>
      <c r="AE62" s="1884"/>
      <c r="AF62" s="1884"/>
      <c r="AG62" s="1884"/>
      <c r="AH62" s="1884"/>
      <c r="AI62" s="1884"/>
      <c r="AJ62" s="1884"/>
      <c r="AK62" s="1884"/>
      <c r="AL62" s="1884"/>
      <c r="AM62" s="1884"/>
      <c r="AN62" s="1884"/>
      <c r="AO62" s="1885"/>
      <c r="AP62" s="1893"/>
      <c r="AV62" s="154"/>
      <c r="AW62" s="1883"/>
      <c r="AX62" s="1884"/>
      <c r="AY62" s="1884"/>
      <c r="AZ62" s="1884"/>
      <c r="BA62" s="1884"/>
      <c r="BB62" s="1884"/>
      <c r="BC62" s="1884"/>
      <c r="BD62" s="1884"/>
      <c r="BE62" s="1884"/>
      <c r="BF62" s="1884"/>
      <c r="BG62" s="1884"/>
      <c r="BH62" s="1885"/>
      <c r="BI62" s="1893"/>
      <c r="BO62" s="154"/>
      <c r="BP62" s="1883"/>
      <c r="BQ62" s="1884"/>
      <c r="BR62" s="1884"/>
      <c r="BS62" s="1884"/>
      <c r="BT62" s="1884"/>
      <c r="BU62" s="1884"/>
      <c r="BV62" s="1884"/>
      <c r="BW62" s="1884"/>
      <c r="BX62" s="1884"/>
      <c r="BY62" s="1884"/>
      <c r="BZ62" s="1884"/>
      <c r="CA62" s="1885"/>
      <c r="CB62" s="1893"/>
      <c r="CI62" s="154"/>
      <c r="CJ62" s="1883"/>
      <c r="CK62" s="1884"/>
      <c r="CL62" s="1884"/>
      <c r="CM62" s="1884"/>
      <c r="CN62" s="1884"/>
      <c r="CO62" s="1884"/>
      <c r="CP62" s="1884"/>
      <c r="CQ62" s="1884"/>
      <c r="CR62" s="1884"/>
      <c r="CS62" s="1884"/>
      <c r="CT62" s="1884"/>
      <c r="CU62" s="1885"/>
      <c r="CV62" s="1893"/>
      <c r="DM62" s="1386"/>
      <c r="DN62" s="1386"/>
      <c r="DO62" s="1386"/>
      <c r="DP62" s="1386"/>
      <c r="DQ62" s="1386"/>
      <c r="DR62" s="1386"/>
      <c r="DS62" s="1386"/>
      <c r="DT62" s="1386"/>
      <c r="DU62" s="1386"/>
      <c r="DV62" s="1386"/>
    </row>
    <row r="63" spans="7:126" ht="24" customHeight="1">
      <c r="J63" s="154"/>
      <c r="K63" s="1883"/>
      <c r="L63" s="1884"/>
      <c r="M63" s="1884"/>
      <c r="N63" s="1884"/>
      <c r="O63" s="1884"/>
      <c r="P63" s="1884"/>
      <c r="Q63" s="1884"/>
      <c r="R63" s="1884"/>
      <c r="S63" s="1884"/>
      <c r="T63" s="1884"/>
      <c r="U63" s="1884"/>
      <c r="V63" s="1885"/>
      <c r="W63" s="1893"/>
      <c r="AC63" s="154"/>
      <c r="AD63" s="1883"/>
      <c r="AE63" s="1884"/>
      <c r="AF63" s="1884"/>
      <c r="AG63" s="1884"/>
      <c r="AH63" s="1884"/>
      <c r="AI63" s="1884"/>
      <c r="AJ63" s="1884"/>
      <c r="AK63" s="1884"/>
      <c r="AL63" s="1884"/>
      <c r="AM63" s="1884"/>
      <c r="AN63" s="1884"/>
      <c r="AO63" s="1885"/>
      <c r="AP63" s="1893"/>
      <c r="AV63" s="154"/>
      <c r="AW63" s="1883"/>
      <c r="AX63" s="1884"/>
      <c r="AY63" s="1884"/>
      <c r="AZ63" s="1884"/>
      <c r="BA63" s="1884"/>
      <c r="BB63" s="1884"/>
      <c r="BC63" s="1884"/>
      <c r="BD63" s="1884"/>
      <c r="BE63" s="1884"/>
      <c r="BF63" s="1884"/>
      <c r="BG63" s="1884"/>
      <c r="BH63" s="1885"/>
      <c r="BI63" s="1893"/>
      <c r="BO63" s="154"/>
      <c r="BP63" s="1883"/>
      <c r="BQ63" s="1884"/>
      <c r="BR63" s="1884"/>
      <c r="BS63" s="1884"/>
      <c r="BT63" s="1884"/>
      <c r="BU63" s="1884"/>
      <c r="BV63" s="1884"/>
      <c r="BW63" s="1884"/>
      <c r="BX63" s="1884"/>
      <c r="BY63" s="1884"/>
      <c r="BZ63" s="1884"/>
      <c r="CA63" s="1885"/>
      <c r="CB63" s="1893"/>
      <c r="CI63" s="154"/>
      <c r="CJ63" s="1883"/>
      <c r="CK63" s="1884"/>
      <c r="CL63" s="1884"/>
      <c r="CM63" s="1884"/>
      <c r="CN63" s="1884"/>
      <c r="CO63" s="1884"/>
      <c r="CP63" s="1884"/>
      <c r="CQ63" s="1884"/>
      <c r="CR63" s="1884"/>
      <c r="CS63" s="1884"/>
      <c r="CT63" s="1884"/>
      <c r="CU63" s="1885"/>
      <c r="CV63" s="1893"/>
      <c r="DM63" s="1386"/>
      <c r="DN63" s="1386"/>
      <c r="DO63" s="1386"/>
      <c r="DP63" s="1386"/>
      <c r="DQ63" s="1386"/>
      <c r="DR63" s="1386"/>
      <c r="DS63" s="1386"/>
      <c r="DT63" s="1386"/>
      <c r="DU63" s="1386"/>
      <c r="DV63" s="1386"/>
    </row>
    <row r="64" spans="7:126" ht="24" customHeight="1">
      <c r="J64" s="154"/>
      <c r="K64" s="1883"/>
      <c r="L64" s="1884"/>
      <c r="M64" s="1884"/>
      <c r="N64" s="1884"/>
      <c r="O64" s="1884"/>
      <c r="P64" s="1884"/>
      <c r="Q64" s="1884"/>
      <c r="R64" s="1884"/>
      <c r="S64" s="1884"/>
      <c r="T64" s="1884"/>
      <c r="U64" s="1884"/>
      <c r="V64" s="1885"/>
      <c r="W64" s="1893"/>
      <c r="AC64" s="154"/>
      <c r="AD64" s="1883"/>
      <c r="AE64" s="1884"/>
      <c r="AF64" s="1884"/>
      <c r="AG64" s="1884"/>
      <c r="AH64" s="1884"/>
      <c r="AI64" s="1884"/>
      <c r="AJ64" s="1884"/>
      <c r="AK64" s="1884"/>
      <c r="AL64" s="1884"/>
      <c r="AM64" s="1884"/>
      <c r="AN64" s="1884"/>
      <c r="AO64" s="1885"/>
      <c r="AP64" s="1893"/>
      <c r="AV64" s="154"/>
      <c r="AW64" s="1883"/>
      <c r="AX64" s="1884"/>
      <c r="AY64" s="1884"/>
      <c r="AZ64" s="1884"/>
      <c r="BA64" s="1884"/>
      <c r="BB64" s="1884"/>
      <c r="BC64" s="1884"/>
      <c r="BD64" s="1884"/>
      <c r="BE64" s="1884"/>
      <c r="BF64" s="1884"/>
      <c r="BG64" s="1884"/>
      <c r="BH64" s="1885"/>
      <c r="BI64" s="1893"/>
      <c r="BO64" s="154"/>
      <c r="BP64" s="1883"/>
      <c r="BQ64" s="1884"/>
      <c r="BR64" s="1884"/>
      <c r="BS64" s="1884"/>
      <c r="BT64" s="1884"/>
      <c r="BU64" s="1884"/>
      <c r="BV64" s="1884"/>
      <c r="BW64" s="1884"/>
      <c r="BX64" s="1884"/>
      <c r="BY64" s="1884"/>
      <c r="BZ64" s="1884"/>
      <c r="CA64" s="1885"/>
      <c r="CB64" s="1893"/>
      <c r="CI64" s="154"/>
      <c r="CJ64" s="1883"/>
      <c r="CK64" s="1884"/>
      <c r="CL64" s="1884"/>
      <c r="CM64" s="1884"/>
      <c r="CN64" s="1884"/>
      <c r="CO64" s="1884"/>
      <c r="CP64" s="1884"/>
      <c r="CQ64" s="1884"/>
      <c r="CR64" s="1884"/>
      <c r="CS64" s="1884"/>
      <c r="CT64" s="1884"/>
      <c r="CU64" s="1885"/>
      <c r="CV64" s="1893"/>
      <c r="DM64" s="1386"/>
      <c r="DN64" s="1386"/>
      <c r="DO64" s="1386"/>
      <c r="DP64" s="1386"/>
      <c r="DQ64" s="1386"/>
      <c r="DR64" s="1386"/>
      <c r="DS64" s="1386"/>
      <c r="DT64" s="1386"/>
      <c r="DU64" s="1386"/>
      <c r="DV64" s="1386"/>
    </row>
    <row r="65" spans="7:126" ht="24" customHeight="1">
      <c r="J65" s="154"/>
      <c r="K65" s="1883"/>
      <c r="L65" s="1884"/>
      <c r="M65" s="1884"/>
      <c r="N65" s="1884"/>
      <c r="O65" s="1884"/>
      <c r="P65" s="1884"/>
      <c r="Q65" s="1884"/>
      <c r="R65" s="1884"/>
      <c r="S65" s="1884"/>
      <c r="T65" s="1884"/>
      <c r="U65" s="1884"/>
      <c r="V65" s="1885"/>
      <c r="W65" s="1893"/>
      <c r="AC65" s="154"/>
      <c r="AD65" s="1883"/>
      <c r="AE65" s="1884"/>
      <c r="AF65" s="1884"/>
      <c r="AG65" s="1884"/>
      <c r="AH65" s="1884"/>
      <c r="AI65" s="1884"/>
      <c r="AJ65" s="1884"/>
      <c r="AK65" s="1884"/>
      <c r="AL65" s="1884"/>
      <c r="AM65" s="1884"/>
      <c r="AN65" s="1884"/>
      <c r="AO65" s="1885"/>
      <c r="AP65" s="1893"/>
      <c r="AV65" s="154"/>
      <c r="AW65" s="1883"/>
      <c r="AX65" s="1884"/>
      <c r="AY65" s="1884"/>
      <c r="AZ65" s="1884"/>
      <c r="BA65" s="1884"/>
      <c r="BB65" s="1884"/>
      <c r="BC65" s="1884"/>
      <c r="BD65" s="1884"/>
      <c r="BE65" s="1884"/>
      <c r="BF65" s="1884"/>
      <c r="BG65" s="1884"/>
      <c r="BH65" s="1885"/>
      <c r="BI65" s="1893"/>
      <c r="BO65" s="154"/>
      <c r="BP65" s="1883"/>
      <c r="BQ65" s="1884"/>
      <c r="BR65" s="1884"/>
      <c r="BS65" s="1884"/>
      <c r="BT65" s="1884"/>
      <c r="BU65" s="1884"/>
      <c r="BV65" s="1884"/>
      <c r="BW65" s="1884"/>
      <c r="BX65" s="1884"/>
      <c r="BY65" s="1884"/>
      <c r="BZ65" s="1884"/>
      <c r="CA65" s="1885"/>
      <c r="CB65" s="1893"/>
      <c r="CI65" s="154"/>
      <c r="CJ65" s="1883"/>
      <c r="CK65" s="1884"/>
      <c r="CL65" s="1884"/>
      <c r="CM65" s="1884"/>
      <c r="CN65" s="1884"/>
      <c r="CO65" s="1884"/>
      <c r="CP65" s="1884"/>
      <c r="CQ65" s="1884"/>
      <c r="CR65" s="1884"/>
      <c r="CS65" s="1884"/>
      <c r="CT65" s="1884"/>
      <c r="CU65" s="1885"/>
      <c r="CV65" s="1893"/>
      <c r="DM65" s="1386"/>
      <c r="DN65" s="1386"/>
      <c r="DO65" s="1386"/>
      <c r="DP65" s="1386"/>
      <c r="DQ65" s="1386"/>
      <c r="DR65" s="1386"/>
      <c r="DS65" s="1386"/>
      <c r="DT65" s="1386"/>
      <c r="DU65" s="1386"/>
      <c r="DV65" s="1386"/>
    </row>
    <row r="66" spans="7:126" ht="24" customHeight="1">
      <c r="J66" s="154"/>
      <c r="K66" s="1883"/>
      <c r="L66" s="1884"/>
      <c r="M66" s="1884"/>
      <c r="N66" s="1884"/>
      <c r="O66" s="1884"/>
      <c r="P66" s="1884"/>
      <c r="Q66" s="1884"/>
      <c r="R66" s="1884"/>
      <c r="S66" s="1884"/>
      <c r="T66" s="1884"/>
      <c r="U66" s="1884"/>
      <c r="V66" s="1885"/>
      <c r="W66" s="1893"/>
      <c r="AC66" s="154"/>
      <c r="AD66" s="1883"/>
      <c r="AE66" s="1884"/>
      <c r="AF66" s="1884"/>
      <c r="AG66" s="1884"/>
      <c r="AH66" s="1884"/>
      <c r="AI66" s="1884"/>
      <c r="AJ66" s="1884"/>
      <c r="AK66" s="1884"/>
      <c r="AL66" s="1884"/>
      <c r="AM66" s="1884"/>
      <c r="AN66" s="1884"/>
      <c r="AO66" s="1885"/>
      <c r="AP66" s="1893"/>
      <c r="AV66" s="154"/>
      <c r="AW66" s="1883"/>
      <c r="AX66" s="1884"/>
      <c r="AY66" s="1884"/>
      <c r="AZ66" s="1884"/>
      <c r="BA66" s="1884"/>
      <c r="BB66" s="1884"/>
      <c r="BC66" s="1884"/>
      <c r="BD66" s="1884"/>
      <c r="BE66" s="1884"/>
      <c r="BF66" s="1884"/>
      <c r="BG66" s="1884"/>
      <c r="BH66" s="1885"/>
      <c r="BI66" s="1893"/>
      <c r="BO66" s="154"/>
      <c r="BP66" s="1883"/>
      <c r="BQ66" s="1884"/>
      <c r="BR66" s="1884"/>
      <c r="BS66" s="1884"/>
      <c r="BT66" s="1884"/>
      <c r="BU66" s="1884"/>
      <c r="BV66" s="1884"/>
      <c r="BW66" s="1884"/>
      <c r="BX66" s="1884"/>
      <c r="BY66" s="1884"/>
      <c r="BZ66" s="1884"/>
      <c r="CA66" s="1885"/>
      <c r="CB66" s="1893"/>
      <c r="CI66" s="154"/>
      <c r="CJ66" s="1883"/>
      <c r="CK66" s="1884"/>
      <c r="CL66" s="1884"/>
      <c r="CM66" s="1884"/>
      <c r="CN66" s="1884"/>
      <c r="CO66" s="1884"/>
      <c r="CP66" s="1884"/>
      <c r="CQ66" s="1884"/>
      <c r="CR66" s="1884"/>
      <c r="CS66" s="1884"/>
      <c r="CT66" s="1884"/>
      <c r="CU66" s="1885"/>
      <c r="CV66" s="1893"/>
      <c r="DM66" s="1386"/>
      <c r="DN66" s="1386"/>
      <c r="DO66" s="1386"/>
      <c r="DP66" s="1386"/>
      <c r="DQ66" s="1386"/>
      <c r="DR66" s="1386"/>
      <c r="DS66" s="1386"/>
      <c r="DT66" s="1386"/>
      <c r="DU66" s="1386"/>
      <c r="DV66" s="1386"/>
    </row>
    <row r="67" spans="7:126" ht="24" customHeight="1">
      <c r="J67" s="154"/>
      <c r="K67" s="1883"/>
      <c r="L67" s="1884"/>
      <c r="M67" s="1884"/>
      <c r="N67" s="1884"/>
      <c r="O67" s="1884"/>
      <c r="P67" s="1884"/>
      <c r="Q67" s="1884"/>
      <c r="R67" s="1884"/>
      <c r="S67" s="1884"/>
      <c r="T67" s="1884"/>
      <c r="U67" s="1884"/>
      <c r="V67" s="1885"/>
      <c r="W67" s="1893"/>
      <c r="AC67" s="154"/>
      <c r="AD67" s="1883"/>
      <c r="AE67" s="1884"/>
      <c r="AF67" s="1884"/>
      <c r="AG67" s="1884"/>
      <c r="AH67" s="1884"/>
      <c r="AI67" s="1884"/>
      <c r="AJ67" s="1884"/>
      <c r="AK67" s="1884"/>
      <c r="AL67" s="1884"/>
      <c r="AM67" s="1884"/>
      <c r="AN67" s="1884"/>
      <c r="AO67" s="1885"/>
      <c r="AP67" s="1893"/>
      <c r="AV67" s="154"/>
      <c r="AW67" s="1883"/>
      <c r="AX67" s="1884"/>
      <c r="AY67" s="1884"/>
      <c r="AZ67" s="1884"/>
      <c r="BA67" s="1884"/>
      <c r="BB67" s="1884"/>
      <c r="BC67" s="1884"/>
      <c r="BD67" s="1884"/>
      <c r="BE67" s="1884"/>
      <c r="BF67" s="1884"/>
      <c r="BG67" s="1884"/>
      <c r="BH67" s="1885"/>
      <c r="BI67" s="1893"/>
      <c r="BO67" s="154"/>
      <c r="BP67" s="1883"/>
      <c r="BQ67" s="1884"/>
      <c r="BR67" s="1884"/>
      <c r="BS67" s="1884"/>
      <c r="BT67" s="1884"/>
      <c r="BU67" s="1884"/>
      <c r="BV67" s="1884"/>
      <c r="BW67" s="1884"/>
      <c r="BX67" s="1884"/>
      <c r="BY67" s="1884"/>
      <c r="BZ67" s="1884"/>
      <c r="CA67" s="1885"/>
      <c r="CB67" s="1893"/>
      <c r="CI67" s="154"/>
      <c r="CJ67" s="1883"/>
      <c r="CK67" s="1884"/>
      <c r="CL67" s="1884"/>
      <c r="CM67" s="1884"/>
      <c r="CN67" s="1884"/>
      <c r="CO67" s="1884"/>
      <c r="CP67" s="1884"/>
      <c r="CQ67" s="1884"/>
      <c r="CR67" s="1884"/>
      <c r="CS67" s="1884"/>
      <c r="CT67" s="1884"/>
      <c r="CU67" s="1885"/>
      <c r="CV67" s="1893"/>
      <c r="DM67" s="1386"/>
      <c r="DN67" s="1386"/>
      <c r="DO67" s="1386"/>
      <c r="DP67" s="1386"/>
      <c r="DQ67" s="1386"/>
      <c r="DR67" s="1386"/>
      <c r="DS67" s="1386"/>
      <c r="DT67" s="1386"/>
      <c r="DU67" s="1386"/>
      <c r="DV67" s="1386"/>
    </row>
    <row r="68" spans="7:126" ht="24" customHeight="1">
      <c r="J68" s="154"/>
      <c r="K68" s="1883"/>
      <c r="L68" s="1884"/>
      <c r="M68" s="1884"/>
      <c r="N68" s="1884"/>
      <c r="O68" s="1884"/>
      <c r="P68" s="1884"/>
      <c r="Q68" s="1884"/>
      <c r="R68" s="1884"/>
      <c r="S68" s="1884"/>
      <c r="T68" s="1884"/>
      <c r="U68" s="1884"/>
      <c r="V68" s="1885"/>
      <c r="W68" s="1893"/>
      <c r="AC68" s="154"/>
      <c r="AD68" s="1883"/>
      <c r="AE68" s="1884"/>
      <c r="AF68" s="1884"/>
      <c r="AG68" s="1884"/>
      <c r="AH68" s="1884"/>
      <c r="AI68" s="1884"/>
      <c r="AJ68" s="1884"/>
      <c r="AK68" s="1884"/>
      <c r="AL68" s="1884"/>
      <c r="AM68" s="1884"/>
      <c r="AN68" s="1884"/>
      <c r="AO68" s="1885"/>
      <c r="AP68" s="1893"/>
      <c r="AV68" s="154"/>
      <c r="AW68" s="1883"/>
      <c r="AX68" s="1884"/>
      <c r="AY68" s="1884"/>
      <c r="AZ68" s="1884"/>
      <c r="BA68" s="1884"/>
      <c r="BB68" s="1884"/>
      <c r="BC68" s="1884"/>
      <c r="BD68" s="1884"/>
      <c r="BE68" s="1884"/>
      <c r="BF68" s="1884"/>
      <c r="BG68" s="1884"/>
      <c r="BH68" s="1885"/>
      <c r="BI68" s="1893"/>
      <c r="BO68" s="154"/>
      <c r="BP68" s="1883"/>
      <c r="BQ68" s="1884"/>
      <c r="BR68" s="1884"/>
      <c r="BS68" s="1884"/>
      <c r="BT68" s="1884"/>
      <c r="BU68" s="1884"/>
      <c r="BV68" s="1884"/>
      <c r="BW68" s="1884"/>
      <c r="BX68" s="1884"/>
      <c r="BY68" s="1884"/>
      <c r="BZ68" s="1884"/>
      <c r="CA68" s="1885"/>
      <c r="CB68" s="1893"/>
      <c r="CI68" s="154"/>
      <c r="CJ68" s="1883"/>
      <c r="CK68" s="1884"/>
      <c r="CL68" s="1884"/>
      <c r="CM68" s="1884"/>
      <c r="CN68" s="1884"/>
      <c r="CO68" s="1884"/>
      <c r="CP68" s="1884"/>
      <c r="CQ68" s="1884"/>
      <c r="CR68" s="1884"/>
      <c r="CS68" s="1884"/>
      <c r="CT68" s="1884"/>
      <c r="CU68" s="1885"/>
      <c r="CV68" s="1893"/>
      <c r="DM68" s="1386"/>
      <c r="DN68" s="1386"/>
      <c r="DO68" s="1386"/>
      <c r="DP68" s="1386"/>
      <c r="DQ68" s="1386"/>
      <c r="DR68" s="1386"/>
      <c r="DS68" s="1386"/>
      <c r="DT68" s="1386"/>
      <c r="DU68" s="1386"/>
      <c r="DV68" s="1386"/>
    </row>
    <row r="69" spans="7:126" ht="24" customHeight="1">
      <c r="J69" s="154"/>
      <c r="K69" s="1883"/>
      <c r="L69" s="1884"/>
      <c r="M69" s="1884"/>
      <c r="N69" s="1884"/>
      <c r="O69" s="1884"/>
      <c r="P69" s="1884"/>
      <c r="Q69" s="1884"/>
      <c r="R69" s="1884"/>
      <c r="S69" s="1884"/>
      <c r="T69" s="1884"/>
      <c r="U69" s="1884"/>
      <c r="V69" s="1885"/>
      <c r="W69" s="1893"/>
      <c r="AC69" s="154"/>
      <c r="AD69" s="1883"/>
      <c r="AE69" s="1884"/>
      <c r="AF69" s="1884"/>
      <c r="AG69" s="1884"/>
      <c r="AH69" s="1884"/>
      <c r="AI69" s="1884"/>
      <c r="AJ69" s="1884"/>
      <c r="AK69" s="1884"/>
      <c r="AL69" s="1884"/>
      <c r="AM69" s="1884"/>
      <c r="AN69" s="1884"/>
      <c r="AO69" s="1885"/>
      <c r="AP69" s="1893"/>
      <c r="AV69" s="154"/>
      <c r="AW69" s="1883"/>
      <c r="AX69" s="1884"/>
      <c r="AY69" s="1884"/>
      <c r="AZ69" s="1884"/>
      <c r="BA69" s="1884"/>
      <c r="BB69" s="1884"/>
      <c r="BC69" s="1884"/>
      <c r="BD69" s="1884"/>
      <c r="BE69" s="1884"/>
      <c r="BF69" s="1884"/>
      <c r="BG69" s="1884"/>
      <c r="BH69" s="1885"/>
      <c r="BI69" s="1893"/>
      <c r="BO69" s="154"/>
      <c r="BP69" s="1883"/>
      <c r="BQ69" s="1884"/>
      <c r="BR69" s="1884"/>
      <c r="BS69" s="1884"/>
      <c r="BT69" s="1884"/>
      <c r="BU69" s="1884"/>
      <c r="BV69" s="1884"/>
      <c r="BW69" s="1884"/>
      <c r="BX69" s="1884"/>
      <c r="BY69" s="1884"/>
      <c r="BZ69" s="1884"/>
      <c r="CA69" s="1885"/>
      <c r="CB69" s="1893"/>
      <c r="CI69" s="154"/>
      <c r="CJ69" s="1883"/>
      <c r="CK69" s="1884"/>
      <c r="CL69" s="1884"/>
      <c r="CM69" s="1884"/>
      <c r="CN69" s="1884"/>
      <c r="CO69" s="1884"/>
      <c r="CP69" s="1884"/>
      <c r="CQ69" s="1884"/>
      <c r="CR69" s="1884"/>
      <c r="CS69" s="1884"/>
      <c r="CT69" s="1884"/>
      <c r="CU69" s="1885"/>
      <c r="CV69" s="1893"/>
      <c r="DM69" s="1386"/>
      <c r="DN69" s="1386"/>
      <c r="DO69" s="1386"/>
      <c r="DP69" s="1386"/>
      <c r="DQ69" s="1386"/>
      <c r="DR69" s="1386"/>
      <c r="DS69" s="1386"/>
      <c r="DT69" s="1386"/>
      <c r="DU69" s="1386"/>
      <c r="DV69" s="1386"/>
    </row>
    <row r="70" spans="7:126" ht="24" customHeight="1">
      <c r="J70" s="154"/>
      <c r="K70" s="1883"/>
      <c r="L70" s="1884"/>
      <c r="M70" s="1884"/>
      <c r="N70" s="1884"/>
      <c r="O70" s="1884"/>
      <c r="P70" s="1884"/>
      <c r="Q70" s="1884"/>
      <c r="R70" s="1884"/>
      <c r="S70" s="1884"/>
      <c r="T70" s="1884"/>
      <c r="U70" s="1884"/>
      <c r="V70" s="1885"/>
      <c r="W70" s="1893"/>
      <c r="AC70" s="154"/>
      <c r="AD70" s="1883"/>
      <c r="AE70" s="1884"/>
      <c r="AF70" s="1884"/>
      <c r="AG70" s="1884"/>
      <c r="AH70" s="1884"/>
      <c r="AI70" s="1884"/>
      <c r="AJ70" s="1884"/>
      <c r="AK70" s="1884"/>
      <c r="AL70" s="1884"/>
      <c r="AM70" s="1884"/>
      <c r="AN70" s="1884"/>
      <c r="AO70" s="1885"/>
      <c r="AP70" s="1893"/>
      <c r="AV70" s="154"/>
      <c r="AW70" s="1883"/>
      <c r="AX70" s="1884"/>
      <c r="AY70" s="1884"/>
      <c r="AZ70" s="1884"/>
      <c r="BA70" s="1884"/>
      <c r="BB70" s="1884"/>
      <c r="BC70" s="1884"/>
      <c r="BD70" s="1884"/>
      <c r="BE70" s="1884"/>
      <c r="BF70" s="1884"/>
      <c r="BG70" s="1884"/>
      <c r="BH70" s="1885"/>
      <c r="BI70" s="1893"/>
      <c r="BO70" s="154"/>
      <c r="BP70" s="1883"/>
      <c r="BQ70" s="1884"/>
      <c r="BR70" s="1884"/>
      <c r="BS70" s="1884"/>
      <c r="BT70" s="1884"/>
      <c r="BU70" s="1884"/>
      <c r="BV70" s="1884"/>
      <c r="BW70" s="1884"/>
      <c r="BX70" s="1884"/>
      <c r="BY70" s="1884"/>
      <c r="BZ70" s="1884"/>
      <c r="CA70" s="1885"/>
      <c r="CB70" s="1893"/>
      <c r="CI70" s="154"/>
      <c r="CJ70" s="1883"/>
      <c r="CK70" s="1884"/>
      <c r="CL70" s="1884"/>
      <c r="CM70" s="1884"/>
      <c r="CN70" s="1884"/>
      <c r="CO70" s="1884"/>
      <c r="CP70" s="1884"/>
      <c r="CQ70" s="1884"/>
      <c r="CR70" s="1884"/>
      <c r="CS70" s="1884"/>
      <c r="CT70" s="1884"/>
      <c r="CU70" s="1885"/>
      <c r="CV70" s="1893"/>
      <c r="DM70" s="1386"/>
      <c r="DN70" s="1386"/>
      <c r="DO70" s="1386"/>
      <c r="DP70" s="1386"/>
      <c r="DQ70" s="1386"/>
      <c r="DR70" s="1386"/>
      <c r="DS70" s="1386"/>
      <c r="DT70" s="1386"/>
      <c r="DU70" s="1386"/>
      <c r="DV70" s="1386"/>
    </row>
    <row r="71" spans="7:126" ht="24" customHeight="1">
      <c r="J71" s="154"/>
      <c r="K71" s="1883"/>
      <c r="L71" s="1884"/>
      <c r="M71" s="1884"/>
      <c r="N71" s="1884"/>
      <c r="O71" s="1884"/>
      <c r="P71" s="1884"/>
      <c r="Q71" s="1884"/>
      <c r="R71" s="1884"/>
      <c r="S71" s="1884"/>
      <c r="T71" s="1884"/>
      <c r="U71" s="1884"/>
      <c r="V71" s="1885"/>
      <c r="W71" s="1893"/>
      <c r="AC71" s="154"/>
      <c r="AD71" s="1883"/>
      <c r="AE71" s="1884"/>
      <c r="AF71" s="1884"/>
      <c r="AG71" s="1884"/>
      <c r="AH71" s="1884"/>
      <c r="AI71" s="1884"/>
      <c r="AJ71" s="1884"/>
      <c r="AK71" s="1884"/>
      <c r="AL71" s="1884"/>
      <c r="AM71" s="1884"/>
      <c r="AN71" s="1884"/>
      <c r="AO71" s="1885"/>
      <c r="AP71" s="1893"/>
      <c r="AV71" s="154"/>
      <c r="AW71" s="1883"/>
      <c r="AX71" s="1884"/>
      <c r="AY71" s="1884"/>
      <c r="AZ71" s="1884"/>
      <c r="BA71" s="1884"/>
      <c r="BB71" s="1884"/>
      <c r="BC71" s="1884"/>
      <c r="BD71" s="1884"/>
      <c r="BE71" s="1884"/>
      <c r="BF71" s="1884"/>
      <c r="BG71" s="1884"/>
      <c r="BH71" s="1885"/>
      <c r="BI71" s="1893"/>
      <c r="BO71" s="154"/>
      <c r="BP71" s="1883"/>
      <c r="BQ71" s="1884"/>
      <c r="BR71" s="1884"/>
      <c r="BS71" s="1884"/>
      <c r="BT71" s="1884"/>
      <c r="BU71" s="1884"/>
      <c r="BV71" s="1884"/>
      <c r="BW71" s="1884"/>
      <c r="BX71" s="1884"/>
      <c r="BY71" s="1884"/>
      <c r="BZ71" s="1884"/>
      <c r="CA71" s="1885"/>
      <c r="CB71" s="1893"/>
      <c r="CI71" s="154"/>
      <c r="CJ71" s="1883"/>
      <c r="CK71" s="1884"/>
      <c r="CL71" s="1884"/>
      <c r="CM71" s="1884"/>
      <c r="CN71" s="1884"/>
      <c r="CO71" s="1884"/>
      <c r="CP71" s="1884"/>
      <c r="CQ71" s="1884"/>
      <c r="CR71" s="1884"/>
      <c r="CS71" s="1884"/>
      <c r="CT71" s="1884"/>
      <c r="CU71" s="1885"/>
      <c r="CV71" s="1893"/>
      <c r="DM71" s="1386"/>
      <c r="DN71" s="1386"/>
      <c r="DO71" s="1386"/>
      <c r="DP71" s="1386"/>
      <c r="DQ71" s="1386"/>
      <c r="DR71" s="1386"/>
      <c r="DS71" s="1386"/>
      <c r="DT71" s="1386"/>
      <c r="DU71" s="1386"/>
      <c r="DV71" s="1386"/>
    </row>
    <row r="72" spans="7:126" ht="24" customHeight="1">
      <c r="J72" s="154"/>
      <c r="K72" s="1883"/>
      <c r="L72" s="1884"/>
      <c r="M72" s="1884"/>
      <c r="N72" s="1884"/>
      <c r="O72" s="1884"/>
      <c r="P72" s="1884"/>
      <c r="Q72" s="1884"/>
      <c r="R72" s="1884"/>
      <c r="S72" s="1884"/>
      <c r="T72" s="1884"/>
      <c r="U72" s="1884"/>
      <c r="V72" s="1885"/>
      <c r="W72" s="1893"/>
      <c r="AC72" s="154"/>
      <c r="AD72" s="1883"/>
      <c r="AE72" s="1884"/>
      <c r="AF72" s="1884"/>
      <c r="AG72" s="1884"/>
      <c r="AH72" s="1884"/>
      <c r="AI72" s="1884"/>
      <c r="AJ72" s="1884"/>
      <c r="AK72" s="1884"/>
      <c r="AL72" s="1884"/>
      <c r="AM72" s="1884"/>
      <c r="AN72" s="1884"/>
      <c r="AO72" s="1885"/>
      <c r="AP72" s="1893"/>
      <c r="AV72" s="154"/>
      <c r="AW72" s="1883"/>
      <c r="AX72" s="1884"/>
      <c r="AY72" s="1884"/>
      <c r="AZ72" s="1884"/>
      <c r="BA72" s="1884"/>
      <c r="BB72" s="1884"/>
      <c r="BC72" s="1884"/>
      <c r="BD72" s="1884"/>
      <c r="BE72" s="1884"/>
      <c r="BF72" s="1884"/>
      <c r="BG72" s="1884"/>
      <c r="BH72" s="1885"/>
      <c r="BI72" s="1893"/>
      <c r="BO72" s="154"/>
      <c r="BP72" s="1883"/>
      <c r="BQ72" s="1884"/>
      <c r="BR72" s="1884"/>
      <c r="BS72" s="1884"/>
      <c r="BT72" s="1884"/>
      <c r="BU72" s="1884"/>
      <c r="BV72" s="1884"/>
      <c r="BW72" s="1884"/>
      <c r="BX72" s="1884"/>
      <c r="BY72" s="1884"/>
      <c r="BZ72" s="1884"/>
      <c r="CA72" s="1885"/>
      <c r="CB72" s="1893"/>
      <c r="CI72" s="154"/>
      <c r="CJ72" s="1883"/>
      <c r="CK72" s="1884"/>
      <c r="CL72" s="1884"/>
      <c r="CM72" s="1884"/>
      <c r="CN72" s="1884"/>
      <c r="CO72" s="1884"/>
      <c r="CP72" s="1884"/>
      <c r="CQ72" s="1884"/>
      <c r="CR72" s="1884"/>
      <c r="CS72" s="1884"/>
      <c r="CT72" s="1884"/>
      <c r="CU72" s="1885"/>
      <c r="CV72" s="1893"/>
      <c r="DM72" s="1386"/>
      <c r="DN72" s="1386"/>
      <c r="DO72" s="1386"/>
      <c r="DP72" s="1386"/>
      <c r="DQ72" s="1386"/>
      <c r="DR72" s="1386"/>
      <c r="DS72" s="1386"/>
      <c r="DT72" s="1386"/>
      <c r="DU72" s="1386"/>
      <c r="DV72" s="1386"/>
    </row>
    <row r="73" spans="7:126" ht="24" customHeight="1">
      <c r="J73" s="154"/>
      <c r="K73" s="1883"/>
      <c r="L73" s="1884"/>
      <c r="M73" s="1884"/>
      <c r="N73" s="1884"/>
      <c r="O73" s="1884"/>
      <c r="P73" s="1884"/>
      <c r="Q73" s="1884"/>
      <c r="R73" s="1884"/>
      <c r="S73" s="1884"/>
      <c r="T73" s="1884"/>
      <c r="U73" s="1884"/>
      <c r="V73" s="1885"/>
      <c r="W73" s="1893"/>
      <c r="AC73" s="154"/>
      <c r="AD73" s="1883"/>
      <c r="AE73" s="1884"/>
      <c r="AF73" s="1884"/>
      <c r="AG73" s="1884"/>
      <c r="AH73" s="1884"/>
      <c r="AI73" s="1884"/>
      <c r="AJ73" s="1884"/>
      <c r="AK73" s="1884"/>
      <c r="AL73" s="1884"/>
      <c r="AM73" s="1884"/>
      <c r="AN73" s="1884"/>
      <c r="AO73" s="1885"/>
      <c r="AP73" s="1893"/>
      <c r="AV73" s="154"/>
      <c r="AW73" s="1883"/>
      <c r="AX73" s="1884"/>
      <c r="AY73" s="1884"/>
      <c r="AZ73" s="1884"/>
      <c r="BA73" s="1884"/>
      <c r="BB73" s="1884"/>
      <c r="BC73" s="1884"/>
      <c r="BD73" s="1884"/>
      <c r="BE73" s="1884"/>
      <c r="BF73" s="1884"/>
      <c r="BG73" s="1884"/>
      <c r="BH73" s="1885"/>
      <c r="BI73" s="1893"/>
      <c r="BO73" s="154"/>
      <c r="BP73" s="1883"/>
      <c r="BQ73" s="1884"/>
      <c r="BR73" s="1884"/>
      <c r="BS73" s="1884"/>
      <c r="BT73" s="1884"/>
      <c r="BU73" s="1884"/>
      <c r="BV73" s="1884"/>
      <c r="BW73" s="1884"/>
      <c r="BX73" s="1884"/>
      <c r="BY73" s="1884"/>
      <c r="BZ73" s="1884"/>
      <c r="CA73" s="1885"/>
      <c r="CB73" s="1893"/>
      <c r="CI73" s="154"/>
      <c r="CJ73" s="1883"/>
      <c r="CK73" s="1884"/>
      <c r="CL73" s="1884"/>
      <c r="CM73" s="1884"/>
      <c r="CN73" s="1884"/>
      <c r="CO73" s="1884"/>
      <c r="CP73" s="1884"/>
      <c r="CQ73" s="1884"/>
      <c r="CR73" s="1884"/>
      <c r="CS73" s="1884"/>
      <c r="CT73" s="1884"/>
      <c r="CU73" s="1885"/>
      <c r="CV73" s="1893"/>
      <c r="DM73" s="1386"/>
      <c r="DN73" s="1386"/>
      <c r="DO73" s="1386"/>
      <c r="DP73" s="1386"/>
      <c r="DQ73" s="1386"/>
      <c r="DR73" s="1386"/>
      <c r="DS73" s="1386"/>
      <c r="DT73" s="1386"/>
      <c r="DU73" s="1386"/>
      <c r="DV73" s="1386"/>
    </row>
    <row r="74" spans="7:126" ht="24" customHeight="1">
      <c r="G74" s="65"/>
      <c r="H74" s="65"/>
      <c r="I74" s="65"/>
      <c r="J74" s="154"/>
      <c r="K74" s="1883"/>
      <c r="L74" s="1884"/>
      <c r="M74" s="1884"/>
      <c r="N74" s="1884"/>
      <c r="O74" s="1884"/>
      <c r="P74" s="1884"/>
      <c r="Q74" s="1884"/>
      <c r="R74" s="1884"/>
      <c r="S74" s="1884"/>
      <c r="T74" s="1884"/>
      <c r="U74" s="1884"/>
      <c r="V74" s="1885"/>
      <c r="W74" s="1893"/>
      <c r="AC74" s="154"/>
      <c r="AD74" s="1883"/>
      <c r="AE74" s="1884"/>
      <c r="AF74" s="1884"/>
      <c r="AG74" s="1884"/>
      <c r="AH74" s="1884"/>
      <c r="AI74" s="1884"/>
      <c r="AJ74" s="1884"/>
      <c r="AK74" s="1884"/>
      <c r="AL74" s="1884"/>
      <c r="AM74" s="1884"/>
      <c r="AN74" s="1884"/>
      <c r="AO74" s="1885"/>
      <c r="AP74" s="1893"/>
      <c r="AV74" s="154"/>
      <c r="AW74" s="1883"/>
      <c r="AX74" s="1884"/>
      <c r="AY74" s="1884"/>
      <c r="AZ74" s="1884"/>
      <c r="BA74" s="1884"/>
      <c r="BB74" s="1884"/>
      <c r="BC74" s="1884"/>
      <c r="BD74" s="1884"/>
      <c r="BE74" s="1884"/>
      <c r="BF74" s="1884"/>
      <c r="BG74" s="1884"/>
      <c r="BH74" s="1885"/>
      <c r="BI74" s="1893"/>
      <c r="BO74" s="154"/>
      <c r="BP74" s="1883"/>
      <c r="BQ74" s="1884"/>
      <c r="BR74" s="1884"/>
      <c r="BS74" s="1884"/>
      <c r="BT74" s="1884"/>
      <c r="BU74" s="1884"/>
      <c r="BV74" s="1884"/>
      <c r="BW74" s="1884"/>
      <c r="BX74" s="1884"/>
      <c r="BY74" s="1884"/>
      <c r="BZ74" s="1884"/>
      <c r="CA74" s="1885"/>
      <c r="CB74" s="1893"/>
      <c r="CI74" s="154"/>
      <c r="CJ74" s="1883"/>
      <c r="CK74" s="1884"/>
      <c r="CL74" s="1884"/>
      <c r="CM74" s="1884"/>
      <c r="CN74" s="1884"/>
      <c r="CO74" s="1884"/>
      <c r="CP74" s="1884"/>
      <c r="CQ74" s="1884"/>
      <c r="CR74" s="1884"/>
      <c r="CS74" s="1884"/>
      <c r="CT74" s="1884"/>
      <c r="CU74" s="1885"/>
      <c r="CV74" s="1893"/>
      <c r="DM74" s="1386"/>
      <c r="DN74" s="1386"/>
      <c r="DO74" s="1386"/>
      <c r="DP74" s="1386"/>
      <c r="DQ74" s="1386"/>
      <c r="DR74" s="1386"/>
      <c r="DS74" s="1386"/>
      <c r="DT74" s="1386"/>
      <c r="DU74" s="1386"/>
      <c r="DV74" s="1386"/>
    </row>
    <row r="75" spans="7:126" ht="24" customHeight="1">
      <c r="G75" s="65"/>
      <c r="H75" s="65"/>
      <c r="I75" s="65"/>
      <c r="J75" s="154"/>
      <c r="K75" s="1883"/>
      <c r="L75" s="1884"/>
      <c r="M75" s="1884"/>
      <c r="N75" s="1884"/>
      <c r="O75" s="1884"/>
      <c r="P75" s="1884"/>
      <c r="Q75" s="1884"/>
      <c r="R75" s="1884"/>
      <c r="S75" s="1884"/>
      <c r="T75" s="1884"/>
      <c r="U75" s="1884"/>
      <c r="V75" s="1885"/>
      <c r="W75" s="1893"/>
      <c r="AC75" s="154"/>
      <c r="AD75" s="1883"/>
      <c r="AE75" s="1884"/>
      <c r="AF75" s="1884"/>
      <c r="AG75" s="1884"/>
      <c r="AH75" s="1884"/>
      <c r="AI75" s="1884"/>
      <c r="AJ75" s="1884"/>
      <c r="AK75" s="1884"/>
      <c r="AL75" s="1884"/>
      <c r="AM75" s="1884"/>
      <c r="AN75" s="1884"/>
      <c r="AO75" s="1885"/>
      <c r="AP75" s="1893"/>
      <c r="AV75" s="154"/>
      <c r="AW75" s="1883"/>
      <c r="AX75" s="1884"/>
      <c r="AY75" s="1884"/>
      <c r="AZ75" s="1884"/>
      <c r="BA75" s="1884"/>
      <c r="BB75" s="1884"/>
      <c r="BC75" s="1884"/>
      <c r="BD75" s="1884"/>
      <c r="BE75" s="1884"/>
      <c r="BF75" s="1884"/>
      <c r="BG75" s="1884"/>
      <c r="BH75" s="1885"/>
      <c r="BI75" s="1893"/>
      <c r="BO75" s="154"/>
      <c r="BP75" s="1883"/>
      <c r="BQ75" s="1884"/>
      <c r="BR75" s="1884"/>
      <c r="BS75" s="1884"/>
      <c r="BT75" s="1884"/>
      <c r="BU75" s="1884"/>
      <c r="BV75" s="1884"/>
      <c r="BW75" s="1884"/>
      <c r="BX75" s="1884"/>
      <c r="BY75" s="1884"/>
      <c r="BZ75" s="1884"/>
      <c r="CA75" s="1885"/>
      <c r="CB75" s="1893"/>
      <c r="CI75" s="154"/>
      <c r="CJ75" s="1883"/>
      <c r="CK75" s="1884"/>
      <c r="CL75" s="1884"/>
      <c r="CM75" s="1884"/>
      <c r="CN75" s="1884"/>
      <c r="CO75" s="1884"/>
      <c r="CP75" s="1884"/>
      <c r="CQ75" s="1884"/>
      <c r="CR75" s="1884"/>
      <c r="CS75" s="1884"/>
      <c r="CT75" s="1884"/>
      <c r="CU75" s="1885"/>
      <c r="CV75" s="1893"/>
      <c r="DM75" s="1386"/>
      <c r="DN75" s="1386"/>
      <c r="DO75" s="1386"/>
      <c r="DP75" s="1386"/>
      <c r="DQ75" s="1386"/>
      <c r="DR75" s="1386"/>
      <c r="DS75" s="1386"/>
      <c r="DT75" s="1386"/>
      <c r="DU75" s="1386"/>
      <c r="DV75" s="1386"/>
    </row>
    <row r="76" spans="7:126" ht="24" customHeight="1">
      <c r="G76" s="65"/>
      <c r="H76" s="65"/>
      <c r="I76" s="65"/>
      <c r="J76" s="154"/>
      <c r="K76" s="1883"/>
      <c r="L76" s="1884"/>
      <c r="M76" s="1884"/>
      <c r="N76" s="1884"/>
      <c r="O76" s="1884"/>
      <c r="P76" s="1884"/>
      <c r="Q76" s="1884"/>
      <c r="R76" s="1884"/>
      <c r="S76" s="1884"/>
      <c r="T76" s="1884"/>
      <c r="U76" s="1884"/>
      <c r="V76" s="1885"/>
      <c r="W76" s="1893"/>
      <c r="AC76" s="154"/>
      <c r="AD76" s="1883"/>
      <c r="AE76" s="1884"/>
      <c r="AF76" s="1884"/>
      <c r="AG76" s="1884"/>
      <c r="AH76" s="1884"/>
      <c r="AI76" s="1884"/>
      <c r="AJ76" s="1884"/>
      <c r="AK76" s="1884"/>
      <c r="AL76" s="1884"/>
      <c r="AM76" s="1884"/>
      <c r="AN76" s="1884"/>
      <c r="AO76" s="1885"/>
      <c r="AP76" s="1893"/>
      <c r="AV76" s="154"/>
      <c r="AW76" s="1883"/>
      <c r="AX76" s="1884"/>
      <c r="AY76" s="1884"/>
      <c r="AZ76" s="1884"/>
      <c r="BA76" s="1884"/>
      <c r="BB76" s="1884"/>
      <c r="BC76" s="1884"/>
      <c r="BD76" s="1884"/>
      <c r="BE76" s="1884"/>
      <c r="BF76" s="1884"/>
      <c r="BG76" s="1884"/>
      <c r="BH76" s="1885"/>
      <c r="BI76" s="1893"/>
      <c r="BO76" s="154"/>
      <c r="BP76" s="1883"/>
      <c r="BQ76" s="1884"/>
      <c r="BR76" s="1884"/>
      <c r="BS76" s="1884"/>
      <c r="BT76" s="1884"/>
      <c r="BU76" s="1884"/>
      <c r="BV76" s="1884"/>
      <c r="BW76" s="1884"/>
      <c r="BX76" s="1884"/>
      <c r="BY76" s="1884"/>
      <c r="BZ76" s="1884"/>
      <c r="CA76" s="1885"/>
      <c r="CB76" s="1893"/>
      <c r="CI76" s="154"/>
      <c r="CJ76" s="1883"/>
      <c r="CK76" s="1884"/>
      <c r="CL76" s="1884"/>
      <c r="CM76" s="1884"/>
      <c r="CN76" s="1884"/>
      <c r="CO76" s="1884"/>
      <c r="CP76" s="1884"/>
      <c r="CQ76" s="1884"/>
      <c r="CR76" s="1884"/>
      <c r="CS76" s="1884"/>
      <c r="CT76" s="1884"/>
      <c r="CU76" s="1885"/>
      <c r="CV76" s="1893"/>
      <c r="DM76" s="1386"/>
      <c r="DN76" s="1386"/>
      <c r="DO76" s="1386"/>
      <c r="DP76" s="1386"/>
      <c r="DQ76" s="1386"/>
      <c r="DR76" s="1386"/>
      <c r="DS76" s="1386"/>
      <c r="DT76" s="1386"/>
      <c r="DU76" s="1386"/>
      <c r="DV76" s="1386"/>
    </row>
    <row r="77" spans="7:126" ht="24" customHeight="1">
      <c r="G77" s="65"/>
      <c r="H77" s="65"/>
      <c r="I77" s="65"/>
      <c r="J77" s="154"/>
      <c r="K77" s="1883"/>
      <c r="L77" s="1884"/>
      <c r="M77" s="1884"/>
      <c r="N77" s="1884"/>
      <c r="O77" s="1884"/>
      <c r="P77" s="1884"/>
      <c r="Q77" s="1884"/>
      <c r="R77" s="1884"/>
      <c r="S77" s="1884"/>
      <c r="T77" s="1884"/>
      <c r="U77" s="1884"/>
      <c r="V77" s="1885"/>
      <c r="W77" s="1893"/>
      <c r="AC77" s="154"/>
      <c r="AD77" s="1883"/>
      <c r="AE77" s="1884"/>
      <c r="AF77" s="1884"/>
      <c r="AG77" s="1884"/>
      <c r="AH77" s="1884"/>
      <c r="AI77" s="1884"/>
      <c r="AJ77" s="1884"/>
      <c r="AK77" s="1884"/>
      <c r="AL77" s="1884"/>
      <c r="AM77" s="1884"/>
      <c r="AN77" s="1884"/>
      <c r="AO77" s="1885"/>
      <c r="AP77" s="1893"/>
      <c r="AV77" s="154"/>
      <c r="AW77" s="1883"/>
      <c r="AX77" s="1884"/>
      <c r="AY77" s="1884"/>
      <c r="AZ77" s="1884"/>
      <c r="BA77" s="1884"/>
      <c r="BB77" s="1884"/>
      <c r="BC77" s="1884"/>
      <c r="BD77" s="1884"/>
      <c r="BE77" s="1884"/>
      <c r="BF77" s="1884"/>
      <c r="BG77" s="1884"/>
      <c r="BH77" s="1885"/>
      <c r="BI77" s="1893"/>
      <c r="BO77" s="154"/>
      <c r="BP77" s="1883"/>
      <c r="BQ77" s="1884"/>
      <c r="BR77" s="1884"/>
      <c r="BS77" s="1884"/>
      <c r="BT77" s="1884"/>
      <c r="BU77" s="1884"/>
      <c r="BV77" s="1884"/>
      <c r="BW77" s="1884"/>
      <c r="BX77" s="1884"/>
      <c r="BY77" s="1884"/>
      <c r="BZ77" s="1884"/>
      <c r="CA77" s="1885"/>
      <c r="CB77" s="1893"/>
      <c r="CI77" s="154"/>
      <c r="CJ77" s="1883"/>
      <c r="CK77" s="1884"/>
      <c r="CL77" s="1884"/>
      <c r="CM77" s="1884"/>
      <c r="CN77" s="1884"/>
      <c r="CO77" s="1884"/>
      <c r="CP77" s="1884"/>
      <c r="CQ77" s="1884"/>
      <c r="CR77" s="1884"/>
      <c r="CS77" s="1884"/>
      <c r="CT77" s="1884"/>
      <c r="CU77" s="1885"/>
      <c r="CV77" s="1893"/>
      <c r="DM77" s="1386"/>
      <c r="DN77" s="1386"/>
      <c r="DO77" s="1386"/>
      <c r="DP77" s="1386"/>
      <c r="DQ77" s="1386"/>
      <c r="DR77" s="1386"/>
      <c r="DS77" s="1386"/>
      <c r="DT77" s="1386"/>
      <c r="DU77" s="1386"/>
      <c r="DV77" s="1386"/>
    </row>
    <row r="78" spans="7:126" ht="24" customHeight="1">
      <c r="G78" s="65"/>
      <c r="H78" s="65"/>
      <c r="I78" s="65"/>
      <c r="J78" s="154"/>
      <c r="K78" s="1883"/>
      <c r="L78" s="1884"/>
      <c r="M78" s="1884"/>
      <c r="N78" s="1884"/>
      <c r="O78" s="1884"/>
      <c r="P78" s="1884"/>
      <c r="Q78" s="1884"/>
      <c r="R78" s="1884"/>
      <c r="S78" s="1884"/>
      <c r="T78" s="1884"/>
      <c r="U78" s="1884"/>
      <c r="V78" s="1885"/>
      <c r="W78" s="1893"/>
      <c r="AC78" s="154"/>
      <c r="AD78" s="1883"/>
      <c r="AE78" s="1884"/>
      <c r="AF78" s="1884"/>
      <c r="AG78" s="1884"/>
      <c r="AH78" s="1884"/>
      <c r="AI78" s="1884"/>
      <c r="AJ78" s="1884"/>
      <c r="AK78" s="1884"/>
      <c r="AL78" s="1884"/>
      <c r="AM78" s="1884"/>
      <c r="AN78" s="1884"/>
      <c r="AO78" s="1885"/>
      <c r="AP78" s="1893"/>
      <c r="AV78" s="154"/>
      <c r="AW78" s="1883"/>
      <c r="AX78" s="1884"/>
      <c r="AY78" s="1884"/>
      <c r="AZ78" s="1884"/>
      <c r="BA78" s="1884"/>
      <c r="BB78" s="1884"/>
      <c r="BC78" s="1884"/>
      <c r="BD78" s="1884"/>
      <c r="BE78" s="1884"/>
      <c r="BF78" s="1884"/>
      <c r="BG78" s="1884"/>
      <c r="BH78" s="1885"/>
      <c r="BI78" s="1893"/>
      <c r="BO78" s="154"/>
      <c r="BP78" s="1883"/>
      <c r="BQ78" s="1884"/>
      <c r="BR78" s="1884"/>
      <c r="BS78" s="1884"/>
      <c r="BT78" s="1884"/>
      <c r="BU78" s="1884"/>
      <c r="BV78" s="1884"/>
      <c r="BW78" s="1884"/>
      <c r="BX78" s="1884"/>
      <c r="BY78" s="1884"/>
      <c r="BZ78" s="1884"/>
      <c r="CA78" s="1885"/>
      <c r="CB78" s="1893"/>
      <c r="CI78" s="154"/>
      <c r="CJ78" s="1883"/>
      <c r="CK78" s="1884"/>
      <c r="CL78" s="1884"/>
      <c r="CM78" s="1884"/>
      <c r="CN78" s="1884"/>
      <c r="CO78" s="1884"/>
      <c r="CP78" s="1884"/>
      <c r="CQ78" s="1884"/>
      <c r="CR78" s="1884"/>
      <c r="CS78" s="1884"/>
      <c r="CT78" s="1884"/>
      <c r="CU78" s="1885"/>
      <c r="CV78" s="1893"/>
      <c r="DM78" s="1386"/>
      <c r="DN78" s="1386"/>
      <c r="DO78" s="1386"/>
      <c r="DP78" s="1386"/>
      <c r="DQ78" s="1386"/>
      <c r="DR78" s="1386"/>
      <c r="DS78" s="1386"/>
      <c r="DT78" s="1386"/>
      <c r="DU78" s="1386"/>
      <c r="DV78" s="1386"/>
    </row>
    <row r="79" spans="7:126" ht="24" customHeight="1">
      <c r="G79" s="65"/>
      <c r="H79" s="65"/>
      <c r="I79" s="65"/>
      <c r="J79" s="154"/>
      <c r="K79" s="1883"/>
      <c r="L79" s="1884"/>
      <c r="M79" s="1884"/>
      <c r="N79" s="1884"/>
      <c r="O79" s="1884"/>
      <c r="P79" s="1884"/>
      <c r="Q79" s="1884"/>
      <c r="R79" s="1884"/>
      <c r="S79" s="1884"/>
      <c r="T79" s="1884"/>
      <c r="U79" s="1884"/>
      <c r="V79" s="1885"/>
      <c r="W79" s="1893"/>
      <c r="AC79" s="154"/>
      <c r="AD79" s="1883"/>
      <c r="AE79" s="1884"/>
      <c r="AF79" s="1884"/>
      <c r="AG79" s="1884"/>
      <c r="AH79" s="1884"/>
      <c r="AI79" s="1884"/>
      <c r="AJ79" s="1884"/>
      <c r="AK79" s="1884"/>
      <c r="AL79" s="1884"/>
      <c r="AM79" s="1884"/>
      <c r="AN79" s="1884"/>
      <c r="AO79" s="1885"/>
      <c r="AP79" s="1893"/>
      <c r="AV79" s="154"/>
      <c r="AW79" s="1883"/>
      <c r="AX79" s="1884"/>
      <c r="AY79" s="1884"/>
      <c r="AZ79" s="1884"/>
      <c r="BA79" s="1884"/>
      <c r="BB79" s="1884"/>
      <c r="BC79" s="1884"/>
      <c r="BD79" s="1884"/>
      <c r="BE79" s="1884"/>
      <c r="BF79" s="1884"/>
      <c r="BG79" s="1884"/>
      <c r="BH79" s="1885"/>
      <c r="BI79" s="1893"/>
      <c r="BO79" s="154"/>
      <c r="BP79" s="1883"/>
      <c r="BQ79" s="1884"/>
      <c r="BR79" s="1884"/>
      <c r="BS79" s="1884"/>
      <c r="BT79" s="1884"/>
      <c r="BU79" s="1884"/>
      <c r="BV79" s="1884"/>
      <c r="BW79" s="1884"/>
      <c r="BX79" s="1884"/>
      <c r="BY79" s="1884"/>
      <c r="BZ79" s="1884"/>
      <c r="CA79" s="1885"/>
      <c r="CB79" s="1893"/>
      <c r="CI79" s="154"/>
      <c r="CJ79" s="1883"/>
      <c r="CK79" s="1884"/>
      <c r="CL79" s="1884"/>
      <c r="CM79" s="1884"/>
      <c r="CN79" s="1884"/>
      <c r="CO79" s="1884"/>
      <c r="CP79" s="1884"/>
      <c r="CQ79" s="1884"/>
      <c r="CR79" s="1884"/>
      <c r="CS79" s="1884"/>
      <c r="CT79" s="1884"/>
      <c r="CU79" s="1885"/>
      <c r="CV79" s="1893"/>
      <c r="DM79" s="1386"/>
      <c r="DN79" s="1386"/>
      <c r="DO79" s="1386"/>
      <c r="DP79" s="1386"/>
      <c r="DQ79" s="1386"/>
      <c r="DR79" s="1386"/>
      <c r="DS79" s="1386"/>
      <c r="DT79" s="1386"/>
      <c r="DU79" s="1386"/>
      <c r="DV79" s="1386"/>
    </row>
    <row r="80" spans="7:126" ht="24" customHeight="1">
      <c r="J80" s="154"/>
      <c r="K80" s="1883"/>
      <c r="L80" s="1884"/>
      <c r="M80" s="1884"/>
      <c r="N80" s="1884"/>
      <c r="O80" s="1884"/>
      <c r="P80" s="1884"/>
      <c r="Q80" s="1884"/>
      <c r="R80" s="1884"/>
      <c r="S80" s="1884"/>
      <c r="T80" s="1884"/>
      <c r="U80" s="1884"/>
      <c r="V80" s="1885"/>
      <c r="W80" s="1893"/>
      <c r="AC80" s="154"/>
      <c r="AD80" s="1883"/>
      <c r="AE80" s="1884"/>
      <c r="AF80" s="1884"/>
      <c r="AG80" s="1884"/>
      <c r="AH80" s="1884"/>
      <c r="AI80" s="1884"/>
      <c r="AJ80" s="1884"/>
      <c r="AK80" s="1884"/>
      <c r="AL80" s="1884"/>
      <c r="AM80" s="1884"/>
      <c r="AN80" s="1884"/>
      <c r="AO80" s="1885"/>
      <c r="AP80" s="1893"/>
      <c r="AV80" s="154"/>
      <c r="AW80" s="1883"/>
      <c r="AX80" s="1884"/>
      <c r="AY80" s="1884"/>
      <c r="AZ80" s="1884"/>
      <c r="BA80" s="1884"/>
      <c r="BB80" s="1884"/>
      <c r="BC80" s="1884"/>
      <c r="BD80" s="1884"/>
      <c r="BE80" s="1884"/>
      <c r="BF80" s="1884"/>
      <c r="BG80" s="1884"/>
      <c r="BH80" s="1885"/>
      <c r="BI80" s="1893"/>
      <c r="BO80" s="154"/>
      <c r="BP80" s="1883"/>
      <c r="BQ80" s="1884"/>
      <c r="BR80" s="1884"/>
      <c r="BS80" s="1884"/>
      <c r="BT80" s="1884"/>
      <c r="BU80" s="1884"/>
      <c r="BV80" s="1884"/>
      <c r="BW80" s="1884"/>
      <c r="BX80" s="1884"/>
      <c r="BY80" s="1884"/>
      <c r="BZ80" s="1884"/>
      <c r="CA80" s="1885"/>
      <c r="CB80" s="1893"/>
      <c r="CI80" s="154"/>
      <c r="CJ80" s="1883"/>
      <c r="CK80" s="1884"/>
      <c r="CL80" s="1884"/>
      <c r="CM80" s="1884"/>
      <c r="CN80" s="1884"/>
      <c r="CO80" s="1884"/>
      <c r="CP80" s="1884"/>
      <c r="CQ80" s="1884"/>
      <c r="CR80" s="1884"/>
      <c r="CS80" s="1884"/>
      <c r="CT80" s="1884"/>
      <c r="CU80" s="1885"/>
      <c r="CV80" s="1893"/>
      <c r="DM80" s="1386"/>
      <c r="DN80" s="1386"/>
      <c r="DO80" s="1386"/>
      <c r="DP80" s="1386"/>
      <c r="DQ80" s="1386"/>
      <c r="DR80" s="1386"/>
      <c r="DS80" s="1386"/>
      <c r="DT80" s="1386"/>
      <c r="DU80" s="1386"/>
      <c r="DV80" s="1386"/>
    </row>
    <row r="81" spans="10:126" ht="24" customHeight="1">
      <c r="J81" s="154"/>
      <c r="K81" s="1883"/>
      <c r="L81" s="1884"/>
      <c r="M81" s="1884"/>
      <c r="N81" s="1884"/>
      <c r="O81" s="1884"/>
      <c r="P81" s="1884"/>
      <c r="Q81" s="1884"/>
      <c r="R81" s="1884"/>
      <c r="S81" s="1884"/>
      <c r="T81" s="1884"/>
      <c r="U81" s="1884"/>
      <c r="V81" s="1885"/>
      <c r="W81" s="1893"/>
      <c r="AC81" s="154"/>
      <c r="AD81" s="1883"/>
      <c r="AE81" s="1884"/>
      <c r="AF81" s="1884"/>
      <c r="AG81" s="1884"/>
      <c r="AH81" s="1884"/>
      <c r="AI81" s="1884"/>
      <c r="AJ81" s="1884"/>
      <c r="AK81" s="1884"/>
      <c r="AL81" s="1884"/>
      <c r="AM81" s="1884"/>
      <c r="AN81" s="1884"/>
      <c r="AO81" s="1885"/>
      <c r="AP81" s="1893"/>
      <c r="AV81" s="154"/>
      <c r="AW81" s="1883"/>
      <c r="AX81" s="1884"/>
      <c r="AY81" s="1884"/>
      <c r="AZ81" s="1884"/>
      <c r="BA81" s="1884"/>
      <c r="BB81" s="1884"/>
      <c r="BC81" s="1884"/>
      <c r="BD81" s="1884"/>
      <c r="BE81" s="1884"/>
      <c r="BF81" s="1884"/>
      <c r="BG81" s="1884"/>
      <c r="BH81" s="1885"/>
      <c r="BI81" s="1893"/>
      <c r="BO81" s="154"/>
      <c r="BP81" s="1883"/>
      <c r="BQ81" s="1884"/>
      <c r="BR81" s="1884"/>
      <c r="BS81" s="1884"/>
      <c r="BT81" s="1884"/>
      <c r="BU81" s="1884"/>
      <c r="BV81" s="1884"/>
      <c r="BW81" s="1884"/>
      <c r="BX81" s="1884"/>
      <c r="BY81" s="1884"/>
      <c r="BZ81" s="1884"/>
      <c r="CA81" s="1885"/>
      <c r="CB81" s="1893"/>
      <c r="CI81" s="154"/>
      <c r="CJ81" s="1883"/>
      <c r="CK81" s="1884"/>
      <c r="CL81" s="1884"/>
      <c r="CM81" s="1884"/>
      <c r="CN81" s="1884"/>
      <c r="CO81" s="1884"/>
      <c r="CP81" s="1884"/>
      <c r="CQ81" s="1884"/>
      <c r="CR81" s="1884"/>
      <c r="CS81" s="1884"/>
      <c r="CT81" s="1884"/>
      <c r="CU81" s="1885"/>
      <c r="CV81" s="1893"/>
      <c r="DM81" s="1386"/>
      <c r="DN81" s="1386"/>
      <c r="DO81" s="1386"/>
      <c r="DP81" s="1386"/>
      <c r="DQ81" s="1386"/>
      <c r="DR81" s="1386"/>
      <c r="DS81" s="1386"/>
      <c r="DT81" s="1386"/>
      <c r="DU81" s="1386"/>
      <c r="DV81" s="1386"/>
    </row>
    <row r="82" spans="10:126" ht="24" customHeight="1">
      <c r="J82" s="154"/>
      <c r="K82" s="1883"/>
      <c r="L82" s="1884"/>
      <c r="M82" s="1884"/>
      <c r="N82" s="1884"/>
      <c r="O82" s="1884"/>
      <c r="P82" s="1884"/>
      <c r="Q82" s="1884"/>
      <c r="R82" s="1884"/>
      <c r="S82" s="1884"/>
      <c r="T82" s="1884"/>
      <c r="U82" s="1884"/>
      <c r="V82" s="1885"/>
      <c r="W82" s="1893"/>
      <c r="AC82" s="154"/>
      <c r="AD82" s="1883"/>
      <c r="AE82" s="1884"/>
      <c r="AF82" s="1884"/>
      <c r="AG82" s="1884"/>
      <c r="AH82" s="1884"/>
      <c r="AI82" s="1884"/>
      <c r="AJ82" s="1884"/>
      <c r="AK82" s="1884"/>
      <c r="AL82" s="1884"/>
      <c r="AM82" s="1884"/>
      <c r="AN82" s="1884"/>
      <c r="AO82" s="1885"/>
      <c r="AP82" s="1893"/>
      <c r="AV82" s="154"/>
      <c r="AW82" s="1883"/>
      <c r="AX82" s="1884"/>
      <c r="AY82" s="1884"/>
      <c r="AZ82" s="1884"/>
      <c r="BA82" s="1884"/>
      <c r="BB82" s="1884"/>
      <c r="BC82" s="1884"/>
      <c r="BD82" s="1884"/>
      <c r="BE82" s="1884"/>
      <c r="BF82" s="1884"/>
      <c r="BG82" s="1884"/>
      <c r="BH82" s="1885"/>
      <c r="BI82" s="1893"/>
      <c r="BO82" s="154"/>
      <c r="BP82" s="1883"/>
      <c r="BQ82" s="1884"/>
      <c r="BR82" s="1884"/>
      <c r="BS82" s="1884"/>
      <c r="BT82" s="1884"/>
      <c r="BU82" s="1884"/>
      <c r="BV82" s="1884"/>
      <c r="BW82" s="1884"/>
      <c r="BX82" s="1884"/>
      <c r="BY82" s="1884"/>
      <c r="BZ82" s="1884"/>
      <c r="CA82" s="1885"/>
      <c r="CB82" s="1893"/>
      <c r="CI82" s="154"/>
      <c r="CJ82" s="1883"/>
      <c r="CK82" s="1884"/>
      <c r="CL82" s="1884"/>
      <c r="CM82" s="1884"/>
      <c r="CN82" s="1884"/>
      <c r="CO82" s="1884"/>
      <c r="CP82" s="1884"/>
      <c r="CQ82" s="1884"/>
      <c r="CR82" s="1884"/>
      <c r="CS82" s="1884"/>
      <c r="CT82" s="1884"/>
      <c r="CU82" s="1885"/>
      <c r="CV82" s="1893"/>
      <c r="DM82" s="1386"/>
      <c r="DN82" s="1386"/>
      <c r="DO82" s="1386"/>
      <c r="DP82" s="1386"/>
      <c r="DQ82" s="1386"/>
      <c r="DR82" s="1386"/>
      <c r="DS82" s="1386"/>
      <c r="DT82" s="1386"/>
      <c r="DU82" s="1386"/>
      <c r="DV82" s="1386"/>
    </row>
    <row r="83" spans="10:126" ht="24" customHeight="1">
      <c r="J83" s="154"/>
      <c r="K83" s="1883"/>
      <c r="L83" s="1884"/>
      <c r="M83" s="1884"/>
      <c r="N83" s="1884"/>
      <c r="O83" s="1884"/>
      <c r="P83" s="1884"/>
      <c r="Q83" s="1884"/>
      <c r="R83" s="1884"/>
      <c r="S83" s="1884"/>
      <c r="T83" s="1884"/>
      <c r="U83" s="1884"/>
      <c r="V83" s="1885"/>
      <c r="W83" s="1893"/>
      <c r="AC83" s="154"/>
      <c r="AD83" s="1883"/>
      <c r="AE83" s="1884"/>
      <c r="AF83" s="1884"/>
      <c r="AG83" s="1884"/>
      <c r="AH83" s="1884"/>
      <c r="AI83" s="1884"/>
      <c r="AJ83" s="1884"/>
      <c r="AK83" s="1884"/>
      <c r="AL83" s="1884"/>
      <c r="AM83" s="1884"/>
      <c r="AN83" s="1884"/>
      <c r="AO83" s="1885"/>
      <c r="AP83" s="1893"/>
      <c r="AV83" s="154"/>
      <c r="AW83" s="1883"/>
      <c r="AX83" s="1884"/>
      <c r="AY83" s="1884"/>
      <c r="AZ83" s="1884"/>
      <c r="BA83" s="1884"/>
      <c r="BB83" s="1884"/>
      <c r="BC83" s="1884"/>
      <c r="BD83" s="1884"/>
      <c r="BE83" s="1884"/>
      <c r="BF83" s="1884"/>
      <c r="BG83" s="1884"/>
      <c r="BH83" s="1885"/>
      <c r="BI83" s="1893"/>
      <c r="BO83" s="154"/>
      <c r="BP83" s="1883"/>
      <c r="BQ83" s="1884"/>
      <c r="BR83" s="1884"/>
      <c r="BS83" s="1884"/>
      <c r="BT83" s="1884"/>
      <c r="BU83" s="1884"/>
      <c r="BV83" s="1884"/>
      <c r="BW83" s="1884"/>
      <c r="BX83" s="1884"/>
      <c r="BY83" s="1884"/>
      <c r="BZ83" s="1884"/>
      <c r="CA83" s="1885"/>
      <c r="CB83" s="1893"/>
      <c r="CI83" s="154"/>
      <c r="CJ83" s="1883"/>
      <c r="CK83" s="1884"/>
      <c r="CL83" s="1884"/>
      <c r="CM83" s="1884"/>
      <c r="CN83" s="1884"/>
      <c r="CO83" s="1884"/>
      <c r="CP83" s="1884"/>
      <c r="CQ83" s="1884"/>
      <c r="CR83" s="1884"/>
      <c r="CS83" s="1884"/>
      <c r="CT83" s="1884"/>
      <c r="CU83" s="1885"/>
      <c r="CV83" s="1893"/>
      <c r="DM83" s="1386"/>
      <c r="DN83" s="1386"/>
      <c r="DO83" s="1386"/>
      <c r="DP83" s="1386"/>
      <c r="DQ83" s="1386"/>
      <c r="DR83" s="1386"/>
      <c r="DS83" s="1386"/>
      <c r="DT83" s="1386"/>
      <c r="DU83" s="1386"/>
      <c r="DV83" s="1386"/>
    </row>
    <row r="84" spans="10:126" ht="24" customHeight="1">
      <c r="J84" s="154"/>
      <c r="K84" s="1883"/>
      <c r="L84" s="1884"/>
      <c r="M84" s="1884"/>
      <c r="N84" s="1884"/>
      <c r="O84" s="1884"/>
      <c r="P84" s="1884"/>
      <c r="Q84" s="1884"/>
      <c r="R84" s="1884"/>
      <c r="S84" s="1884"/>
      <c r="T84" s="1884"/>
      <c r="U84" s="1884"/>
      <c r="V84" s="1885"/>
      <c r="W84" s="1893"/>
      <c r="AC84" s="154"/>
      <c r="AD84" s="1883"/>
      <c r="AE84" s="1884"/>
      <c r="AF84" s="1884"/>
      <c r="AG84" s="1884"/>
      <c r="AH84" s="1884"/>
      <c r="AI84" s="1884"/>
      <c r="AJ84" s="1884"/>
      <c r="AK84" s="1884"/>
      <c r="AL84" s="1884"/>
      <c r="AM84" s="1884"/>
      <c r="AN84" s="1884"/>
      <c r="AO84" s="1885"/>
      <c r="AP84" s="1893"/>
      <c r="AV84" s="154"/>
      <c r="AW84" s="1883"/>
      <c r="AX84" s="1884"/>
      <c r="AY84" s="1884"/>
      <c r="AZ84" s="1884"/>
      <c r="BA84" s="1884"/>
      <c r="BB84" s="1884"/>
      <c r="BC84" s="1884"/>
      <c r="BD84" s="1884"/>
      <c r="BE84" s="1884"/>
      <c r="BF84" s="1884"/>
      <c r="BG84" s="1884"/>
      <c r="BH84" s="1885"/>
      <c r="BI84" s="1893"/>
      <c r="BO84" s="154"/>
      <c r="BP84" s="1883"/>
      <c r="BQ84" s="1884"/>
      <c r="BR84" s="1884"/>
      <c r="BS84" s="1884"/>
      <c r="BT84" s="1884"/>
      <c r="BU84" s="1884"/>
      <c r="BV84" s="1884"/>
      <c r="BW84" s="1884"/>
      <c r="BX84" s="1884"/>
      <c r="BY84" s="1884"/>
      <c r="BZ84" s="1884"/>
      <c r="CA84" s="1885"/>
      <c r="CB84" s="1893"/>
      <c r="CI84" s="154"/>
      <c r="CJ84" s="1883"/>
      <c r="CK84" s="1884"/>
      <c r="CL84" s="1884"/>
      <c r="CM84" s="1884"/>
      <c r="CN84" s="1884"/>
      <c r="CO84" s="1884"/>
      <c r="CP84" s="1884"/>
      <c r="CQ84" s="1884"/>
      <c r="CR84" s="1884"/>
      <c r="CS84" s="1884"/>
      <c r="CT84" s="1884"/>
      <c r="CU84" s="1885"/>
      <c r="CV84" s="1893"/>
    </row>
    <row r="85" spans="10:126" ht="24" customHeight="1">
      <c r="J85" s="154"/>
      <c r="K85" s="1883"/>
      <c r="L85" s="1884"/>
      <c r="M85" s="1884"/>
      <c r="N85" s="1884"/>
      <c r="O85" s="1884"/>
      <c r="P85" s="1884"/>
      <c r="Q85" s="1884"/>
      <c r="R85" s="1884"/>
      <c r="S85" s="1884"/>
      <c r="T85" s="1884"/>
      <c r="U85" s="1884"/>
      <c r="V85" s="1885"/>
      <c r="W85" s="1893"/>
      <c r="AC85" s="154"/>
      <c r="AD85" s="1883"/>
      <c r="AE85" s="1884"/>
      <c r="AF85" s="1884"/>
      <c r="AG85" s="1884"/>
      <c r="AH85" s="1884"/>
      <c r="AI85" s="1884"/>
      <c r="AJ85" s="1884"/>
      <c r="AK85" s="1884"/>
      <c r="AL85" s="1884"/>
      <c r="AM85" s="1884"/>
      <c r="AN85" s="1884"/>
      <c r="AO85" s="1885"/>
      <c r="AP85" s="1893"/>
      <c r="AV85" s="154"/>
      <c r="AW85" s="1883"/>
      <c r="AX85" s="1884"/>
      <c r="AY85" s="1884"/>
      <c r="AZ85" s="1884"/>
      <c r="BA85" s="1884"/>
      <c r="BB85" s="1884"/>
      <c r="BC85" s="1884"/>
      <c r="BD85" s="1884"/>
      <c r="BE85" s="1884"/>
      <c r="BF85" s="1884"/>
      <c r="BG85" s="1884"/>
      <c r="BH85" s="1885"/>
      <c r="BI85" s="1893"/>
      <c r="BO85" s="154"/>
      <c r="BP85" s="1883"/>
      <c r="BQ85" s="1884"/>
      <c r="BR85" s="1884"/>
      <c r="BS85" s="1884"/>
      <c r="BT85" s="1884"/>
      <c r="BU85" s="1884"/>
      <c r="BV85" s="1884"/>
      <c r="BW85" s="1884"/>
      <c r="BX85" s="1884"/>
      <c r="BY85" s="1884"/>
      <c r="BZ85" s="1884"/>
      <c r="CA85" s="1885"/>
      <c r="CB85" s="1893"/>
      <c r="CI85" s="154"/>
      <c r="CJ85" s="1883"/>
      <c r="CK85" s="1884"/>
      <c r="CL85" s="1884"/>
      <c r="CM85" s="1884"/>
      <c r="CN85" s="1884"/>
      <c r="CO85" s="1884"/>
      <c r="CP85" s="1884"/>
      <c r="CQ85" s="1884"/>
      <c r="CR85" s="1884"/>
      <c r="CS85" s="1884"/>
      <c r="CT85" s="1884"/>
      <c r="CU85" s="1885"/>
      <c r="CV85" s="1893"/>
    </row>
    <row r="86" spans="10:126" ht="24" customHeight="1">
      <c r="J86" s="154"/>
      <c r="K86" s="1883"/>
      <c r="L86" s="1884"/>
      <c r="M86" s="1884"/>
      <c r="N86" s="1884"/>
      <c r="O86" s="1884"/>
      <c r="P86" s="1884"/>
      <c r="Q86" s="1884"/>
      <c r="R86" s="1884"/>
      <c r="S86" s="1884"/>
      <c r="T86" s="1884"/>
      <c r="U86" s="1884"/>
      <c r="V86" s="1885"/>
      <c r="W86" s="1893"/>
      <c r="AC86" s="154"/>
      <c r="AD86" s="1883"/>
      <c r="AE86" s="1884"/>
      <c r="AF86" s="1884"/>
      <c r="AG86" s="1884"/>
      <c r="AH86" s="1884"/>
      <c r="AI86" s="1884"/>
      <c r="AJ86" s="1884"/>
      <c r="AK86" s="1884"/>
      <c r="AL86" s="1884"/>
      <c r="AM86" s="1884"/>
      <c r="AN86" s="1884"/>
      <c r="AO86" s="1885"/>
      <c r="AP86" s="1893"/>
      <c r="AV86" s="154"/>
      <c r="AW86" s="1883"/>
      <c r="AX86" s="1884"/>
      <c r="AY86" s="1884"/>
      <c r="AZ86" s="1884"/>
      <c r="BA86" s="1884"/>
      <c r="BB86" s="1884"/>
      <c r="BC86" s="1884"/>
      <c r="BD86" s="1884"/>
      <c r="BE86" s="1884"/>
      <c r="BF86" s="1884"/>
      <c r="BG86" s="1884"/>
      <c r="BH86" s="1885"/>
      <c r="BI86" s="1893"/>
      <c r="BO86" s="154"/>
      <c r="BP86" s="1883"/>
      <c r="BQ86" s="1884"/>
      <c r="BR86" s="1884"/>
      <c r="BS86" s="1884"/>
      <c r="BT86" s="1884"/>
      <c r="BU86" s="1884"/>
      <c r="BV86" s="1884"/>
      <c r="BW86" s="1884"/>
      <c r="BX86" s="1884"/>
      <c r="BY86" s="1884"/>
      <c r="BZ86" s="1884"/>
      <c r="CA86" s="1885"/>
      <c r="CB86" s="1893"/>
      <c r="CI86" s="154"/>
      <c r="CJ86" s="1883"/>
      <c r="CK86" s="1884"/>
      <c r="CL86" s="1884"/>
      <c r="CM86" s="1884"/>
      <c r="CN86" s="1884"/>
      <c r="CO86" s="1884"/>
      <c r="CP86" s="1884"/>
      <c r="CQ86" s="1884"/>
      <c r="CR86" s="1884"/>
      <c r="CS86" s="1884"/>
      <c r="CT86" s="1884"/>
      <c r="CU86" s="1885"/>
      <c r="CV86" s="1893"/>
    </row>
    <row r="87" spans="10:126" ht="24" customHeight="1">
      <c r="J87" s="154"/>
      <c r="K87" s="1883"/>
      <c r="L87" s="1884"/>
      <c r="M87" s="1884"/>
      <c r="N87" s="1884"/>
      <c r="O87" s="1884"/>
      <c r="P87" s="1884"/>
      <c r="Q87" s="1884"/>
      <c r="R87" s="1884"/>
      <c r="S87" s="1884"/>
      <c r="T87" s="1884"/>
      <c r="U87" s="1884"/>
      <c r="V87" s="1885"/>
      <c r="W87" s="1893"/>
      <c r="AC87" s="154"/>
      <c r="AD87" s="1883"/>
      <c r="AE87" s="1884"/>
      <c r="AF87" s="1884"/>
      <c r="AG87" s="1884"/>
      <c r="AH87" s="1884"/>
      <c r="AI87" s="1884"/>
      <c r="AJ87" s="1884"/>
      <c r="AK87" s="1884"/>
      <c r="AL87" s="1884"/>
      <c r="AM87" s="1884"/>
      <c r="AN87" s="1884"/>
      <c r="AO87" s="1885"/>
      <c r="AP87" s="1893"/>
      <c r="AV87" s="154"/>
      <c r="AW87" s="1883"/>
      <c r="AX87" s="1884"/>
      <c r="AY87" s="1884"/>
      <c r="AZ87" s="1884"/>
      <c r="BA87" s="1884"/>
      <c r="BB87" s="1884"/>
      <c r="BC87" s="1884"/>
      <c r="BD87" s="1884"/>
      <c r="BE87" s="1884"/>
      <c r="BF87" s="1884"/>
      <c r="BG87" s="1884"/>
      <c r="BH87" s="1885"/>
      <c r="BI87" s="1893"/>
      <c r="BO87" s="154"/>
      <c r="BP87" s="1883"/>
      <c r="BQ87" s="1884"/>
      <c r="BR87" s="1884"/>
      <c r="BS87" s="1884"/>
      <c r="BT87" s="1884"/>
      <c r="BU87" s="1884"/>
      <c r="BV87" s="1884"/>
      <c r="BW87" s="1884"/>
      <c r="BX87" s="1884"/>
      <c r="BY87" s="1884"/>
      <c r="BZ87" s="1884"/>
      <c r="CA87" s="1885"/>
      <c r="CB87" s="1893"/>
      <c r="CI87" s="154"/>
      <c r="CJ87" s="1883"/>
      <c r="CK87" s="1884"/>
      <c r="CL87" s="1884"/>
      <c r="CM87" s="1884"/>
      <c r="CN87" s="1884"/>
      <c r="CO87" s="1884"/>
      <c r="CP87" s="1884"/>
      <c r="CQ87" s="1884"/>
      <c r="CR87" s="1884"/>
      <c r="CS87" s="1884"/>
      <c r="CT87" s="1884"/>
      <c r="CU87" s="1885"/>
      <c r="CV87" s="1893"/>
    </row>
    <row r="88" spans="10:126" ht="24" customHeight="1">
      <c r="J88" s="154"/>
      <c r="K88" s="1883"/>
      <c r="L88" s="1884"/>
      <c r="M88" s="1884"/>
      <c r="N88" s="1884"/>
      <c r="O88" s="1884"/>
      <c r="P88" s="1884"/>
      <c r="Q88" s="1884"/>
      <c r="R88" s="1884"/>
      <c r="S88" s="1884"/>
      <c r="T88" s="1884"/>
      <c r="U88" s="1884"/>
      <c r="V88" s="1885"/>
      <c r="W88" s="1893"/>
      <c r="AC88" s="154"/>
      <c r="AD88" s="1883"/>
      <c r="AE88" s="1884"/>
      <c r="AF88" s="1884"/>
      <c r="AG88" s="1884"/>
      <c r="AH88" s="1884"/>
      <c r="AI88" s="1884"/>
      <c r="AJ88" s="1884"/>
      <c r="AK88" s="1884"/>
      <c r="AL88" s="1884"/>
      <c r="AM88" s="1884"/>
      <c r="AN88" s="1884"/>
      <c r="AO88" s="1885"/>
      <c r="AP88" s="1893"/>
      <c r="AV88" s="154"/>
      <c r="AW88" s="1883"/>
      <c r="AX88" s="1884"/>
      <c r="AY88" s="1884"/>
      <c r="AZ88" s="1884"/>
      <c r="BA88" s="1884"/>
      <c r="BB88" s="1884"/>
      <c r="BC88" s="1884"/>
      <c r="BD88" s="1884"/>
      <c r="BE88" s="1884"/>
      <c r="BF88" s="1884"/>
      <c r="BG88" s="1884"/>
      <c r="BH88" s="1885"/>
      <c r="BI88" s="1893"/>
      <c r="BO88" s="154"/>
      <c r="BP88" s="1883"/>
      <c r="BQ88" s="1884"/>
      <c r="BR88" s="1884"/>
      <c r="BS88" s="1884"/>
      <c r="BT88" s="1884"/>
      <c r="BU88" s="1884"/>
      <c r="BV88" s="1884"/>
      <c r="BW88" s="1884"/>
      <c r="BX88" s="1884"/>
      <c r="BY88" s="1884"/>
      <c r="BZ88" s="1884"/>
      <c r="CA88" s="1885"/>
      <c r="CB88" s="1893"/>
      <c r="CI88" s="154"/>
      <c r="CJ88" s="1883"/>
      <c r="CK88" s="1884"/>
      <c r="CL88" s="1884"/>
      <c r="CM88" s="1884"/>
      <c r="CN88" s="1884"/>
      <c r="CO88" s="1884"/>
      <c r="CP88" s="1884"/>
      <c r="CQ88" s="1884"/>
      <c r="CR88" s="1884"/>
      <c r="CS88" s="1884"/>
      <c r="CT88" s="1884"/>
      <c r="CU88" s="1885"/>
      <c r="CV88" s="1893"/>
    </row>
    <row r="89" spans="10:126" ht="24" customHeight="1">
      <c r="J89" s="154"/>
      <c r="K89" s="1883"/>
      <c r="L89" s="1884"/>
      <c r="M89" s="1884"/>
      <c r="N89" s="1884"/>
      <c r="O89" s="1884"/>
      <c r="P89" s="1884"/>
      <c r="Q89" s="1884"/>
      <c r="R89" s="1884"/>
      <c r="S89" s="1884"/>
      <c r="T89" s="1884"/>
      <c r="U89" s="1884"/>
      <c r="V89" s="1885"/>
      <c r="W89" s="825"/>
      <c r="AC89" s="154"/>
      <c r="AD89" s="1883"/>
      <c r="AE89" s="1884"/>
      <c r="AF89" s="1884"/>
      <c r="AG89" s="1884"/>
      <c r="AH89" s="1884"/>
      <c r="AI89" s="1884"/>
      <c r="AJ89" s="1884"/>
      <c r="AK89" s="1884"/>
      <c r="AL89" s="1884"/>
      <c r="AM89" s="1884"/>
      <c r="AN89" s="1884"/>
      <c r="AO89" s="1885"/>
      <c r="AP89" s="825"/>
      <c r="AV89" s="154"/>
      <c r="AW89" s="1883"/>
      <c r="AX89" s="1884"/>
      <c r="AY89" s="1884"/>
      <c r="AZ89" s="1884"/>
      <c r="BA89" s="1884"/>
      <c r="BB89" s="1884"/>
      <c r="BC89" s="1884"/>
      <c r="BD89" s="1884"/>
      <c r="BE89" s="1884"/>
      <c r="BF89" s="1884"/>
      <c r="BG89" s="1884"/>
      <c r="BH89" s="1885"/>
      <c r="BI89" s="825"/>
      <c r="BO89" s="154"/>
      <c r="BP89" s="1883"/>
      <c r="BQ89" s="1884"/>
      <c r="BR89" s="1884"/>
      <c r="BS89" s="1884"/>
      <c r="BT89" s="1884"/>
      <c r="BU89" s="1884"/>
      <c r="BV89" s="1884"/>
      <c r="BW89" s="1884"/>
      <c r="BX89" s="1884"/>
      <c r="BY89" s="1884"/>
      <c r="BZ89" s="1884"/>
      <c r="CA89" s="1885"/>
      <c r="CB89" s="825"/>
      <c r="CI89" s="154"/>
      <c r="CJ89" s="1883"/>
      <c r="CK89" s="1884"/>
      <c r="CL89" s="1884"/>
      <c r="CM89" s="1884"/>
      <c r="CN89" s="1884"/>
      <c r="CO89" s="1884"/>
      <c r="CP89" s="1884"/>
      <c r="CQ89" s="1884"/>
      <c r="CR89" s="1884"/>
      <c r="CS89" s="1884"/>
      <c r="CT89" s="1884"/>
      <c r="CU89" s="1885"/>
      <c r="CV89" s="825"/>
    </row>
    <row r="90" spans="10:126" ht="24" customHeight="1">
      <c r="J90" s="154"/>
      <c r="K90" s="1886"/>
      <c r="L90" s="1887"/>
      <c r="M90" s="1887"/>
      <c r="N90" s="1887"/>
      <c r="O90" s="1887"/>
      <c r="P90" s="1887"/>
      <c r="Q90" s="1887"/>
      <c r="R90" s="1887"/>
      <c r="S90" s="1887"/>
      <c r="T90" s="1887"/>
      <c r="U90" s="1887"/>
      <c r="V90" s="1888"/>
      <c r="W90" s="826"/>
      <c r="AC90" s="154"/>
      <c r="AD90" s="1886"/>
      <c r="AE90" s="1887"/>
      <c r="AF90" s="1887"/>
      <c r="AG90" s="1887"/>
      <c r="AH90" s="1887"/>
      <c r="AI90" s="1887"/>
      <c r="AJ90" s="1887"/>
      <c r="AK90" s="1887"/>
      <c r="AL90" s="1887"/>
      <c r="AM90" s="1887"/>
      <c r="AN90" s="1887"/>
      <c r="AO90" s="1888"/>
      <c r="AP90" s="826"/>
      <c r="AV90" s="154"/>
      <c r="AW90" s="1886"/>
      <c r="AX90" s="1887"/>
      <c r="AY90" s="1887"/>
      <c r="AZ90" s="1887"/>
      <c r="BA90" s="1887"/>
      <c r="BB90" s="1887"/>
      <c r="BC90" s="1887"/>
      <c r="BD90" s="1887"/>
      <c r="BE90" s="1887"/>
      <c r="BF90" s="1887"/>
      <c r="BG90" s="1887"/>
      <c r="BH90" s="1888"/>
      <c r="BI90" s="826"/>
      <c r="BO90" s="154"/>
      <c r="BP90" s="1886"/>
      <c r="BQ90" s="1887"/>
      <c r="BR90" s="1887"/>
      <c r="BS90" s="1887"/>
      <c r="BT90" s="1887"/>
      <c r="BU90" s="1887"/>
      <c r="BV90" s="1887"/>
      <c r="BW90" s="1887"/>
      <c r="BX90" s="1887"/>
      <c r="BY90" s="1887"/>
      <c r="BZ90" s="1887"/>
      <c r="CA90" s="1888"/>
      <c r="CB90" s="826"/>
      <c r="CI90" s="154"/>
      <c r="CJ90" s="1886"/>
      <c r="CK90" s="1887"/>
      <c r="CL90" s="1887"/>
      <c r="CM90" s="1887"/>
      <c r="CN90" s="1887"/>
      <c r="CO90" s="1887"/>
      <c r="CP90" s="1887"/>
      <c r="CQ90" s="1887"/>
      <c r="CR90" s="1887"/>
      <c r="CS90" s="1887"/>
      <c r="CT90" s="1887"/>
      <c r="CU90" s="1888"/>
      <c r="CV90" s="826"/>
    </row>
    <row r="91" spans="10:126" ht="24" customHeight="1">
      <c r="J91" s="154"/>
      <c r="K91" s="1894"/>
      <c r="L91" s="1894"/>
      <c r="M91" s="1894"/>
      <c r="N91" s="1894"/>
      <c r="O91" s="1894"/>
      <c r="P91" s="1894"/>
      <c r="Q91" s="1894"/>
      <c r="R91" s="1894"/>
      <c r="S91" s="1894"/>
      <c r="T91" s="1894"/>
      <c r="U91" s="1894"/>
      <c r="V91" s="1894"/>
      <c r="W91" s="826"/>
      <c r="AC91" s="154"/>
      <c r="AD91" s="1894"/>
      <c r="AE91" s="1894"/>
      <c r="AF91" s="1894"/>
      <c r="AG91" s="1894"/>
      <c r="AH91" s="1894"/>
      <c r="AI91" s="1894"/>
      <c r="AJ91" s="1894"/>
      <c r="AK91" s="1894"/>
      <c r="AL91" s="1894"/>
      <c r="AM91" s="1894"/>
      <c r="AN91" s="1894"/>
      <c r="AO91" s="1894"/>
      <c r="AP91" s="826"/>
      <c r="AV91" s="154"/>
      <c r="AW91" s="1894"/>
      <c r="AX91" s="1894"/>
      <c r="AY91" s="1894"/>
      <c r="AZ91" s="1894"/>
      <c r="BA91" s="1894"/>
      <c r="BB91" s="1894"/>
      <c r="BC91" s="1894"/>
      <c r="BD91" s="1894"/>
      <c r="BE91" s="1894"/>
      <c r="BF91" s="1894"/>
      <c r="BG91" s="1894"/>
      <c r="BH91" s="1894"/>
      <c r="BI91" s="826"/>
      <c r="BO91" s="154"/>
      <c r="BP91" s="1894"/>
      <c r="BQ91" s="1894"/>
      <c r="BR91" s="1894"/>
      <c r="BS91" s="1894"/>
      <c r="BT91" s="1894"/>
      <c r="BU91" s="1894"/>
      <c r="BV91" s="1894"/>
      <c r="BW91" s="1894"/>
      <c r="BX91" s="1894"/>
      <c r="BY91" s="1894"/>
      <c r="BZ91" s="1894"/>
      <c r="CA91" s="1894"/>
      <c r="CB91" s="826"/>
      <c r="CI91" s="154"/>
      <c r="CJ91" s="1894"/>
      <c r="CK91" s="1894"/>
      <c r="CL91" s="1894"/>
      <c r="CM91" s="1894"/>
      <c r="CN91" s="1894"/>
      <c r="CO91" s="1894"/>
      <c r="CP91" s="1894"/>
      <c r="CQ91" s="1894"/>
      <c r="CR91" s="1894"/>
      <c r="CS91" s="1894"/>
      <c r="CT91" s="1894"/>
      <c r="CU91" s="1894"/>
      <c r="CV91" s="826"/>
    </row>
    <row r="92" spans="10:126" ht="24" customHeight="1" thickBot="1">
      <c r="J92" s="155"/>
      <c r="K92" s="1895"/>
      <c r="L92" s="1895"/>
      <c r="M92" s="1895"/>
      <c r="N92" s="1895"/>
      <c r="O92" s="1895"/>
      <c r="P92" s="1895"/>
      <c r="Q92" s="1895"/>
      <c r="R92" s="1895"/>
      <c r="S92" s="1895"/>
      <c r="T92" s="1895"/>
      <c r="U92" s="1895"/>
      <c r="V92" s="1895"/>
      <c r="W92" s="827"/>
      <c r="AC92" s="155"/>
      <c r="AD92" s="1895"/>
      <c r="AE92" s="1895"/>
      <c r="AF92" s="1895"/>
      <c r="AG92" s="1895"/>
      <c r="AH92" s="1895"/>
      <c r="AI92" s="1895"/>
      <c r="AJ92" s="1895"/>
      <c r="AK92" s="1895"/>
      <c r="AL92" s="1895"/>
      <c r="AM92" s="1895"/>
      <c r="AN92" s="1895"/>
      <c r="AO92" s="1895"/>
      <c r="AP92" s="827"/>
      <c r="AV92" s="155"/>
      <c r="AW92" s="1895"/>
      <c r="AX92" s="1895"/>
      <c r="AY92" s="1895"/>
      <c r="AZ92" s="1895"/>
      <c r="BA92" s="1895"/>
      <c r="BB92" s="1895"/>
      <c r="BC92" s="1895"/>
      <c r="BD92" s="1895"/>
      <c r="BE92" s="1895"/>
      <c r="BF92" s="1895"/>
      <c r="BG92" s="1895"/>
      <c r="BH92" s="1895"/>
      <c r="BI92" s="827"/>
      <c r="BO92" s="155"/>
      <c r="BP92" s="1895"/>
      <c r="BQ92" s="1895"/>
      <c r="BR92" s="1895"/>
      <c r="BS92" s="1895"/>
      <c r="BT92" s="1895"/>
      <c r="BU92" s="1895"/>
      <c r="BV92" s="1895"/>
      <c r="BW92" s="1895"/>
      <c r="BX92" s="1895"/>
      <c r="BY92" s="1895"/>
      <c r="BZ92" s="1895"/>
      <c r="CA92" s="1895"/>
      <c r="CB92" s="827"/>
      <c r="CI92" s="155"/>
      <c r="CJ92" s="1895"/>
      <c r="CK92" s="1895"/>
      <c r="CL92" s="1895"/>
      <c r="CM92" s="1895"/>
      <c r="CN92" s="1895"/>
      <c r="CO92" s="1895"/>
      <c r="CP92" s="1895"/>
      <c r="CQ92" s="1895"/>
      <c r="CR92" s="1895"/>
      <c r="CS92" s="1895"/>
      <c r="CT92" s="1895"/>
      <c r="CU92" s="1895"/>
      <c r="CV92" s="827"/>
    </row>
    <row r="95" spans="10:126" ht="24" customHeight="1">
      <c r="J95" s="1894"/>
      <c r="K95" s="1035"/>
      <c r="L95" s="1797"/>
      <c r="M95" s="1797"/>
      <c r="N95" s="1797"/>
      <c r="O95" s="1797"/>
      <c r="P95" s="1797"/>
      <c r="Q95" s="1797"/>
      <c r="R95" s="1797"/>
      <c r="S95" s="1797"/>
      <c r="T95" s="1797"/>
      <c r="U95" s="1797"/>
      <c r="V95" s="1036"/>
      <c r="W95" s="825"/>
      <c r="AC95" s="1894"/>
      <c r="AD95" s="1035"/>
      <c r="AE95" s="1797"/>
      <c r="AF95" s="1797"/>
      <c r="AG95" s="1797"/>
      <c r="AH95" s="1797"/>
      <c r="AI95" s="1797"/>
      <c r="AJ95" s="1797"/>
      <c r="AK95" s="1797"/>
      <c r="AL95" s="1797"/>
      <c r="AM95" s="1797"/>
      <c r="AN95" s="1797"/>
      <c r="AO95" s="1036"/>
      <c r="AP95" s="825"/>
      <c r="AV95" s="1894"/>
      <c r="AW95" s="1035"/>
      <c r="AX95" s="1797"/>
      <c r="AY95" s="1797"/>
      <c r="AZ95" s="1797"/>
      <c r="BA95" s="1797"/>
      <c r="BB95" s="1797"/>
      <c r="BC95" s="1797"/>
      <c r="BD95" s="1797"/>
      <c r="BE95" s="1797"/>
      <c r="BF95" s="1797"/>
      <c r="BG95" s="1797"/>
      <c r="BH95" s="1036"/>
      <c r="BI95" s="825"/>
      <c r="BO95" s="825"/>
      <c r="BP95" s="1035" t="s">
        <v>819</v>
      </c>
      <c r="BQ95" s="1036"/>
      <c r="BR95" s="825"/>
      <c r="BS95" s="1035" t="s">
        <v>852</v>
      </c>
      <c r="BT95" s="1797"/>
      <c r="BU95" s="1797"/>
      <c r="BV95" s="1797"/>
      <c r="BW95" s="1797"/>
      <c r="BX95" s="1797"/>
      <c r="BY95" s="1797"/>
      <c r="BZ95" s="1797"/>
      <c r="CA95" s="1036"/>
      <c r="CB95" s="825"/>
      <c r="CI95" s="825"/>
      <c r="CJ95" s="1035" t="s">
        <v>818</v>
      </c>
      <c r="CK95" s="1036"/>
      <c r="CL95" s="825"/>
      <c r="CM95" s="170" t="s">
        <v>832</v>
      </c>
      <c r="CN95" s="166"/>
      <c r="CO95" s="166"/>
      <c r="CP95" s="166"/>
      <c r="CQ95" s="166"/>
      <c r="CR95" s="166"/>
      <c r="CS95" s="166"/>
      <c r="CT95" s="166"/>
      <c r="CU95" s="167"/>
      <c r="CV95" s="825"/>
    </row>
    <row r="96" spans="10:126" ht="24" customHeight="1" thickBot="1">
      <c r="J96" s="1896"/>
      <c r="K96" s="1039"/>
      <c r="L96" s="1889"/>
      <c r="M96" s="1889"/>
      <c r="N96" s="1889"/>
      <c r="O96" s="1889"/>
      <c r="P96" s="1889"/>
      <c r="Q96" s="1889"/>
      <c r="R96" s="1889"/>
      <c r="S96" s="1889"/>
      <c r="T96" s="1889"/>
      <c r="U96" s="1889"/>
      <c r="V96" s="1040"/>
      <c r="W96" s="827"/>
      <c r="AC96" s="1896"/>
      <c r="AD96" s="1039"/>
      <c r="AE96" s="1889"/>
      <c r="AF96" s="1889"/>
      <c r="AG96" s="1889"/>
      <c r="AH96" s="1889"/>
      <c r="AI96" s="1889"/>
      <c r="AJ96" s="1889"/>
      <c r="AK96" s="1889"/>
      <c r="AL96" s="1889"/>
      <c r="AM96" s="1889"/>
      <c r="AN96" s="1889"/>
      <c r="AO96" s="1040"/>
      <c r="AP96" s="827"/>
      <c r="AV96" s="1896"/>
      <c r="AW96" s="1039"/>
      <c r="AX96" s="1889"/>
      <c r="AY96" s="1889"/>
      <c r="AZ96" s="1889"/>
      <c r="BA96" s="1889"/>
      <c r="BB96" s="1889"/>
      <c r="BC96" s="1889"/>
      <c r="BD96" s="1889"/>
      <c r="BE96" s="1889"/>
      <c r="BF96" s="1889"/>
      <c r="BG96" s="1889"/>
      <c r="BH96" s="1040"/>
      <c r="BI96" s="827"/>
      <c r="BO96" s="1304"/>
      <c r="BP96" s="1039"/>
      <c r="BQ96" s="1040"/>
      <c r="BR96" s="1304"/>
      <c r="BS96" s="1039"/>
      <c r="BT96" s="1889"/>
      <c r="BU96" s="1889"/>
      <c r="BV96" s="1889"/>
      <c r="BW96" s="1889"/>
      <c r="BX96" s="1889"/>
      <c r="BY96" s="1889"/>
      <c r="BZ96" s="1889"/>
      <c r="CA96" s="1040"/>
      <c r="CB96" s="827"/>
      <c r="CI96" s="1304"/>
      <c r="CJ96" s="1039"/>
      <c r="CK96" s="1040"/>
      <c r="CL96" s="1304"/>
      <c r="CM96" s="168"/>
      <c r="CN96" s="168"/>
      <c r="CO96" s="168"/>
      <c r="CP96" s="168"/>
      <c r="CQ96" s="168"/>
      <c r="CR96" s="168"/>
      <c r="CS96" s="168"/>
      <c r="CT96" s="168"/>
      <c r="CU96" s="169"/>
      <c r="CV96" s="827"/>
    </row>
    <row r="97" spans="10:100" ht="24" customHeight="1">
      <c r="J97" s="154"/>
      <c r="K97" s="1897"/>
      <c r="L97" s="1898"/>
      <c r="M97" s="1898"/>
      <c r="N97" s="1898"/>
      <c r="O97" s="1898"/>
      <c r="P97" s="1898"/>
      <c r="Q97" s="1898"/>
      <c r="R97" s="1898"/>
      <c r="S97" s="1898"/>
      <c r="T97" s="1898"/>
      <c r="U97" s="1898"/>
      <c r="V97" s="1899"/>
      <c r="W97" s="1890" t="s">
        <v>466</v>
      </c>
      <c r="AC97" s="154"/>
      <c r="AD97" s="1897"/>
      <c r="AE97" s="1898"/>
      <c r="AF97" s="1898"/>
      <c r="AG97" s="1898"/>
      <c r="AH97" s="1898"/>
      <c r="AI97" s="1898"/>
      <c r="AJ97" s="1898"/>
      <c r="AK97" s="1898"/>
      <c r="AL97" s="1898"/>
      <c r="AM97" s="1898"/>
      <c r="AN97" s="1898"/>
      <c r="AO97" s="1899"/>
      <c r="AP97" s="1890" t="s">
        <v>466</v>
      </c>
      <c r="AV97" s="154"/>
      <c r="AW97" s="1897"/>
      <c r="AX97" s="1898"/>
      <c r="AY97" s="1898"/>
      <c r="AZ97" s="1898"/>
      <c r="BA97" s="1898"/>
      <c r="BB97" s="1898"/>
      <c r="BC97" s="1898"/>
      <c r="BD97" s="1898"/>
      <c r="BE97" s="1898"/>
      <c r="BF97" s="1898"/>
      <c r="BG97" s="1898"/>
      <c r="BH97" s="1899"/>
      <c r="BI97" s="1890" t="s">
        <v>466</v>
      </c>
      <c r="BO97" s="154"/>
      <c r="BP97" s="1897"/>
      <c r="BQ97" s="1898"/>
      <c r="BR97" s="1898"/>
      <c r="BS97" s="1898"/>
      <c r="BT97" s="1898"/>
      <c r="BU97" s="1898"/>
      <c r="BV97" s="1898"/>
      <c r="BW97" s="1898"/>
      <c r="BX97" s="1898"/>
      <c r="BY97" s="1898"/>
      <c r="BZ97" s="1898"/>
      <c r="CA97" s="1899"/>
      <c r="CB97" s="1890" t="s">
        <v>466</v>
      </c>
      <c r="CI97" s="154"/>
      <c r="CJ97" s="1897"/>
      <c r="CK97" s="1898"/>
      <c r="CL97" s="1898"/>
      <c r="CM97" s="1898"/>
      <c r="CN97" s="1898"/>
      <c r="CO97" s="1898"/>
      <c r="CP97" s="1898"/>
      <c r="CQ97" s="1898"/>
      <c r="CR97" s="1898"/>
      <c r="CS97" s="1898"/>
      <c r="CT97" s="1898"/>
      <c r="CU97" s="1899"/>
      <c r="CV97" s="1890" t="s">
        <v>466</v>
      </c>
    </row>
    <row r="98" spans="10:100" ht="24" customHeight="1">
      <c r="J98" s="154"/>
      <c r="K98" s="1883"/>
      <c r="L98" s="1884"/>
      <c r="M98" s="1884"/>
      <c r="N98" s="1884"/>
      <c r="O98" s="1884"/>
      <c r="P98" s="1884"/>
      <c r="Q98" s="1884"/>
      <c r="R98" s="1884"/>
      <c r="S98" s="1884"/>
      <c r="T98" s="1884"/>
      <c r="U98" s="1884"/>
      <c r="V98" s="1885"/>
      <c r="W98" s="1891"/>
      <c r="AC98" s="154"/>
      <c r="AD98" s="1883"/>
      <c r="AE98" s="1884"/>
      <c r="AF98" s="1884"/>
      <c r="AG98" s="1884"/>
      <c r="AH98" s="1884"/>
      <c r="AI98" s="1884"/>
      <c r="AJ98" s="1884"/>
      <c r="AK98" s="1884"/>
      <c r="AL98" s="1884"/>
      <c r="AM98" s="1884"/>
      <c r="AN98" s="1884"/>
      <c r="AO98" s="1885"/>
      <c r="AP98" s="1891"/>
      <c r="AV98" s="154"/>
      <c r="AW98" s="1883"/>
      <c r="AX98" s="1884"/>
      <c r="AY98" s="1884"/>
      <c r="AZ98" s="1884"/>
      <c r="BA98" s="1884"/>
      <c r="BB98" s="1884"/>
      <c r="BC98" s="1884"/>
      <c r="BD98" s="1884"/>
      <c r="BE98" s="1884"/>
      <c r="BF98" s="1884"/>
      <c r="BG98" s="1884"/>
      <c r="BH98" s="1885"/>
      <c r="BI98" s="1891"/>
      <c r="BO98" s="154"/>
      <c r="BP98" s="1883"/>
      <c r="BQ98" s="1884"/>
      <c r="BR98" s="1884"/>
      <c r="BS98" s="1884"/>
      <c r="BT98" s="1884"/>
      <c r="BU98" s="1884"/>
      <c r="BV98" s="1884"/>
      <c r="BW98" s="1884"/>
      <c r="BX98" s="1884"/>
      <c r="BY98" s="1884"/>
      <c r="BZ98" s="1884"/>
      <c r="CA98" s="1885"/>
      <c r="CB98" s="1891"/>
      <c r="CI98" s="154"/>
      <c r="CJ98" s="1883"/>
      <c r="CK98" s="1884"/>
      <c r="CL98" s="1884"/>
      <c r="CM98" s="1884"/>
      <c r="CN98" s="1884"/>
      <c r="CO98" s="1884"/>
      <c r="CP98" s="1884"/>
      <c r="CQ98" s="1884"/>
      <c r="CR98" s="1884"/>
      <c r="CS98" s="1884"/>
      <c r="CT98" s="1884"/>
      <c r="CU98" s="1885"/>
      <c r="CV98" s="1891"/>
    </row>
    <row r="99" spans="10:100" ht="24" customHeight="1">
      <c r="J99" s="154"/>
      <c r="K99" s="1883"/>
      <c r="L99" s="1884"/>
      <c r="M99" s="1884"/>
      <c r="N99" s="1884"/>
      <c r="O99" s="1884"/>
      <c r="P99" s="1884"/>
      <c r="Q99" s="1884"/>
      <c r="R99" s="1884"/>
      <c r="S99" s="1884"/>
      <c r="T99" s="1884"/>
      <c r="U99" s="1884"/>
      <c r="V99" s="1885"/>
      <c r="W99" s="1892"/>
      <c r="AC99" s="154"/>
      <c r="AD99" s="1883"/>
      <c r="AE99" s="1884"/>
      <c r="AF99" s="1884"/>
      <c r="AG99" s="1884"/>
      <c r="AH99" s="1884"/>
      <c r="AI99" s="1884"/>
      <c r="AJ99" s="1884"/>
      <c r="AK99" s="1884"/>
      <c r="AL99" s="1884"/>
      <c r="AM99" s="1884"/>
      <c r="AN99" s="1884"/>
      <c r="AO99" s="1885"/>
      <c r="AP99" s="1892"/>
      <c r="AV99" s="154"/>
      <c r="AW99" s="1883"/>
      <c r="AX99" s="1884"/>
      <c r="AY99" s="1884"/>
      <c r="AZ99" s="1884"/>
      <c r="BA99" s="1884"/>
      <c r="BB99" s="1884"/>
      <c r="BC99" s="1884"/>
      <c r="BD99" s="1884"/>
      <c r="BE99" s="1884"/>
      <c r="BF99" s="1884"/>
      <c r="BG99" s="1884"/>
      <c r="BH99" s="1885"/>
      <c r="BI99" s="1892"/>
      <c r="BO99" s="154"/>
      <c r="BP99" s="1883"/>
      <c r="BQ99" s="1884"/>
      <c r="BR99" s="1884"/>
      <c r="BS99" s="1884"/>
      <c r="BT99" s="1884"/>
      <c r="BU99" s="1884"/>
      <c r="BV99" s="1884"/>
      <c r="BW99" s="1884"/>
      <c r="BX99" s="1884"/>
      <c r="BY99" s="1884"/>
      <c r="BZ99" s="1884"/>
      <c r="CA99" s="1885"/>
      <c r="CB99" s="1892"/>
      <c r="CI99" s="154"/>
      <c r="CJ99" s="1883"/>
      <c r="CK99" s="1884"/>
      <c r="CL99" s="1884"/>
      <c r="CM99" s="1884"/>
      <c r="CN99" s="1884"/>
      <c r="CO99" s="1884"/>
      <c r="CP99" s="1884"/>
      <c r="CQ99" s="1884"/>
      <c r="CR99" s="1884"/>
      <c r="CS99" s="1884"/>
      <c r="CT99" s="1884"/>
      <c r="CU99" s="1885"/>
      <c r="CV99" s="1892"/>
    </row>
    <row r="100" spans="10:100" ht="24" customHeight="1">
      <c r="J100" s="154"/>
      <c r="K100" s="1883"/>
      <c r="L100" s="1884"/>
      <c r="M100" s="1884"/>
      <c r="N100" s="1884"/>
      <c r="O100" s="1884"/>
      <c r="P100" s="1884"/>
      <c r="Q100" s="1884"/>
      <c r="R100" s="1884"/>
      <c r="S100" s="1884"/>
      <c r="T100" s="1884"/>
      <c r="U100" s="1884"/>
      <c r="V100" s="1885"/>
      <c r="W100" s="1893"/>
      <c r="AC100" s="154"/>
      <c r="AD100" s="1883"/>
      <c r="AE100" s="1884"/>
      <c r="AF100" s="1884"/>
      <c r="AG100" s="1884"/>
      <c r="AH100" s="1884"/>
      <c r="AI100" s="1884"/>
      <c r="AJ100" s="1884"/>
      <c r="AK100" s="1884"/>
      <c r="AL100" s="1884"/>
      <c r="AM100" s="1884"/>
      <c r="AN100" s="1884"/>
      <c r="AO100" s="1885"/>
      <c r="AP100" s="1893"/>
      <c r="AV100" s="154"/>
      <c r="AW100" s="1883"/>
      <c r="AX100" s="1884"/>
      <c r="AY100" s="1884"/>
      <c r="AZ100" s="1884"/>
      <c r="BA100" s="1884"/>
      <c r="BB100" s="1884"/>
      <c r="BC100" s="1884"/>
      <c r="BD100" s="1884"/>
      <c r="BE100" s="1884"/>
      <c r="BF100" s="1884"/>
      <c r="BG100" s="1884"/>
      <c r="BH100" s="1885"/>
      <c r="BI100" s="1893"/>
      <c r="BO100" s="154"/>
      <c r="BP100" s="1883"/>
      <c r="BQ100" s="1884"/>
      <c r="BR100" s="1884"/>
      <c r="BS100" s="1884"/>
      <c r="BT100" s="1884"/>
      <c r="BU100" s="1884"/>
      <c r="BV100" s="1884"/>
      <c r="BW100" s="1884"/>
      <c r="BX100" s="1884"/>
      <c r="BY100" s="1884"/>
      <c r="BZ100" s="1884"/>
      <c r="CA100" s="1885"/>
      <c r="CB100" s="1893"/>
      <c r="CI100" s="154"/>
      <c r="CJ100" s="1883"/>
      <c r="CK100" s="1884"/>
      <c r="CL100" s="1884"/>
      <c r="CM100" s="1884"/>
      <c r="CN100" s="1884"/>
      <c r="CO100" s="1884"/>
      <c r="CP100" s="1884"/>
      <c r="CQ100" s="1884"/>
      <c r="CR100" s="1884"/>
      <c r="CS100" s="1884"/>
      <c r="CT100" s="1884"/>
      <c r="CU100" s="1885"/>
      <c r="CV100" s="1893"/>
    </row>
    <row r="101" spans="10:100" ht="24" customHeight="1">
      <c r="J101" s="154"/>
      <c r="K101" s="1883"/>
      <c r="L101" s="1884"/>
      <c r="M101" s="1884"/>
      <c r="N101" s="1884"/>
      <c r="O101" s="1884"/>
      <c r="P101" s="1884"/>
      <c r="Q101" s="1884"/>
      <c r="R101" s="1884"/>
      <c r="S101" s="1884"/>
      <c r="T101" s="1884"/>
      <c r="U101" s="1884"/>
      <c r="V101" s="1885"/>
      <c r="W101" s="1893"/>
      <c r="AC101" s="154"/>
      <c r="AD101" s="1883"/>
      <c r="AE101" s="1884"/>
      <c r="AF101" s="1884"/>
      <c r="AG101" s="1884"/>
      <c r="AH101" s="1884"/>
      <c r="AI101" s="1884"/>
      <c r="AJ101" s="1884"/>
      <c r="AK101" s="1884"/>
      <c r="AL101" s="1884"/>
      <c r="AM101" s="1884"/>
      <c r="AN101" s="1884"/>
      <c r="AO101" s="1885"/>
      <c r="AP101" s="1893"/>
      <c r="AV101" s="154"/>
      <c r="AW101" s="1883"/>
      <c r="AX101" s="1884"/>
      <c r="AY101" s="1884"/>
      <c r="AZ101" s="1884"/>
      <c r="BA101" s="1884"/>
      <c r="BB101" s="1884"/>
      <c r="BC101" s="1884"/>
      <c r="BD101" s="1884"/>
      <c r="BE101" s="1884"/>
      <c r="BF101" s="1884"/>
      <c r="BG101" s="1884"/>
      <c r="BH101" s="1885"/>
      <c r="BI101" s="1893"/>
      <c r="BO101" s="154"/>
      <c r="BP101" s="1883"/>
      <c r="BQ101" s="1884"/>
      <c r="BR101" s="1884"/>
      <c r="BS101" s="1884"/>
      <c r="BT101" s="1884"/>
      <c r="BU101" s="1884"/>
      <c r="BV101" s="1884"/>
      <c r="BW101" s="1884"/>
      <c r="BX101" s="1884"/>
      <c r="BY101" s="1884"/>
      <c r="BZ101" s="1884"/>
      <c r="CA101" s="1885"/>
      <c r="CB101" s="1893"/>
      <c r="CI101" s="154"/>
      <c r="CJ101" s="1883"/>
      <c r="CK101" s="1884"/>
      <c r="CL101" s="1884"/>
      <c r="CM101" s="1884"/>
      <c r="CN101" s="1884"/>
      <c r="CO101" s="1884"/>
      <c r="CP101" s="1884"/>
      <c r="CQ101" s="1884"/>
      <c r="CR101" s="1884"/>
      <c r="CS101" s="1884"/>
      <c r="CT101" s="1884"/>
      <c r="CU101" s="1885"/>
      <c r="CV101" s="1893"/>
    </row>
    <row r="102" spans="10:100" ht="24" customHeight="1">
      <c r="J102" s="154"/>
      <c r="K102" s="1883"/>
      <c r="L102" s="1884"/>
      <c r="M102" s="1884"/>
      <c r="N102" s="1884"/>
      <c r="O102" s="1884"/>
      <c r="P102" s="1884"/>
      <c r="Q102" s="1884"/>
      <c r="R102" s="1884"/>
      <c r="S102" s="1884"/>
      <c r="T102" s="1884"/>
      <c r="U102" s="1884"/>
      <c r="V102" s="1885"/>
      <c r="W102" s="1893"/>
      <c r="AC102" s="154"/>
      <c r="AD102" s="1883"/>
      <c r="AE102" s="1884"/>
      <c r="AF102" s="1884"/>
      <c r="AG102" s="1884"/>
      <c r="AH102" s="1884"/>
      <c r="AI102" s="1884"/>
      <c r="AJ102" s="1884"/>
      <c r="AK102" s="1884"/>
      <c r="AL102" s="1884"/>
      <c r="AM102" s="1884"/>
      <c r="AN102" s="1884"/>
      <c r="AO102" s="1885"/>
      <c r="AP102" s="1893"/>
      <c r="AV102" s="154"/>
      <c r="AW102" s="1883"/>
      <c r="AX102" s="1884"/>
      <c r="AY102" s="1884"/>
      <c r="AZ102" s="1884"/>
      <c r="BA102" s="1884"/>
      <c r="BB102" s="1884"/>
      <c r="BC102" s="1884"/>
      <c r="BD102" s="1884"/>
      <c r="BE102" s="1884"/>
      <c r="BF102" s="1884"/>
      <c r="BG102" s="1884"/>
      <c r="BH102" s="1885"/>
      <c r="BI102" s="1893"/>
      <c r="BO102" s="154"/>
      <c r="BP102" s="1883"/>
      <c r="BQ102" s="1884"/>
      <c r="BR102" s="1884"/>
      <c r="BS102" s="1884"/>
      <c r="BT102" s="1884"/>
      <c r="BU102" s="1884"/>
      <c r="BV102" s="1884"/>
      <c r="BW102" s="1884"/>
      <c r="BX102" s="1884"/>
      <c r="BY102" s="1884"/>
      <c r="BZ102" s="1884"/>
      <c r="CA102" s="1885"/>
      <c r="CB102" s="1893"/>
      <c r="CI102" s="154"/>
      <c r="CJ102" s="1883"/>
      <c r="CK102" s="1884"/>
      <c r="CL102" s="1884"/>
      <c r="CM102" s="1884"/>
      <c r="CN102" s="1884"/>
      <c r="CO102" s="1884"/>
      <c r="CP102" s="1884"/>
      <c r="CQ102" s="1884"/>
      <c r="CR102" s="1884"/>
      <c r="CS102" s="1884"/>
      <c r="CT102" s="1884"/>
      <c r="CU102" s="1885"/>
      <c r="CV102" s="1893"/>
    </row>
    <row r="103" spans="10:100" ht="24" customHeight="1">
      <c r="J103" s="154"/>
      <c r="K103" s="1883"/>
      <c r="L103" s="1884"/>
      <c r="M103" s="1884"/>
      <c r="N103" s="1884"/>
      <c r="O103" s="1884"/>
      <c r="P103" s="1884"/>
      <c r="Q103" s="1884"/>
      <c r="R103" s="1884"/>
      <c r="S103" s="1884"/>
      <c r="T103" s="1884"/>
      <c r="U103" s="1884"/>
      <c r="V103" s="1885"/>
      <c r="W103" s="1893"/>
      <c r="AC103" s="154"/>
      <c r="AD103" s="1883"/>
      <c r="AE103" s="1884"/>
      <c r="AF103" s="1884"/>
      <c r="AG103" s="1884"/>
      <c r="AH103" s="1884"/>
      <c r="AI103" s="1884"/>
      <c r="AJ103" s="1884"/>
      <c r="AK103" s="1884"/>
      <c r="AL103" s="1884"/>
      <c r="AM103" s="1884"/>
      <c r="AN103" s="1884"/>
      <c r="AO103" s="1885"/>
      <c r="AP103" s="1893"/>
      <c r="AV103" s="154"/>
      <c r="AW103" s="1883"/>
      <c r="AX103" s="1884"/>
      <c r="AY103" s="1884"/>
      <c r="AZ103" s="1884"/>
      <c r="BA103" s="1884"/>
      <c r="BB103" s="1884"/>
      <c r="BC103" s="1884"/>
      <c r="BD103" s="1884"/>
      <c r="BE103" s="1884"/>
      <c r="BF103" s="1884"/>
      <c r="BG103" s="1884"/>
      <c r="BH103" s="1885"/>
      <c r="BI103" s="1893"/>
      <c r="BO103" s="154"/>
      <c r="BP103" s="1883"/>
      <c r="BQ103" s="1884"/>
      <c r="BR103" s="1884"/>
      <c r="BS103" s="1884"/>
      <c r="BT103" s="1884"/>
      <c r="BU103" s="1884"/>
      <c r="BV103" s="1884"/>
      <c r="BW103" s="1884"/>
      <c r="BX103" s="1884"/>
      <c r="BY103" s="1884"/>
      <c r="BZ103" s="1884"/>
      <c r="CA103" s="1885"/>
      <c r="CB103" s="1893"/>
      <c r="CI103" s="154"/>
      <c r="CJ103" s="1883"/>
      <c r="CK103" s="1884"/>
      <c r="CL103" s="1884"/>
      <c r="CM103" s="1884"/>
      <c r="CN103" s="1884"/>
      <c r="CO103" s="1884"/>
      <c r="CP103" s="1884"/>
      <c r="CQ103" s="1884"/>
      <c r="CR103" s="1884"/>
      <c r="CS103" s="1884"/>
      <c r="CT103" s="1884"/>
      <c r="CU103" s="1885"/>
      <c r="CV103" s="1893"/>
    </row>
    <row r="104" spans="10:100" ht="24" customHeight="1">
      <c r="J104" s="154"/>
      <c r="K104" s="1883"/>
      <c r="L104" s="1884"/>
      <c r="M104" s="1884"/>
      <c r="N104" s="1884"/>
      <c r="O104" s="1884"/>
      <c r="P104" s="1884"/>
      <c r="Q104" s="1884"/>
      <c r="R104" s="1884"/>
      <c r="S104" s="1884"/>
      <c r="T104" s="1884"/>
      <c r="U104" s="1884"/>
      <c r="V104" s="1885"/>
      <c r="W104" s="1893"/>
      <c r="AC104" s="154"/>
      <c r="AD104" s="1883"/>
      <c r="AE104" s="1884"/>
      <c r="AF104" s="1884"/>
      <c r="AG104" s="1884"/>
      <c r="AH104" s="1884"/>
      <c r="AI104" s="1884"/>
      <c r="AJ104" s="1884"/>
      <c r="AK104" s="1884"/>
      <c r="AL104" s="1884"/>
      <c r="AM104" s="1884"/>
      <c r="AN104" s="1884"/>
      <c r="AO104" s="1885"/>
      <c r="AP104" s="1893"/>
      <c r="AV104" s="154"/>
      <c r="AW104" s="1883"/>
      <c r="AX104" s="1884"/>
      <c r="AY104" s="1884"/>
      <c r="AZ104" s="1884"/>
      <c r="BA104" s="1884"/>
      <c r="BB104" s="1884"/>
      <c r="BC104" s="1884"/>
      <c r="BD104" s="1884"/>
      <c r="BE104" s="1884"/>
      <c r="BF104" s="1884"/>
      <c r="BG104" s="1884"/>
      <c r="BH104" s="1885"/>
      <c r="BI104" s="1893"/>
      <c r="BO104" s="154"/>
      <c r="BP104" s="1883"/>
      <c r="BQ104" s="1884"/>
      <c r="BR104" s="1884"/>
      <c r="BS104" s="1884"/>
      <c r="BT104" s="1884"/>
      <c r="BU104" s="1884"/>
      <c r="BV104" s="1884"/>
      <c r="BW104" s="1884"/>
      <c r="BX104" s="1884"/>
      <c r="BY104" s="1884"/>
      <c r="BZ104" s="1884"/>
      <c r="CA104" s="1885"/>
      <c r="CB104" s="1893"/>
      <c r="CI104" s="154"/>
      <c r="CJ104" s="1883"/>
      <c r="CK104" s="1884"/>
      <c r="CL104" s="1884"/>
      <c r="CM104" s="1884"/>
      <c r="CN104" s="1884"/>
      <c r="CO104" s="1884"/>
      <c r="CP104" s="1884"/>
      <c r="CQ104" s="1884"/>
      <c r="CR104" s="1884"/>
      <c r="CS104" s="1884"/>
      <c r="CT104" s="1884"/>
      <c r="CU104" s="1885"/>
      <c r="CV104" s="1893"/>
    </row>
    <row r="105" spans="10:100" ht="24" customHeight="1">
      <c r="J105" s="154"/>
      <c r="K105" s="1883"/>
      <c r="L105" s="1884"/>
      <c r="M105" s="1884"/>
      <c r="N105" s="1884"/>
      <c r="O105" s="1884"/>
      <c r="P105" s="1884"/>
      <c r="Q105" s="1884"/>
      <c r="R105" s="1884"/>
      <c r="S105" s="1884"/>
      <c r="T105" s="1884"/>
      <c r="U105" s="1884"/>
      <c r="V105" s="1885"/>
      <c r="W105" s="1893"/>
      <c r="AC105" s="154"/>
      <c r="AD105" s="1883"/>
      <c r="AE105" s="1884"/>
      <c r="AF105" s="1884"/>
      <c r="AG105" s="1884"/>
      <c r="AH105" s="1884"/>
      <c r="AI105" s="1884"/>
      <c r="AJ105" s="1884"/>
      <c r="AK105" s="1884"/>
      <c r="AL105" s="1884"/>
      <c r="AM105" s="1884"/>
      <c r="AN105" s="1884"/>
      <c r="AO105" s="1885"/>
      <c r="AP105" s="1893"/>
      <c r="AV105" s="154"/>
      <c r="AW105" s="1883"/>
      <c r="AX105" s="1884"/>
      <c r="AY105" s="1884"/>
      <c r="AZ105" s="1884"/>
      <c r="BA105" s="1884"/>
      <c r="BB105" s="1884"/>
      <c r="BC105" s="1884"/>
      <c r="BD105" s="1884"/>
      <c r="BE105" s="1884"/>
      <c r="BF105" s="1884"/>
      <c r="BG105" s="1884"/>
      <c r="BH105" s="1885"/>
      <c r="BI105" s="1893"/>
      <c r="BO105" s="154"/>
      <c r="BP105" s="1883"/>
      <c r="BQ105" s="1884"/>
      <c r="BR105" s="1884"/>
      <c r="BS105" s="1884"/>
      <c r="BT105" s="1884"/>
      <c r="BU105" s="1884"/>
      <c r="BV105" s="1884"/>
      <c r="BW105" s="1884"/>
      <c r="BX105" s="1884"/>
      <c r="BY105" s="1884"/>
      <c r="BZ105" s="1884"/>
      <c r="CA105" s="1885"/>
      <c r="CB105" s="1893"/>
      <c r="CI105" s="154"/>
      <c r="CJ105" s="1883"/>
      <c r="CK105" s="1884"/>
      <c r="CL105" s="1884"/>
      <c r="CM105" s="1884"/>
      <c r="CN105" s="1884"/>
      <c r="CO105" s="1884"/>
      <c r="CP105" s="1884"/>
      <c r="CQ105" s="1884"/>
      <c r="CR105" s="1884"/>
      <c r="CS105" s="1884"/>
      <c r="CT105" s="1884"/>
      <c r="CU105" s="1885"/>
      <c r="CV105" s="1893"/>
    </row>
    <row r="106" spans="10:100" ht="24" customHeight="1">
      <c r="J106" s="154"/>
      <c r="K106" s="1883"/>
      <c r="L106" s="1884"/>
      <c r="M106" s="1884"/>
      <c r="N106" s="1884"/>
      <c r="O106" s="1884"/>
      <c r="P106" s="1884"/>
      <c r="Q106" s="1884"/>
      <c r="R106" s="1884"/>
      <c r="S106" s="1884"/>
      <c r="T106" s="1884"/>
      <c r="U106" s="1884"/>
      <c r="V106" s="1885"/>
      <c r="W106" s="1893"/>
      <c r="AC106" s="154"/>
      <c r="AD106" s="1883"/>
      <c r="AE106" s="1884"/>
      <c r="AF106" s="1884"/>
      <c r="AG106" s="1884"/>
      <c r="AH106" s="1884"/>
      <c r="AI106" s="1884"/>
      <c r="AJ106" s="1884"/>
      <c r="AK106" s="1884"/>
      <c r="AL106" s="1884"/>
      <c r="AM106" s="1884"/>
      <c r="AN106" s="1884"/>
      <c r="AO106" s="1885"/>
      <c r="AP106" s="1893"/>
      <c r="AV106" s="154"/>
      <c r="AW106" s="1883"/>
      <c r="AX106" s="1884"/>
      <c r="AY106" s="1884"/>
      <c r="AZ106" s="1884"/>
      <c r="BA106" s="1884"/>
      <c r="BB106" s="1884"/>
      <c r="BC106" s="1884"/>
      <c r="BD106" s="1884"/>
      <c r="BE106" s="1884"/>
      <c r="BF106" s="1884"/>
      <c r="BG106" s="1884"/>
      <c r="BH106" s="1885"/>
      <c r="BI106" s="1893"/>
      <c r="BO106" s="154"/>
      <c r="BP106" s="1883"/>
      <c r="BQ106" s="1884"/>
      <c r="BR106" s="1884"/>
      <c r="BS106" s="1884"/>
      <c r="BT106" s="1884"/>
      <c r="BU106" s="1884"/>
      <c r="BV106" s="1884"/>
      <c r="BW106" s="1884"/>
      <c r="BX106" s="1884"/>
      <c r="BY106" s="1884"/>
      <c r="BZ106" s="1884"/>
      <c r="CA106" s="1885"/>
      <c r="CB106" s="1893"/>
      <c r="CI106" s="154"/>
      <c r="CJ106" s="1883"/>
      <c r="CK106" s="1884"/>
      <c r="CL106" s="1884"/>
      <c r="CM106" s="1884"/>
      <c r="CN106" s="1884"/>
      <c r="CO106" s="1884"/>
      <c r="CP106" s="1884"/>
      <c r="CQ106" s="1884"/>
      <c r="CR106" s="1884"/>
      <c r="CS106" s="1884"/>
      <c r="CT106" s="1884"/>
      <c r="CU106" s="1885"/>
      <c r="CV106" s="1893"/>
    </row>
    <row r="107" spans="10:100" ht="24" customHeight="1">
      <c r="J107" s="154"/>
      <c r="K107" s="1883"/>
      <c r="L107" s="1884"/>
      <c r="M107" s="1884"/>
      <c r="N107" s="1884"/>
      <c r="O107" s="1884"/>
      <c r="P107" s="1884"/>
      <c r="Q107" s="1884"/>
      <c r="R107" s="1884"/>
      <c r="S107" s="1884"/>
      <c r="T107" s="1884"/>
      <c r="U107" s="1884"/>
      <c r="V107" s="1885"/>
      <c r="W107" s="1893"/>
      <c r="AC107" s="154"/>
      <c r="AD107" s="1883"/>
      <c r="AE107" s="1884"/>
      <c r="AF107" s="1884"/>
      <c r="AG107" s="1884"/>
      <c r="AH107" s="1884"/>
      <c r="AI107" s="1884"/>
      <c r="AJ107" s="1884"/>
      <c r="AK107" s="1884"/>
      <c r="AL107" s="1884"/>
      <c r="AM107" s="1884"/>
      <c r="AN107" s="1884"/>
      <c r="AO107" s="1885"/>
      <c r="AP107" s="1893"/>
      <c r="AV107" s="154"/>
      <c r="AW107" s="1883"/>
      <c r="AX107" s="1884"/>
      <c r="AY107" s="1884"/>
      <c r="AZ107" s="1884"/>
      <c r="BA107" s="1884"/>
      <c r="BB107" s="1884"/>
      <c r="BC107" s="1884"/>
      <c r="BD107" s="1884"/>
      <c r="BE107" s="1884"/>
      <c r="BF107" s="1884"/>
      <c r="BG107" s="1884"/>
      <c r="BH107" s="1885"/>
      <c r="BI107" s="1893"/>
      <c r="BO107" s="154"/>
      <c r="BP107" s="1883"/>
      <c r="BQ107" s="1884"/>
      <c r="BR107" s="1884"/>
      <c r="BS107" s="1884"/>
      <c r="BT107" s="1884"/>
      <c r="BU107" s="1884"/>
      <c r="BV107" s="1884"/>
      <c r="BW107" s="1884"/>
      <c r="BX107" s="1884"/>
      <c r="BY107" s="1884"/>
      <c r="BZ107" s="1884"/>
      <c r="CA107" s="1885"/>
      <c r="CB107" s="1893"/>
      <c r="CI107" s="154"/>
      <c r="CJ107" s="1883"/>
      <c r="CK107" s="1884"/>
      <c r="CL107" s="1884"/>
      <c r="CM107" s="1884"/>
      <c r="CN107" s="1884"/>
      <c r="CO107" s="1884"/>
      <c r="CP107" s="1884"/>
      <c r="CQ107" s="1884"/>
      <c r="CR107" s="1884"/>
      <c r="CS107" s="1884"/>
      <c r="CT107" s="1884"/>
      <c r="CU107" s="1885"/>
      <c r="CV107" s="1893"/>
    </row>
    <row r="108" spans="10:100" ht="24" customHeight="1">
      <c r="J108" s="154"/>
      <c r="K108" s="1883"/>
      <c r="L108" s="1884"/>
      <c r="M108" s="1884"/>
      <c r="N108" s="1884"/>
      <c r="O108" s="1884"/>
      <c r="P108" s="1884"/>
      <c r="Q108" s="1884"/>
      <c r="R108" s="1884"/>
      <c r="S108" s="1884"/>
      <c r="T108" s="1884"/>
      <c r="U108" s="1884"/>
      <c r="V108" s="1885"/>
      <c r="W108" s="1893"/>
      <c r="AC108" s="154"/>
      <c r="AD108" s="1883"/>
      <c r="AE108" s="1884"/>
      <c r="AF108" s="1884"/>
      <c r="AG108" s="1884"/>
      <c r="AH108" s="1884"/>
      <c r="AI108" s="1884"/>
      <c r="AJ108" s="1884"/>
      <c r="AK108" s="1884"/>
      <c r="AL108" s="1884"/>
      <c r="AM108" s="1884"/>
      <c r="AN108" s="1884"/>
      <c r="AO108" s="1885"/>
      <c r="AP108" s="1893"/>
      <c r="AV108" s="154"/>
      <c r="AW108" s="1883"/>
      <c r="AX108" s="1884"/>
      <c r="AY108" s="1884"/>
      <c r="AZ108" s="1884"/>
      <c r="BA108" s="1884"/>
      <c r="BB108" s="1884"/>
      <c r="BC108" s="1884"/>
      <c r="BD108" s="1884"/>
      <c r="BE108" s="1884"/>
      <c r="BF108" s="1884"/>
      <c r="BG108" s="1884"/>
      <c r="BH108" s="1885"/>
      <c r="BI108" s="1893"/>
      <c r="BO108" s="154"/>
      <c r="BP108" s="1883"/>
      <c r="BQ108" s="1884"/>
      <c r="BR108" s="1884"/>
      <c r="BS108" s="1884"/>
      <c r="BT108" s="1884"/>
      <c r="BU108" s="1884"/>
      <c r="BV108" s="1884"/>
      <c r="BW108" s="1884"/>
      <c r="BX108" s="1884"/>
      <c r="BY108" s="1884"/>
      <c r="BZ108" s="1884"/>
      <c r="CA108" s="1885"/>
      <c r="CB108" s="1893"/>
      <c r="CI108" s="154"/>
      <c r="CJ108" s="1883"/>
      <c r="CK108" s="1884"/>
      <c r="CL108" s="1884"/>
      <c r="CM108" s="1884"/>
      <c r="CN108" s="1884"/>
      <c r="CO108" s="1884"/>
      <c r="CP108" s="1884"/>
      <c r="CQ108" s="1884"/>
      <c r="CR108" s="1884"/>
      <c r="CS108" s="1884"/>
      <c r="CT108" s="1884"/>
      <c r="CU108" s="1885"/>
      <c r="CV108" s="1893"/>
    </row>
    <row r="109" spans="10:100" ht="24" customHeight="1">
      <c r="J109" s="154"/>
      <c r="K109" s="1883"/>
      <c r="L109" s="1884"/>
      <c r="M109" s="1884"/>
      <c r="N109" s="1884"/>
      <c r="O109" s="1884"/>
      <c r="P109" s="1884"/>
      <c r="Q109" s="1884"/>
      <c r="R109" s="1884"/>
      <c r="S109" s="1884"/>
      <c r="T109" s="1884"/>
      <c r="U109" s="1884"/>
      <c r="V109" s="1885"/>
      <c r="W109" s="1893"/>
      <c r="AC109" s="154"/>
      <c r="AD109" s="1883"/>
      <c r="AE109" s="1884"/>
      <c r="AF109" s="1884"/>
      <c r="AG109" s="1884"/>
      <c r="AH109" s="1884"/>
      <c r="AI109" s="1884"/>
      <c r="AJ109" s="1884"/>
      <c r="AK109" s="1884"/>
      <c r="AL109" s="1884"/>
      <c r="AM109" s="1884"/>
      <c r="AN109" s="1884"/>
      <c r="AO109" s="1885"/>
      <c r="AP109" s="1893"/>
      <c r="AV109" s="154"/>
      <c r="AW109" s="1883"/>
      <c r="AX109" s="1884"/>
      <c r="AY109" s="1884"/>
      <c r="AZ109" s="1884"/>
      <c r="BA109" s="1884"/>
      <c r="BB109" s="1884"/>
      <c r="BC109" s="1884"/>
      <c r="BD109" s="1884"/>
      <c r="BE109" s="1884"/>
      <c r="BF109" s="1884"/>
      <c r="BG109" s="1884"/>
      <c r="BH109" s="1885"/>
      <c r="BI109" s="1893"/>
      <c r="BO109" s="154"/>
      <c r="BP109" s="1883"/>
      <c r="BQ109" s="1884"/>
      <c r="BR109" s="1884"/>
      <c r="BS109" s="1884"/>
      <c r="BT109" s="1884"/>
      <c r="BU109" s="1884"/>
      <c r="BV109" s="1884"/>
      <c r="BW109" s="1884"/>
      <c r="BX109" s="1884"/>
      <c r="BY109" s="1884"/>
      <c r="BZ109" s="1884"/>
      <c r="CA109" s="1885"/>
      <c r="CB109" s="1893"/>
      <c r="CI109" s="154"/>
      <c r="CJ109" s="1883"/>
      <c r="CK109" s="1884"/>
      <c r="CL109" s="1884"/>
      <c r="CM109" s="1884"/>
      <c r="CN109" s="1884"/>
      <c r="CO109" s="1884"/>
      <c r="CP109" s="1884"/>
      <c r="CQ109" s="1884"/>
      <c r="CR109" s="1884"/>
      <c r="CS109" s="1884"/>
      <c r="CT109" s="1884"/>
      <c r="CU109" s="1885"/>
      <c r="CV109" s="1893"/>
    </row>
    <row r="110" spans="10:100" ht="24" customHeight="1">
      <c r="J110" s="154"/>
      <c r="K110" s="1883"/>
      <c r="L110" s="1884"/>
      <c r="M110" s="1884"/>
      <c r="N110" s="1884"/>
      <c r="O110" s="1884"/>
      <c r="P110" s="1884"/>
      <c r="Q110" s="1884"/>
      <c r="R110" s="1884"/>
      <c r="S110" s="1884"/>
      <c r="T110" s="1884"/>
      <c r="U110" s="1884"/>
      <c r="V110" s="1885"/>
      <c r="W110" s="1893"/>
      <c r="AC110" s="154"/>
      <c r="AD110" s="1883"/>
      <c r="AE110" s="1884"/>
      <c r="AF110" s="1884"/>
      <c r="AG110" s="1884"/>
      <c r="AH110" s="1884"/>
      <c r="AI110" s="1884"/>
      <c r="AJ110" s="1884"/>
      <c r="AK110" s="1884"/>
      <c r="AL110" s="1884"/>
      <c r="AM110" s="1884"/>
      <c r="AN110" s="1884"/>
      <c r="AO110" s="1885"/>
      <c r="AP110" s="1893"/>
      <c r="AV110" s="154"/>
      <c r="AW110" s="1883"/>
      <c r="AX110" s="1884"/>
      <c r="AY110" s="1884"/>
      <c r="AZ110" s="1884"/>
      <c r="BA110" s="1884"/>
      <c r="BB110" s="1884"/>
      <c r="BC110" s="1884"/>
      <c r="BD110" s="1884"/>
      <c r="BE110" s="1884"/>
      <c r="BF110" s="1884"/>
      <c r="BG110" s="1884"/>
      <c r="BH110" s="1885"/>
      <c r="BI110" s="1893"/>
      <c r="BO110" s="154"/>
      <c r="BP110" s="1883"/>
      <c r="BQ110" s="1884"/>
      <c r="BR110" s="1884"/>
      <c r="BS110" s="1884"/>
      <c r="BT110" s="1884"/>
      <c r="BU110" s="1884"/>
      <c r="BV110" s="1884"/>
      <c r="BW110" s="1884"/>
      <c r="BX110" s="1884"/>
      <c r="BY110" s="1884"/>
      <c r="BZ110" s="1884"/>
      <c r="CA110" s="1885"/>
      <c r="CB110" s="1893"/>
      <c r="CI110" s="154"/>
      <c r="CJ110" s="1883"/>
      <c r="CK110" s="1884"/>
      <c r="CL110" s="1884"/>
      <c r="CM110" s="1884"/>
      <c r="CN110" s="1884"/>
      <c r="CO110" s="1884"/>
      <c r="CP110" s="1884"/>
      <c r="CQ110" s="1884"/>
      <c r="CR110" s="1884"/>
      <c r="CS110" s="1884"/>
      <c r="CT110" s="1884"/>
      <c r="CU110" s="1885"/>
      <c r="CV110" s="1893"/>
    </row>
    <row r="111" spans="10:100" ht="24" customHeight="1">
      <c r="J111" s="154"/>
      <c r="K111" s="1883"/>
      <c r="L111" s="1884"/>
      <c r="M111" s="1884"/>
      <c r="N111" s="1884"/>
      <c r="O111" s="1884"/>
      <c r="P111" s="1884"/>
      <c r="Q111" s="1884"/>
      <c r="R111" s="1884"/>
      <c r="S111" s="1884"/>
      <c r="T111" s="1884"/>
      <c r="U111" s="1884"/>
      <c r="V111" s="1885"/>
      <c r="W111" s="1893"/>
      <c r="AC111" s="154"/>
      <c r="AD111" s="1883"/>
      <c r="AE111" s="1884"/>
      <c r="AF111" s="1884"/>
      <c r="AG111" s="1884"/>
      <c r="AH111" s="1884"/>
      <c r="AI111" s="1884"/>
      <c r="AJ111" s="1884"/>
      <c r="AK111" s="1884"/>
      <c r="AL111" s="1884"/>
      <c r="AM111" s="1884"/>
      <c r="AN111" s="1884"/>
      <c r="AO111" s="1885"/>
      <c r="AP111" s="1893"/>
      <c r="AV111" s="154"/>
      <c r="AW111" s="1883"/>
      <c r="AX111" s="1884"/>
      <c r="AY111" s="1884"/>
      <c r="AZ111" s="1884"/>
      <c r="BA111" s="1884"/>
      <c r="BB111" s="1884"/>
      <c r="BC111" s="1884"/>
      <c r="BD111" s="1884"/>
      <c r="BE111" s="1884"/>
      <c r="BF111" s="1884"/>
      <c r="BG111" s="1884"/>
      <c r="BH111" s="1885"/>
      <c r="BI111" s="1893"/>
      <c r="BO111" s="154"/>
      <c r="BP111" s="1883"/>
      <c r="BQ111" s="1884"/>
      <c r="BR111" s="1884"/>
      <c r="BS111" s="1884"/>
      <c r="BT111" s="1884"/>
      <c r="BU111" s="1884"/>
      <c r="BV111" s="1884"/>
      <c r="BW111" s="1884"/>
      <c r="BX111" s="1884"/>
      <c r="BY111" s="1884"/>
      <c r="BZ111" s="1884"/>
      <c r="CA111" s="1885"/>
      <c r="CB111" s="1893"/>
      <c r="CI111" s="154"/>
      <c r="CJ111" s="1883"/>
      <c r="CK111" s="1884"/>
      <c r="CL111" s="1884"/>
      <c r="CM111" s="1884"/>
      <c r="CN111" s="1884"/>
      <c r="CO111" s="1884"/>
      <c r="CP111" s="1884"/>
      <c r="CQ111" s="1884"/>
      <c r="CR111" s="1884"/>
      <c r="CS111" s="1884"/>
      <c r="CT111" s="1884"/>
      <c r="CU111" s="1885"/>
      <c r="CV111" s="1893"/>
    </row>
    <row r="112" spans="10:100" ht="24" customHeight="1">
      <c r="J112" s="154"/>
      <c r="K112" s="1883"/>
      <c r="L112" s="1884"/>
      <c r="M112" s="1884"/>
      <c r="N112" s="1884"/>
      <c r="O112" s="1884"/>
      <c r="P112" s="1884"/>
      <c r="Q112" s="1884"/>
      <c r="R112" s="1884"/>
      <c r="S112" s="1884"/>
      <c r="T112" s="1884"/>
      <c r="U112" s="1884"/>
      <c r="V112" s="1885"/>
      <c r="W112" s="1893"/>
      <c r="AC112" s="154"/>
      <c r="AD112" s="1883"/>
      <c r="AE112" s="1884"/>
      <c r="AF112" s="1884"/>
      <c r="AG112" s="1884"/>
      <c r="AH112" s="1884"/>
      <c r="AI112" s="1884"/>
      <c r="AJ112" s="1884"/>
      <c r="AK112" s="1884"/>
      <c r="AL112" s="1884"/>
      <c r="AM112" s="1884"/>
      <c r="AN112" s="1884"/>
      <c r="AO112" s="1885"/>
      <c r="AP112" s="1893"/>
      <c r="AV112" s="154"/>
      <c r="AW112" s="1883"/>
      <c r="AX112" s="1884"/>
      <c r="AY112" s="1884"/>
      <c r="AZ112" s="1884"/>
      <c r="BA112" s="1884"/>
      <c r="BB112" s="1884"/>
      <c r="BC112" s="1884"/>
      <c r="BD112" s="1884"/>
      <c r="BE112" s="1884"/>
      <c r="BF112" s="1884"/>
      <c r="BG112" s="1884"/>
      <c r="BH112" s="1885"/>
      <c r="BI112" s="1893"/>
      <c r="BO112" s="154"/>
      <c r="BP112" s="1883"/>
      <c r="BQ112" s="1884"/>
      <c r="BR112" s="1884"/>
      <c r="BS112" s="1884"/>
      <c r="BT112" s="1884"/>
      <c r="BU112" s="1884"/>
      <c r="BV112" s="1884"/>
      <c r="BW112" s="1884"/>
      <c r="BX112" s="1884"/>
      <c r="BY112" s="1884"/>
      <c r="BZ112" s="1884"/>
      <c r="CA112" s="1885"/>
      <c r="CB112" s="1893"/>
      <c r="CI112" s="154"/>
      <c r="CJ112" s="1883"/>
      <c r="CK112" s="1884"/>
      <c r="CL112" s="1884"/>
      <c r="CM112" s="1884"/>
      <c r="CN112" s="1884"/>
      <c r="CO112" s="1884"/>
      <c r="CP112" s="1884"/>
      <c r="CQ112" s="1884"/>
      <c r="CR112" s="1884"/>
      <c r="CS112" s="1884"/>
      <c r="CT112" s="1884"/>
      <c r="CU112" s="1885"/>
      <c r="CV112" s="1893"/>
    </row>
    <row r="113" spans="10:100" ht="24" customHeight="1">
      <c r="J113" s="154"/>
      <c r="K113" s="1883"/>
      <c r="L113" s="1884"/>
      <c r="M113" s="1884"/>
      <c r="N113" s="1884"/>
      <c r="O113" s="1884"/>
      <c r="P113" s="1884"/>
      <c r="Q113" s="1884"/>
      <c r="R113" s="1884"/>
      <c r="S113" s="1884"/>
      <c r="T113" s="1884"/>
      <c r="U113" s="1884"/>
      <c r="V113" s="1885"/>
      <c r="W113" s="1893"/>
      <c r="AC113" s="154"/>
      <c r="AD113" s="1883"/>
      <c r="AE113" s="1884"/>
      <c r="AF113" s="1884"/>
      <c r="AG113" s="1884"/>
      <c r="AH113" s="1884"/>
      <c r="AI113" s="1884"/>
      <c r="AJ113" s="1884"/>
      <c r="AK113" s="1884"/>
      <c r="AL113" s="1884"/>
      <c r="AM113" s="1884"/>
      <c r="AN113" s="1884"/>
      <c r="AO113" s="1885"/>
      <c r="AP113" s="1893"/>
      <c r="AV113" s="154"/>
      <c r="AW113" s="1883"/>
      <c r="AX113" s="1884"/>
      <c r="AY113" s="1884"/>
      <c r="AZ113" s="1884"/>
      <c r="BA113" s="1884"/>
      <c r="BB113" s="1884"/>
      <c r="BC113" s="1884"/>
      <c r="BD113" s="1884"/>
      <c r="BE113" s="1884"/>
      <c r="BF113" s="1884"/>
      <c r="BG113" s="1884"/>
      <c r="BH113" s="1885"/>
      <c r="BI113" s="1893"/>
      <c r="BO113" s="154"/>
      <c r="BP113" s="1883"/>
      <c r="BQ113" s="1884"/>
      <c r="BR113" s="1884"/>
      <c r="BS113" s="1884"/>
      <c r="BT113" s="1884"/>
      <c r="BU113" s="1884"/>
      <c r="BV113" s="1884"/>
      <c r="BW113" s="1884"/>
      <c r="BX113" s="1884"/>
      <c r="BY113" s="1884"/>
      <c r="BZ113" s="1884"/>
      <c r="CA113" s="1885"/>
      <c r="CB113" s="1893"/>
      <c r="CI113" s="154"/>
      <c r="CJ113" s="1883"/>
      <c r="CK113" s="1884"/>
      <c r="CL113" s="1884"/>
      <c r="CM113" s="1884"/>
      <c r="CN113" s="1884"/>
      <c r="CO113" s="1884"/>
      <c r="CP113" s="1884"/>
      <c r="CQ113" s="1884"/>
      <c r="CR113" s="1884"/>
      <c r="CS113" s="1884"/>
      <c r="CT113" s="1884"/>
      <c r="CU113" s="1885"/>
      <c r="CV113" s="1893"/>
    </row>
    <row r="114" spans="10:100" ht="24" customHeight="1">
      <c r="J114" s="154"/>
      <c r="K114" s="1883"/>
      <c r="L114" s="1884"/>
      <c r="M114" s="1884"/>
      <c r="N114" s="1884"/>
      <c r="O114" s="1884"/>
      <c r="P114" s="1884"/>
      <c r="Q114" s="1884"/>
      <c r="R114" s="1884"/>
      <c r="S114" s="1884"/>
      <c r="T114" s="1884"/>
      <c r="U114" s="1884"/>
      <c r="V114" s="1885"/>
      <c r="W114" s="1893"/>
      <c r="AC114" s="154"/>
      <c r="AD114" s="1883"/>
      <c r="AE114" s="1884"/>
      <c r="AF114" s="1884"/>
      <c r="AG114" s="1884"/>
      <c r="AH114" s="1884"/>
      <c r="AI114" s="1884"/>
      <c r="AJ114" s="1884"/>
      <c r="AK114" s="1884"/>
      <c r="AL114" s="1884"/>
      <c r="AM114" s="1884"/>
      <c r="AN114" s="1884"/>
      <c r="AO114" s="1885"/>
      <c r="AP114" s="1893"/>
      <c r="AV114" s="154"/>
      <c r="AW114" s="1883"/>
      <c r="AX114" s="1884"/>
      <c r="AY114" s="1884"/>
      <c r="AZ114" s="1884"/>
      <c r="BA114" s="1884"/>
      <c r="BB114" s="1884"/>
      <c r="BC114" s="1884"/>
      <c r="BD114" s="1884"/>
      <c r="BE114" s="1884"/>
      <c r="BF114" s="1884"/>
      <c r="BG114" s="1884"/>
      <c r="BH114" s="1885"/>
      <c r="BI114" s="1893"/>
      <c r="BO114" s="154"/>
      <c r="BP114" s="1883"/>
      <c r="BQ114" s="1884"/>
      <c r="BR114" s="1884"/>
      <c r="BS114" s="1884"/>
      <c r="BT114" s="1884"/>
      <c r="BU114" s="1884"/>
      <c r="BV114" s="1884"/>
      <c r="BW114" s="1884"/>
      <c r="BX114" s="1884"/>
      <c r="BY114" s="1884"/>
      <c r="BZ114" s="1884"/>
      <c r="CA114" s="1885"/>
      <c r="CB114" s="1893"/>
      <c r="CI114" s="154"/>
      <c r="CJ114" s="1883"/>
      <c r="CK114" s="1884"/>
      <c r="CL114" s="1884"/>
      <c r="CM114" s="1884"/>
      <c r="CN114" s="1884"/>
      <c r="CO114" s="1884"/>
      <c r="CP114" s="1884"/>
      <c r="CQ114" s="1884"/>
      <c r="CR114" s="1884"/>
      <c r="CS114" s="1884"/>
      <c r="CT114" s="1884"/>
      <c r="CU114" s="1885"/>
      <c r="CV114" s="1893"/>
    </row>
    <row r="115" spans="10:100" ht="24" customHeight="1">
      <c r="J115" s="154"/>
      <c r="K115" s="1883"/>
      <c r="L115" s="1884"/>
      <c r="M115" s="1884"/>
      <c r="N115" s="1884"/>
      <c r="O115" s="1884"/>
      <c r="P115" s="1884"/>
      <c r="Q115" s="1884"/>
      <c r="R115" s="1884"/>
      <c r="S115" s="1884"/>
      <c r="T115" s="1884"/>
      <c r="U115" s="1884"/>
      <c r="V115" s="1885"/>
      <c r="W115" s="1893"/>
      <c r="AC115" s="154"/>
      <c r="AD115" s="1883"/>
      <c r="AE115" s="1884"/>
      <c r="AF115" s="1884"/>
      <c r="AG115" s="1884"/>
      <c r="AH115" s="1884"/>
      <c r="AI115" s="1884"/>
      <c r="AJ115" s="1884"/>
      <c r="AK115" s="1884"/>
      <c r="AL115" s="1884"/>
      <c r="AM115" s="1884"/>
      <c r="AN115" s="1884"/>
      <c r="AO115" s="1885"/>
      <c r="AP115" s="1893"/>
      <c r="AV115" s="154"/>
      <c r="AW115" s="1883"/>
      <c r="AX115" s="1884"/>
      <c r="AY115" s="1884"/>
      <c r="AZ115" s="1884"/>
      <c r="BA115" s="1884"/>
      <c r="BB115" s="1884"/>
      <c r="BC115" s="1884"/>
      <c r="BD115" s="1884"/>
      <c r="BE115" s="1884"/>
      <c r="BF115" s="1884"/>
      <c r="BG115" s="1884"/>
      <c r="BH115" s="1885"/>
      <c r="BI115" s="1893"/>
      <c r="BO115" s="154"/>
      <c r="BP115" s="1883"/>
      <c r="BQ115" s="1884"/>
      <c r="BR115" s="1884"/>
      <c r="BS115" s="1884"/>
      <c r="BT115" s="1884"/>
      <c r="BU115" s="1884"/>
      <c r="BV115" s="1884"/>
      <c r="BW115" s="1884"/>
      <c r="BX115" s="1884"/>
      <c r="BY115" s="1884"/>
      <c r="BZ115" s="1884"/>
      <c r="CA115" s="1885"/>
      <c r="CB115" s="1893"/>
      <c r="CI115" s="154"/>
      <c r="CJ115" s="1883"/>
      <c r="CK115" s="1884"/>
      <c r="CL115" s="1884"/>
      <c r="CM115" s="1884"/>
      <c r="CN115" s="1884"/>
      <c r="CO115" s="1884"/>
      <c r="CP115" s="1884"/>
      <c r="CQ115" s="1884"/>
      <c r="CR115" s="1884"/>
      <c r="CS115" s="1884"/>
      <c r="CT115" s="1884"/>
      <c r="CU115" s="1885"/>
      <c r="CV115" s="1893"/>
    </row>
    <row r="116" spans="10:100" ht="24" customHeight="1">
      <c r="J116" s="154"/>
      <c r="K116" s="1883"/>
      <c r="L116" s="1884"/>
      <c r="M116" s="1884"/>
      <c r="N116" s="1884"/>
      <c r="O116" s="1884"/>
      <c r="P116" s="1884"/>
      <c r="Q116" s="1884"/>
      <c r="R116" s="1884"/>
      <c r="S116" s="1884"/>
      <c r="T116" s="1884"/>
      <c r="U116" s="1884"/>
      <c r="V116" s="1885"/>
      <c r="W116" s="1893"/>
      <c r="AC116" s="154"/>
      <c r="AD116" s="1883"/>
      <c r="AE116" s="1884"/>
      <c r="AF116" s="1884"/>
      <c r="AG116" s="1884"/>
      <c r="AH116" s="1884"/>
      <c r="AI116" s="1884"/>
      <c r="AJ116" s="1884"/>
      <c r="AK116" s="1884"/>
      <c r="AL116" s="1884"/>
      <c r="AM116" s="1884"/>
      <c r="AN116" s="1884"/>
      <c r="AO116" s="1885"/>
      <c r="AP116" s="1893"/>
      <c r="AV116" s="154"/>
      <c r="AW116" s="1883"/>
      <c r="AX116" s="1884"/>
      <c r="AY116" s="1884"/>
      <c r="AZ116" s="1884"/>
      <c r="BA116" s="1884"/>
      <c r="BB116" s="1884"/>
      <c r="BC116" s="1884"/>
      <c r="BD116" s="1884"/>
      <c r="BE116" s="1884"/>
      <c r="BF116" s="1884"/>
      <c r="BG116" s="1884"/>
      <c r="BH116" s="1885"/>
      <c r="BI116" s="1893"/>
      <c r="BO116" s="154"/>
      <c r="BP116" s="1883"/>
      <c r="BQ116" s="1884"/>
      <c r="BR116" s="1884"/>
      <c r="BS116" s="1884"/>
      <c r="BT116" s="1884"/>
      <c r="BU116" s="1884"/>
      <c r="BV116" s="1884"/>
      <c r="BW116" s="1884"/>
      <c r="BX116" s="1884"/>
      <c r="BY116" s="1884"/>
      <c r="BZ116" s="1884"/>
      <c r="CA116" s="1885"/>
      <c r="CB116" s="1893"/>
      <c r="CI116" s="154"/>
      <c r="CJ116" s="1883"/>
      <c r="CK116" s="1884"/>
      <c r="CL116" s="1884"/>
      <c r="CM116" s="1884"/>
      <c r="CN116" s="1884"/>
      <c r="CO116" s="1884"/>
      <c r="CP116" s="1884"/>
      <c r="CQ116" s="1884"/>
      <c r="CR116" s="1884"/>
      <c r="CS116" s="1884"/>
      <c r="CT116" s="1884"/>
      <c r="CU116" s="1885"/>
      <c r="CV116" s="1893"/>
    </row>
    <row r="117" spans="10:100" ht="24" customHeight="1">
      <c r="J117" s="154"/>
      <c r="K117" s="1883"/>
      <c r="L117" s="1884"/>
      <c r="M117" s="1884"/>
      <c r="N117" s="1884"/>
      <c r="O117" s="1884"/>
      <c r="P117" s="1884"/>
      <c r="Q117" s="1884"/>
      <c r="R117" s="1884"/>
      <c r="S117" s="1884"/>
      <c r="T117" s="1884"/>
      <c r="U117" s="1884"/>
      <c r="V117" s="1885"/>
      <c r="W117" s="1893"/>
      <c r="AC117" s="154"/>
      <c r="AD117" s="1883"/>
      <c r="AE117" s="1884"/>
      <c r="AF117" s="1884"/>
      <c r="AG117" s="1884"/>
      <c r="AH117" s="1884"/>
      <c r="AI117" s="1884"/>
      <c r="AJ117" s="1884"/>
      <c r="AK117" s="1884"/>
      <c r="AL117" s="1884"/>
      <c r="AM117" s="1884"/>
      <c r="AN117" s="1884"/>
      <c r="AO117" s="1885"/>
      <c r="AP117" s="1893"/>
      <c r="AV117" s="154"/>
      <c r="AW117" s="1883"/>
      <c r="AX117" s="1884"/>
      <c r="AY117" s="1884"/>
      <c r="AZ117" s="1884"/>
      <c r="BA117" s="1884"/>
      <c r="BB117" s="1884"/>
      <c r="BC117" s="1884"/>
      <c r="BD117" s="1884"/>
      <c r="BE117" s="1884"/>
      <c r="BF117" s="1884"/>
      <c r="BG117" s="1884"/>
      <c r="BH117" s="1885"/>
      <c r="BI117" s="1893"/>
      <c r="BO117" s="154"/>
      <c r="BP117" s="1883"/>
      <c r="BQ117" s="1884"/>
      <c r="BR117" s="1884"/>
      <c r="BS117" s="1884"/>
      <c r="BT117" s="1884"/>
      <c r="BU117" s="1884"/>
      <c r="BV117" s="1884"/>
      <c r="BW117" s="1884"/>
      <c r="BX117" s="1884"/>
      <c r="BY117" s="1884"/>
      <c r="BZ117" s="1884"/>
      <c r="CA117" s="1885"/>
      <c r="CB117" s="1893"/>
      <c r="CI117" s="154"/>
      <c r="CJ117" s="1883"/>
      <c r="CK117" s="1884"/>
      <c r="CL117" s="1884"/>
      <c r="CM117" s="1884"/>
      <c r="CN117" s="1884"/>
      <c r="CO117" s="1884"/>
      <c r="CP117" s="1884"/>
      <c r="CQ117" s="1884"/>
      <c r="CR117" s="1884"/>
      <c r="CS117" s="1884"/>
      <c r="CT117" s="1884"/>
      <c r="CU117" s="1885"/>
      <c r="CV117" s="1893"/>
    </row>
    <row r="118" spans="10:100" ht="24" customHeight="1">
      <c r="J118" s="154"/>
      <c r="K118" s="1883"/>
      <c r="L118" s="1884"/>
      <c r="M118" s="1884"/>
      <c r="N118" s="1884"/>
      <c r="O118" s="1884"/>
      <c r="P118" s="1884"/>
      <c r="Q118" s="1884"/>
      <c r="R118" s="1884"/>
      <c r="S118" s="1884"/>
      <c r="T118" s="1884"/>
      <c r="U118" s="1884"/>
      <c r="V118" s="1885"/>
      <c r="W118" s="1893"/>
      <c r="AC118" s="154"/>
      <c r="AD118" s="1883"/>
      <c r="AE118" s="1884"/>
      <c r="AF118" s="1884"/>
      <c r="AG118" s="1884"/>
      <c r="AH118" s="1884"/>
      <c r="AI118" s="1884"/>
      <c r="AJ118" s="1884"/>
      <c r="AK118" s="1884"/>
      <c r="AL118" s="1884"/>
      <c r="AM118" s="1884"/>
      <c r="AN118" s="1884"/>
      <c r="AO118" s="1885"/>
      <c r="AP118" s="1893"/>
      <c r="AV118" s="154"/>
      <c r="AW118" s="1883"/>
      <c r="AX118" s="1884"/>
      <c r="AY118" s="1884"/>
      <c r="AZ118" s="1884"/>
      <c r="BA118" s="1884"/>
      <c r="BB118" s="1884"/>
      <c r="BC118" s="1884"/>
      <c r="BD118" s="1884"/>
      <c r="BE118" s="1884"/>
      <c r="BF118" s="1884"/>
      <c r="BG118" s="1884"/>
      <c r="BH118" s="1885"/>
      <c r="BI118" s="1893"/>
      <c r="BO118" s="154"/>
      <c r="BP118" s="1883"/>
      <c r="BQ118" s="1884"/>
      <c r="BR118" s="1884"/>
      <c r="BS118" s="1884"/>
      <c r="BT118" s="1884"/>
      <c r="BU118" s="1884"/>
      <c r="BV118" s="1884"/>
      <c r="BW118" s="1884"/>
      <c r="BX118" s="1884"/>
      <c r="BY118" s="1884"/>
      <c r="BZ118" s="1884"/>
      <c r="CA118" s="1885"/>
      <c r="CB118" s="1893"/>
      <c r="CI118" s="154"/>
      <c r="CJ118" s="1883"/>
      <c r="CK118" s="1884"/>
      <c r="CL118" s="1884"/>
      <c r="CM118" s="1884"/>
      <c r="CN118" s="1884"/>
      <c r="CO118" s="1884"/>
      <c r="CP118" s="1884"/>
      <c r="CQ118" s="1884"/>
      <c r="CR118" s="1884"/>
      <c r="CS118" s="1884"/>
      <c r="CT118" s="1884"/>
      <c r="CU118" s="1885"/>
      <c r="CV118" s="1893"/>
    </row>
    <row r="119" spans="10:100" ht="24" customHeight="1">
      <c r="J119" s="154"/>
      <c r="K119" s="1883"/>
      <c r="L119" s="1884"/>
      <c r="M119" s="1884"/>
      <c r="N119" s="1884"/>
      <c r="O119" s="1884"/>
      <c r="P119" s="1884"/>
      <c r="Q119" s="1884"/>
      <c r="R119" s="1884"/>
      <c r="S119" s="1884"/>
      <c r="T119" s="1884"/>
      <c r="U119" s="1884"/>
      <c r="V119" s="1885"/>
      <c r="W119" s="1893"/>
      <c r="AC119" s="154"/>
      <c r="AD119" s="1883"/>
      <c r="AE119" s="1884"/>
      <c r="AF119" s="1884"/>
      <c r="AG119" s="1884"/>
      <c r="AH119" s="1884"/>
      <c r="AI119" s="1884"/>
      <c r="AJ119" s="1884"/>
      <c r="AK119" s="1884"/>
      <c r="AL119" s="1884"/>
      <c r="AM119" s="1884"/>
      <c r="AN119" s="1884"/>
      <c r="AO119" s="1885"/>
      <c r="AP119" s="1893"/>
      <c r="AV119" s="154"/>
      <c r="AW119" s="1883"/>
      <c r="AX119" s="1884"/>
      <c r="AY119" s="1884"/>
      <c r="AZ119" s="1884"/>
      <c r="BA119" s="1884"/>
      <c r="BB119" s="1884"/>
      <c r="BC119" s="1884"/>
      <c r="BD119" s="1884"/>
      <c r="BE119" s="1884"/>
      <c r="BF119" s="1884"/>
      <c r="BG119" s="1884"/>
      <c r="BH119" s="1885"/>
      <c r="BI119" s="1893"/>
      <c r="BO119" s="154"/>
      <c r="BP119" s="1883"/>
      <c r="BQ119" s="1884"/>
      <c r="BR119" s="1884"/>
      <c r="BS119" s="1884"/>
      <c r="BT119" s="1884"/>
      <c r="BU119" s="1884"/>
      <c r="BV119" s="1884"/>
      <c r="BW119" s="1884"/>
      <c r="BX119" s="1884"/>
      <c r="BY119" s="1884"/>
      <c r="BZ119" s="1884"/>
      <c r="CA119" s="1885"/>
      <c r="CB119" s="1893"/>
      <c r="CI119" s="154"/>
      <c r="CJ119" s="1883"/>
      <c r="CK119" s="1884"/>
      <c r="CL119" s="1884"/>
      <c r="CM119" s="1884"/>
      <c r="CN119" s="1884"/>
      <c r="CO119" s="1884"/>
      <c r="CP119" s="1884"/>
      <c r="CQ119" s="1884"/>
      <c r="CR119" s="1884"/>
      <c r="CS119" s="1884"/>
      <c r="CT119" s="1884"/>
      <c r="CU119" s="1885"/>
      <c r="CV119" s="1893"/>
    </row>
    <row r="120" spans="10:100" ht="24" customHeight="1">
      <c r="J120" s="154"/>
      <c r="K120" s="1883"/>
      <c r="L120" s="1884"/>
      <c r="M120" s="1884"/>
      <c r="N120" s="1884"/>
      <c r="O120" s="1884"/>
      <c r="P120" s="1884"/>
      <c r="Q120" s="1884"/>
      <c r="R120" s="1884"/>
      <c r="S120" s="1884"/>
      <c r="T120" s="1884"/>
      <c r="U120" s="1884"/>
      <c r="V120" s="1885"/>
      <c r="W120" s="1893"/>
      <c r="AC120" s="154"/>
      <c r="AD120" s="1883"/>
      <c r="AE120" s="1884"/>
      <c r="AF120" s="1884"/>
      <c r="AG120" s="1884"/>
      <c r="AH120" s="1884"/>
      <c r="AI120" s="1884"/>
      <c r="AJ120" s="1884"/>
      <c r="AK120" s="1884"/>
      <c r="AL120" s="1884"/>
      <c r="AM120" s="1884"/>
      <c r="AN120" s="1884"/>
      <c r="AO120" s="1885"/>
      <c r="AP120" s="1893"/>
      <c r="AV120" s="154"/>
      <c r="AW120" s="1883"/>
      <c r="AX120" s="1884"/>
      <c r="AY120" s="1884"/>
      <c r="AZ120" s="1884"/>
      <c r="BA120" s="1884"/>
      <c r="BB120" s="1884"/>
      <c r="BC120" s="1884"/>
      <c r="BD120" s="1884"/>
      <c r="BE120" s="1884"/>
      <c r="BF120" s="1884"/>
      <c r="BG120" s="1884"/>
      <c r="BH120" s="1885"/>
      <c r="BI120" s="1893"/>
      <c r="BO120" s="154"/>
      <c r="BP120" s="1883"/>
      <c r="BQ120" s="1884"/>
      <c r="BR120" s="1884"/>
      <c r="BS120" s="1884"/>
      <c r="BT120" s="1884"/>
      <c r="BU120" s="1884"/>
      <c r="BV120" s="1884"/>
      <c r="BW120" s="1884"/>
      <c r="BX120" s="1884"/>
      <c r="BY120" s="1884"/>
      <c r="BZ120" s="1884"/>
      <c r="CA120" s="1885"/>
      <c r="CB120" s="1893"/>
      <c r="CI120" s="154"/>
      <c r="CJ120" s="1883"/>
      <c r="CK120" s="1884"/>
      <c r="CL120" s="1884"/>
      <c r="CM120" s="1884"/>
      <c r="CN120" s="1884"/>
      <c r="CO120" s="1884"/>
      <c r="CP120" s="1884"/>
      <c r="CQ120" s="1884"/>
      <c r="CR120" s="1884"/>
      <c r="CS120" s="1884"/>
      <c r="CT120" s="1884"/>
      <c r="CU120" s="1885"/>
      <c r="CV120" s="1893"/>
    </row>
    <row r="121" spans="10:100" ht="24" customHeight="1">
      <c r="J121" s="154"/>
      <c r="K121" s="1883"/>
      <c r="L121" s="1884"/>
      <c r="M121" s="1884"/>
      <c r="N121" s="1884"/>
      <c r="O121" s="1884"/>
      <c r="P121" s="1884"/>
      <c r="Q121" s="1884"/>
      <c r="R121" s="1884"/>
      <c r="S121" s="1884"/>
      <c r="T121" s="1884"/>
      <c r="U121" s="1884"/>
      <c r="V121" s="1885"/>
      <c r="W121" s="1893"/>
      <c r="AC121" s="154"/>
      <c r="AD121" s="1883"/>
      <c r="AE121" s="1884"/>
      <c r="AF121" s="1884"/>
      <c r="AG121" s="1884"/>
      <c r="AH121" s="1884"/>
      <c r="AI121" s="1884"/>
      <c r="AJ121" s="1884"/>
      <c r="AK121" s="1884"/>
      <c r="AL121" s="1884"/>
      <c r="AM121" s="1884"/>
      <c r="AN121" s="1884"/>
      <c r="AO121" s="1885"/>
      <c r="AP121" s="1893"/>
      <c r="AV121" s="154"/>
      <c r="AW121" s="1883"/>
      <c r="AX121" s="1884"/>
      <c r="AY121" s="1884"/>
      <c r="AZ121" s="1884"/>
      <c r="BA121" s="1884"/>
      <c r="BB121" s="1884"/>
      <c r="BC121" s="1884"/>
      <c r="BD121" s="1884"/>
      <c r="BE121" s="1884"/>
      <c r="BF121" s="1884"/>
      <c r="BG121" s="1884"/>
      <c r="BH121" s="1885"/>
      <c r="BI121" s="1893"/>
      <c r="BO121" s="154"/>
      <c r="BP121" s="1883"/>
      <c r="BQ121" s="1884"/>
      <c r="BR121" s="1884"/>
      <c r="BS121" s="1884"/>
      <c r="BT121" s="1884"/>
      <c r="BU121" s="1884"/>
      <c r="BV121" s="1884"/>
      <c r="BW121" s="1884"/>
      <c r="BX121" s="1884"/>
      <c r="BY121" s="1884"/>
      <c r="BZ121" s="1884"/>
      <c r="CA121" s="1885"/>
      <c r="CB121" s="1893"/>
      <c r="CI121" s="154"/>
      <c r="CJ121" s="1883"/>
      <c r="CK121" s="1884"/>
      <c r="CL121" s="1884"/>
      <c r="CM121" s="1884"/>
      <c r="CN121" s="1884"/>
      <c r="CO121" s="1884"/>
      <c r="CP121" s="1884"/>
      <c r="CQ121" s="1884"/>
      <c r="CR121" s="1884"/>
      <c r="CS121" s="1884"/>
      <c r="CT121" s="1884"/>
      <c r="CU121" s="1885"/>
      <c r="CV121" s="1893"/>
    </row>
    <row r="122" spans="10:100" ht="24" customHeight="1">
      <c r="J122" s="154"/>
      <c r="K122" s="1883"/>
      <c r="L122" s="1884"/>
      <c r="M122" s="1884"/>
      <c r="N122" s="1884"/>
      <c r="O122" s="1884"/>
      <c r="P122" s="1884"/>
      <c r="Q122" s="1884"/>
      <c r="R122" s="1884"/>
      <c r="S122" s="1884"/>
      <c r="T122" s="1884"/>
      <c r="U122" s="1884"/>
      <c r="V122" s="1885"/>
      <c r="W122" s="1893"/>
      <c r="AC122" s="154"/>
      <c r="AD122" s="1883"/>
      <c r="AE122" s="1884"/>
      <c r="AF122" s="1884"/>
      <c r="AG122" s="1884"/>
      <c r="AH122" s="1884"/>
      <c r="AI122" s="1884"/>
      <c r="AJ122" s="1884"/>
      <c r="AK122" s="1884"/>
      <c r="AL122" s="1884"/>
      <c r="AM122" s="1884"/>
      <c r="AN122" s="1884"/>
      <c r="AO122" s="1885"/>
      <c r="AP122" s="1893"/>
      <c r="AV122" s="154"/>
      <c r="AW122" s="1883"/>
      <c r="AX122" s="1884"/>
      <c r="AY122" s="1884"/>
      <c r="AZ122" s="1884"/>
      <c r="BA122" s="1884"/>
      <c r="BB122" s="1884"/>
      <c r="BC122" s="1884"/>
      <c r="BD122" s="1884"/>
      <c r="BE122" s="1884"/>
      <c r="BF122" s="1884"/>
      <c r="BG122" s="1884"/>
      <c r="BH122" s="1885"/>
      <c r="BI122" s="1893"/>
      <c r="BO122" s="154"/>
      <c r="BP122" s="1883"/>
      <c r="BQ122" s="1884"/>
      <c r="BR122" s="1884"/>
      <c r="BS122" s="1884"/>
      <c r="BT122" s="1884"/>
      <c r="BU122" s="1884"/>
      <c r="BV122" s="1884"/>
      <c r="BW122" s="1884"/>
      <c r="BX122" s="1884"/>
      <c r="BY122" s="1884"/>
      <c r="BZ122" s="1884"/>
      <c r="CA122" s="1885"/>
      <c r="CB122" s="1893"/>
      <c r="CI122" s="154"/>
      <c r="CJ122" s="1883"/>
      <c r="CK122" s="1884"/>
      <c r="CL122" s="1884"/>
      <c r="CM122" s="1884"/>
      <c r="CN122" s="1884"/>
      <c r="CO122" s="1884"/>
      <c r="CP122" s="1884"/>
      <c r="CQ122" s="1884"/>
      <c r="CR122" s="1884"/>
      <c r="CS122" s="1884"/>
      <c r="CT122" s="1884"/>
      <c r="CU122" s="1885"/>
      <c r="CV122" s="1893"/>
    </row>
    <row r="123" spans="10:100" ht="24" customHeight="1">
      <c r="J123" s="154"/>
      <c r="K123" s="1883"/>
      <c r="L123" s="1884"/>
      <c r="M123" s="1884"/>
      <c r="N123" s="1884"/>
      <c r="O123" s="1884"/>
      <c r="P123" s="1884"/>
      <c r="Q123" s="1884"/>
      <c r="R123" s="1884"/>
      <c r="S123" s="1884"/>
      <c r="T123" s="1884"/>
      <c r="U123" s="1884"/>
      <c r="V123" s="1885"/>
      <c r="W123" s="1893"/>
      <c r="AC123" s="154"/>
      <c r="AD123" s="1883"/>
      <c r="AE123" s="1884"/>
      <c r="AF123" s="1884"/>
      <c r="AG123" s="1884"/>
      <c r="AH123" s="1884"/>
      <c r="AI123" s="1884"/>
      <c r="AJ123" s="1884"/>
      <c r="AK123" s="1884"/>
      <c r="AL123" s="1884"/>
      <c r="AM123" s="1884"/>
      <c r="AN123" s="1884"/>
      <c r="AO123" s="1885"/>
      <c r="AP123" s="1893"/>
      <c r="AV123" s="154"/>
      <c r="AW123" s="1883"/>
      <c r="AX123" s="1884"/>
      <c r="AY123" s="1884"/>
      <c r="AZ123" s="1884"/>
      <c r="BA123" s="1884"/>
      <c r="BB123" s="1884"/>
      <c r="BC123" s="1884"/>
      <c r="BD123" s="1884"/>
      <c r="BE123" s="1884"/>
      <c r="BF123" s="1884"/>
      <c r="BG123" s="1884"/>
      <c r="BH123" s="1885"/>
      <c r="BI123" s="1893"/>
      <c r="BO123" s="154"/>
      <c r="BP123" s="1883"/>
      <c r="BQ123" s="1884"/>
      <c r="BR123" s="1884"/>
      <c r="BS123" s="1884"/>
      <c r="BT123" s="1884"/>
      <c r="BU123" s="1884"/>
      <c r="BV123" s="1884"/>
      <c r="BW123" s="1884"/>
      <c r="BX123" s="1884"/>
      <c r="BY123" s="1884"/>
      <c r="BZ123" s="1884"/>
      <c r="CA123" s="1885"/>
      <c r="CB123" s="1893"/>
      <c r="CI123" s="154"/>
      <c r="CJ123" s="1883"/>
      <c r="CK123" s="1884"/>
      <c r="CL123" s="1884"/>
      <c r="CM123" s="1884"/>
      <c r="CN123" s="1884"/>
      <c r="CO123" s="1884"/>
      <c r="CP123" s="1884"/>
      <c r="CQ123" s="1884"/>
      <c r="CR123" s="1884"/>
      <c r="CS123" s="1884"/>
      <c r="CT123" s="1884"/>
      <c r="CU123" s="1885"/>
      <c r="CV123" s="1893"/>
    </row>
    <row r="124" spans="10:100" ht="24" customHeight="1">
      <c r="J124" s="154"/>
      <c r="K124" s="1883"/>
      <c r="L124" s="1884"/>
      <c r="M124" s="1884"/>
      <c r="N124" s="1884"/>
      <c r="O124" s="1884"/>
      <c r="P124" s="1884"/>
      <c r="Q124" s="1884"/>
      <c r="R124" s="1884"/>
      <c r="S124" s="1884"/>
      <c r="T124" s="1884"/>
      <c r="U124" s="1884"/>
      <c r="V124" s="1885"/>
      <c r="W124" s="1893"/>
      <c r="AC124" s="154"/>
      <c r="AD124" s="1883"/>
      <c r="AE124" s="1884"/>
      <c r="AF124" s="1884"/>
      <c r="AG124" s="1884"/>
      <c r="AH124" s="1884"/>
      <c r="AI124" s="1884"/>
      <c r="AJ124" s="1884"/>
      <c r="AK124" s="1884"/>
      <c r="AL124" s="1884"/>
      <c r="AM124" s="1884"/>
      <c r="AN124" s="1884"/>
      <c r="AO124" s="1885"/>
      <c r="AP124" s="1893"/>
      <c r="AV124" s="154"/>
      <c r="AW124" s="1883"/>
      <c r="AX124" s="1884"/>
      <c r="AY124" s="1884"/>
      <c r="AZ124" s="1884"/>
      <c r="BA124" s="1884"/>
      <c r="BB124" s="1884"/>
      <c r="BC124" s="1884"/>
      <c r="BD124" s="1884"/>
      <c r="BE124" s="1884"/>
      <c r="BF124" s="1884"/>
      <c r="BG124" s="1884"/>
      <c r="BH124" s="1885"/>
      <c r="BI124" s="1893"/>
      <c r="BO124" s="154"/>
      <c r="BP124" s="1883"/>
      <c r="BQ124" s="1884"/>
      <c r="BR124" s="1884"/>
      <c r="BS124" s="1884"/>
      <c r="BT124" s="1884"/>
      <c r="BU124" s="1884"/>
      <c r="BV124" s="1884"/>
      <c r="BW124" s="1884"/>
      <c r="BX124" s="1884"/>
      <c r="BY124" s="1884"/>
      <c r="BZ124" s="1884"/>
      <c r="CA124" s="1885"/>
      <c r="CB124" s="1893"/>
      <c r="CI124" s="154"/>
      <c r="CJ124" s="1883"/>
      <c r="CK124" s="1884"/>
      <c r="CL124" s="1884"/>
      <c r="CM124" s="1884"/>
      <c r="CN124" s="1884"/>
      <c r="CO124" s="1884"/>
      <c r="CP124" s="1884"/>
      <c r="CQ124" s="1884"/>
      <c r="CR124" s="1884"/>
      <c r="CS124" s="1884"/>
      <c r="CT124" s="1884"/>
      <c r="CU124" s="1885"/>
      <c r="CV124" s="1893"/>
    </row>
    <row r="125" spans="10:100" ht="24" customHeight="1">
      <c r="J125" s="154"/>
      <c r="K125" s="1883"/>
      <c r="L125" s="1884"/>
      <c r="M125" s="1884"/>
      <c r="N125" s="1884"/>
      <c r="O125" s="1884"/>
      <c r="P125" s="1884"/>
      <c r="Q125" s="1884"/>
      <c r="R125" s="1884"/>
      <c r="S125" s="1884"/>
      <c r="T125" s="1884"/>
      <c r="U125" s="1884"/>
      <c r="V125" s="1885"/>
      <c r="W125" s="1893"/>
      <c r="AC125" s="154"/>
      <c r="AD125" s="1883"/>
      <c r="AE125" s="1884"/>
      <c r="AF125" s="1884"/>
      <c r="AG125" s="1884"/>
      <c r="AH125" s="1884"/>
      <c r="AI125" s="1884"/>
      <c r="AJ125" s="1884"/>
      <c r="AK125" s="1884"/>
      <c r="AL125" s="1884"/>
      <c r="AM125" s="1884"/>
      <c r="AN125" s="1884"/>
      <c r="AO125" s="1885"/>
      <c r="AP125" s="1893"/>
      <c r="AV125" s="154"/>
      <c r="AW125" s="1883"/>
      <c r="AX125" s="1884"/>
      <c r="AY125" s="1884"/>
      <c r="AZ125" s="1884"/>
      <c r="BA125" s="1884"/>
      <c r="BB125" s="1884"/>
      <c r="BC125" s="1884"/>
      <c r="BD125" s="1884"/>
      <c r="BE125" s="1884"/>
      <c r="BF125" s="1884"/>
      <c r="BG125" s="1884"/>
      <c r="BH125" s="1885"/>
      <c r="BI125" s="1893"/>
      <c r="BO125" s="154"/>
      <c r="BP125" s="1883"/>
      <c r="BQ125" s="1884"/>
      <c r="BR125" s="1884"/>
      <c r="BS125" s="1884"/>
      <c r="BT125" s="1884"/>
      <c r="BU125" s="1884"/>
      <c r="BV125" s="1884"/>
      <c r="BW125" s="1884"/>
      <c r="BX125" s="1884"/>
      <c r="BY125" s="1884"/>
      <c r="BZ125" s="1884"/>
      <c r="CA125" s="1885"/>
      <c r="CB125" s="1893"/>
      <c r="CI125" s="154"/>
      <c r="CJ125" s="1883"/>
      <c r="CK125" s="1884"/>
      <c r="CL125" s="1884"/>
      <c r="CM125" s="1884"/>
      <c r="CN125" s="1884"/>
      <c r="CO125" s="1884"/>
      <c r="CP125" s="1884"/>
      <c r="CQ125" s="1884"/>
      <c r="CR125" s="1884"/>
      <c r="CS125" s="1884"/>
      <c r="CT125" s="1884"/>
      <c r="CU125" s="1885"/>
      <c r="CV125" s="1893"/>
    </row>
    <row r="126" spans="10:100" ht="24" customHeight="1" thickBot="1">
      <c r="J126" s="154"/>
      <c r="K126" s="1883"/>
      <c r="L126" s="1884"/>
      <c r="M126" s="1884"/>
      <c r="N126" s="1884"/>
      <c r="O126" s="1884"/>
      <c r="P126" s="1884"/>
      <c r="Q126" s="1884"/>
      <c r="R126" s="1884"/>
      <c r="S126" s="1884"/>
      <c r="T126" s="1884"/>
      <c r="U126" s="1884"/>
      <c r="V126" s="1885"/>
      <c r="W126" s="1893"/>
      <c r="AC126" s="154"/>
      <c r="AD126" s="1883"/>
      <c r="AE126" s="1884"/>
      <c r="AF126" s="1884"/>
      <c r="AG126" s="1884"/>
      <c r="AH126" s="1884"/>
      <c r="AI126" s="1884"/>
      <c r="AJ126" s="1884"/>
      <c r="AK126" s="1884"/>
      <c r="AL126" s="1884"/>
      <c r="AM126" s="1884"/>
      <c r="AN126" s="1884"/>
      <c r="AO126" s="1885"/>
      <c r="AP126" s="1893"/>
      <c r="AV126" s="154"/>
      <c r="AW126" s="1883"/>
      <c r="AX126" s="1884"/>
      <c r="AY126" s="1884"/>
      <c r="AZ126" s="1884"/>
      <c r="BA126" s="1884"/>
      <c r="BB126" s="1884"/>
      <c r="BC126" s="1884"/>
      <c r="BD126" s="1884"/>
      <c r="BE126" s="1884"/>
      <c r="BF126" s="1884"/>
      <c r="BG126" s="1884"/>
      <c r="BH126" s="1885"/>
      <c r="BI126" s="1893"/>
      <c r="BO126" s="154"/>
      <c r="BP126" s="1883"/>
      <c r="BQ126" s="1884"/>
      <c r="BR126" s="1884"/>
      <c r="BS126" s="1884"/>
      <c r="BT126" s="1884"/>
      <c r="BU126" s="1884"/>
      <c r="BV126" s="1884"/>
      <c r="BW126" s="1884"/>
      <c r="BX126" s="1884"/>
      <c r="BY126" s="1884"/>
      <c r="BZ126" s="1884"/>
      <c r="CA126" s="1885"/>
      <c r="CB126" s="1893"/>
      <c r="CI126" s="154"/>
      <c r="CJ126" s="1883"/>
      <c r="CK126" s="1884"/>
      <c r="CL126" s="1884"/>
      <c r="CM126" s="1884"/>
      <c r="CN126" s="1884"/>
      <c r="CO126" s="1884"/>
      <c r="CP126" s="1884"/>
      <c r="CQ126" s="1884"/>
      <c r="CR126" s="1884"/>
      <c r="CS126" s="1884"/>
      <c r="CT126" s="1884"/>
      <c r="CU126" s="1885"/>
      <c r="CV126" s="1893"/>
    </row>
    <row r="127" spans="10:100" ht="24" customHeight="1">
      <c r="J127" s="154"/>
      <c r="K127" s="1883"/>
      <c r="L127" s="1884"/>
      <c r="M127" s="1884"/>
      <c r="N127" s="1884"/>
      <c r="O127" s="1884"/>
      <c r="P127" s="1884"/>
      <c r="Q127" s="1884"/>
      <c r="R127" s="1884"/>
      <c r="S127" s="1884"/>
      <c r="T127" s="1884"/>
      <c r="U127" s="1884"/>
      <c r="V127" s="1885"/>
      <c r="W127" s="132"/>
      <c r="AC127" s="154"/>
      <c r="AD127" s="1883"/>
      <c r="AE127" s="1884"/>
      <c r="AF127" s="1884"/>
      <c r="AG127" s="1884"/>
      <c r="AH127" s="1884"/>
      <c r="AI127" s="1884"/>
      <c r="AJ127" s="1884"/>
      <c r="AK127" s="1884"/>
      <c r="AL127" s="1884"/>
      <c r="AM127" s="1884"/>
      <c r="AN127" s="1884"/>
      <c r="AO127" s="1885"/>
      <c r="AP127" s="825"/>
      <c r="AV127" s="154"/>
      <c r="AW127" s="1883"/>
      <c r="AX127" s="1884"/>
      <c r="AY127" s="1884"/>
      <c r="AZ127" s="1884"/>
      <c r="BA127" s="1884"/>
      <c r="BB127" s="1884"/>
      <c r="BC127" s="1884"/>
      <c r="BD127" s="1884"/>
      <c r="BE127" s="1884"/>
      <c r="BF127" s="1884"/>
      <c r="BG127" s="1884"/>
      <c r="BH127" s="1885"/>
      <c r="BI127" s="825"/>
      <c r="BO127" s="154"/>
      <c r="BP127" s="1883"/>
      <c r="BQ127" s="1884"/>
      <c r="BR127" s="1884"/>
      <c r="BS127" s="1884"/>
      <c r="BT127" s="1884"/>
      <c r="BU127" s="1884"/>
      <c r="BV127" s="1884"/>
      <c r="BW127" s="1884"/>
      <c r="BX127" s="1884"/>
      <c r="BY127" s="1884"/>
      <c r="BZ127" s="1884"/>
      <c r="CA127" s="1885"/>
      <c r="CB127" s="825"/>
      <c r="CI127" s="154"/>
      <c r="CJ127" s="1883"/>
      <c r="CK127" s="1884"/>
      <c r="CL127" s="1884"/>
      <c r="CM127" s="1884"/>
      <c r="CN127" s="1884"/>
      <c r="CO127" s="1884"/>
      <c r="CP127" s="1884"/>
      <c r="CQ127" s="1884"/>
      <c r="CR127" s="1884"/>
      <c r="CS127" s="1884"/>
      <c r="CT127" s="1884"/>
      <c r="CU127" s="1885"/>
      <c r="CV127" s="825"/>
    </row>
    <row r="128" spans="10:100" ht="24" customHeight="1">
      <c r="J128" s="154"/>
      <c r="K128" s="1886"/>
      <c r="L128" s="1887"/>
      <c r="M128" s="1887"/>
      <c r="N128" s="1887"/>
      <c r="O128" s="1887"/>
      <c r="P128" s="1887"/>
      <c r="Q128" s="1887"/>
      <c r="R128" s="1887"/>
      <c r="S128" s="1887"/>
      <c r="T128" s="1887"/>
      <c r="U128" s="1887"/>
      <c r="V128" s="1888"/>
      <c r="W128" s="133"/>
      <c r="AC128" s="154"/>
      <c r="AD128" s="1886"/>
      <c r="AE128" s="1887"/>
      <c r="AF128" s="1887"/>
      <c r="AG128" s="1887"/>
      <c r="AH128" s="1887"/>
      <c r="AI128" s="1887"/>
      <c r="AJ128" s="1887"/>
      <c r="AK128" s="1887"/>
      <c r="AL128" s="1887"/>
      <c r="AM128" s="1887"/>
      <c r="AN128" s="1887"/>
      <c r="AO128" s="1888"/>
      <c r="AP128" s="826"/>
      <c r="AV128" s="154"/>
      <c r="AW128" s="1886"/>
      <c r="AX128" s="1887"/>
      <c r="AY128" s="1887"/>
      <c r="AZ128" s="1887"/>
      <c r="BA128" s="1887"/>
      <c r="BB128" s="1887"/>
      <c r="BC128" s="1887"/>
      <c r="BD128" s="1887"/>
      <c r="BE128" s="1887"/>
      <c r="BF128" s="1887"/>
      <c r="BG128" s="1887"/>
      <c r="BH128" s="1888"/>
      <c r="BI128" s="826"/>
      <c r="BO128" s="154"/>
      <c r="BP128" s="1886"/>
      <c r="BQ128" s="1887"/>
      <c r="BR128" s="1887"/>
      <c r="BS128" s="1887"/>
      <c r="BT128" s="1887"/>
      <c r="BU128" s="1887"/>
      <c r="BV128" s="1887"/>
      <c r="BW128" s="1887"/>
      <c r="BX128" s="1887"/>
      <c r="BY128" s="1887"/>
      <c r="BZ128" s="1887"/>
      <c r="CA128" s="1888"/>
      <c r="CB128" s="826"/>
      <c r="CI128" s="154"/>
      <c r="CJ128" s="1886"/>
      <c r="CK128" s="1887"/>
      <c r="CL128" s="1887"/>
      <c r="CM128" s="1887"/>
      <c r="CN128" s="1887"/>
      <c r="CO128" s="1887"/>
      <c r="CP128" s="1887"/>
      <c r="CQ128" s="1887"/>
      <c r="CR128" s="1887"/>
      <c r="CS128" s="1887"/>
      <c r="CT128" s="1887"/>
      <c r="CU128" s="1888"/>
      <c r="CV128" s="826"/>
    </row>
    <row r="129" spans="10:100" ht="24" customHeight="1">
      <c r="J129" s="154"/>
      <c r="K129" s="1894"/>
      <c r="L129" s="1894"/>
      <c r="M129" s="1894"/>
      <c r="N129" s="1894"/>
      <c r="O129" s="1894"/>
      <c r="P129" s="1894"/>
      <c r="Q129" s="1894"/>
      <c r="R129" s="1894"/>
      <c r="S129" s="1894"/>
      <c r="T129" s="1894"/>
      <c r="U129" s="1894"/>
      <c r="V129" s="1894"/>
      <c r="W129" s="133"/>
      <c r="AC129" s="154"/>
      <c r="AD129" s="1894"/>
      <c r="AE129" s="1894"/>
      <c r="AF129" s="1894"/>
      <c r="AG129" s="1894"/>
      <c r="AH129" s="1894"/>
      <c r="AI129" s="1894"/>
      <c r="AJ129" s="1894"/>
      <c r="AK129" s="1894"/>
      <c r="AL129" s="1894"/>
      <c r="AM129" s="1894"/>
      <c r="AN129" s="1894"/>
      <c r="AO129" s="1894"/>
      <c r="AP129" s="826"/>
      <c r="AV129" s="154"/>
      <c r="AW129" s="1894"/>
      <c r="AX129" s="1894"/>
      <c r="AY129" s="1894"/>
      <c r="AZ129" s="1894"/>
      <c r="BA129" s="1894"/>
      <c r="BB129" s="1894"/>
      <c r="BC129" s="1894"/>
      <c r="BD129" s="1894"/>
      <c r="BE129" s="1894"/>
      <c r="BF129" s="1894"/>
      <c r="BG129" s="1894"/>
      <c r="BH129" s="1894"/>
      <c r="BI129" s="826"/>
      <c r="BO129" s="154"/>
      <c r="BP129" s="1894"/>
      <c r="BQ129" s="1894"/>
      <c r="BR129" s="1894"/>
      <c r="BS129" s="1894"/>
      <c r="BT129" s="1894"/>
      <c r="BU129" s="1894"/>
      <c r="BV129" s="1894"/>
      <c r="BW129" s="1894"/>
      <c r="BX129" s="1894"/>
      <c r="BY129" s="1894"/>
      <c r="BZ129" s="1894"/>
      <c r="CA129" s="1894"/>
      <c r="CB129" s="826"/>
      <c r="CI129" s="154"/>
      <c r="CJ129" s="1894"/>
      <c r="CK129" s="1894"/>
      <c r="CL129" s="1894"/>
      <c r="CM129" s="1894"/>
      <c r="CN129" s="1894"/>
      <c r="CO129" s="1894"/>
      <c r="CP129" s="1894"/>
      <c r="CQ129" s="1894"/>
      <c r="CR129" s="1894"/>
      <c r="CS129" s="1894"/>
      <c r="CT129" s="1894"/>
      <c r="CU129" s="1894"/>
      <c r="CV129" s="826"/>
    </row>
    <row r="130" spans="10:100" ht="24" customHeight="1" thickBot="1">
      <c r="J130" s="155"/>
      <c r="K130" s="1895"/>
      <c r="L130" s="1895"/>
      <c r="M130" s="1895"/>
      <c r="N130" s="1895"/>
      <c r="O130" s="1895"/>
      <c r="P130" s="1895"/>
      <c r="Q130" s="1895"/>
      <c r="R130" s="1895"/>
      <c r="S130" s="1895"/>
      <c r="T130" s="1895"/>
      <c r="U130" s="1895"/>
      <c r="V130" s="1895"/>
      <c r="W130" s="134"/>
      <c r="AC130" s="155"/>
      <c r="AD130" s="1895"/>
      <c r="AE130" s="1895"/>
      <c r="AF130" s="1895"/>
      <c r="AG130" s="1895"/>
      <c r="AH130" s="1895"/>
      <c r="AI130" s="1895"/>
      <c r="AJ130" s="1895"/>
      <c r="AK130" s="1895"/>
      <c r="AL130" s="1895"/>
      <c r="AM130" s="1895"/>
      <c r="AN130" s="1895"/>
      <c r="AO130" s="1895"/>
      <c r="AP130" s="827"/>
      <c r="AV130" s="155"/>
      <c r="AW130" s="1895"/>
      <c r="AX130" s="1895"/>
      <c r="AY130" s="1895"/>
      <c r="AZ130" s="1895"/>
      <c r="BA130" s="1895"/>
      <c r="BB130" s="1895"/>
      <c r="BC130" s="1895"/>
      <c r="BD130" s="1895"/>
      <c r="BE130" s="1895"/>
      <c r="BF130" s="1895"/>
      <c r="BG130" s="1895"/>
      <c r="BH130" s="1895"/>
      <c r="BI130" s="827"/>
      <c r="BO130" s="155"/>
      <c r="BP130" s="1895"/>
      <c r="BQ130" s="1895"/>
      <c r="BR130" s="1895"/>
      <c r="BS130" s="1895"/>
      <c r="BT130" s="1895"/>
      <c r="BU130" s="1895"/>
      <c r="BV130" s="1895"/>
      <c r="BW130" s="1895"/>
      <c r="BX130" s="1895"/>
      <c r="BY130" s="1895"/>
      <c r="BZ130" s="1895"/>
      <c r="CA130" s="1895"/>
      <c r="CB130" s="827"/>
      <c r="CI130" s="155"/>
      <c r="CJ130" s="1895"/>
      <c r="CK130" s="1895"/>
      <c r="CL130" s="1895"/>
      <c r="CM130" s="1895"/>
      <c r="CN130" s="1895"/>
      <c r="CO130" s="1895"/>
      <c r="CP130" s="1895"/>
      <c r="CQ130" s="1895"/>
      <c r="CR130" s="1895"/>
      <c r="CS130" s="1895"/>
      <c r="CT130" s="1895"/>
      <c r="CU130" s="1895"/>
      <c r="CV130" s="827"/>
    </row>
    <row r="134" spans="10:100" ht="24" customHeight="1">
      <c r="J134" s="1894"/>
      <c r="K134" s="1035" t="s">
        <v>862</v>
      </c>
      <c r="L134" s="1797"/>
      <c r="M134" s="1797"/>
      <c r="N134" s="1797"/>
      <c r="O134" s="1797"/>
      <c r="P134" s="1797"/>
      <c r="Q134" s="1797"/>
      <c r="R134" s="1797"/>
      <c r="S134" s="1797"/>
      <c r="T134" s="1797"/>
      <c r="U134" s="1797"/>
      <c r="V134" s="1036"/>
      <c r="W134" s="825"/>
      <c r="AC134" s="1894"/>
      <c r="AD134" s="1035" t="s">
        <v>861</v>
      </c>
      <c r="AE134" s="1797"/>
      <c r="AF134" s="1797"/>
      <c r="AG134" s="1797"/>
      <c r="AH134" s="1797"/>
      <c r="AI134" s="1797"/>
      <c r="AJ134" s="1797"/>
      <c r="AK134" s="1797"/>
      <c r="AL134" s="1797"/>
      <c r="AM134" s="1797"/>
      <c r="AN134" s="1797"/>
      <c r="AO134" s="1036"/>
      <c r="AP134" s="825"/>
      <c r="AV134" s="1894"/>
      <c r="AW134" s="1035"/>
      <c r="AX134" s="1797"/>
      <c r="AY134" s="1797"/>
      <c r="AZ134" s="1797"/>
      <c r="BA134" s="1797"/>
      <c r="BB134" s="1797"/>
      <c r="BC134" s="1797"/>
      <c r="BD134" s="1797"/>
      <c r="BE134" s="1797"/>
      <c r="BF134" s="1797"/>
      <c r="BG134" s="1797"/>
      <c r="BH134" s="1036"/>
      <c r="BI134" s="825"/>
      <c r="BO134" s="1894"/>
      <c r="BP134" s="1035"/>
      <c r="BQ134" s="1797"/>
      <c r="BR134" s="1797"/>
      <c r="BS134" s="1797"/>
      <c r="BT134" s="1797"/>
      <c r="BU134" s="1797"/>
      <c r="BV134" s="1797"/>
      <c r="BW134" s="1797"/>
      <c r="BX134" s="1797"/>
      <c r="BY134" s="1797"/>
      <c r="BZ134" s="1797"/>
      <c r="CA134" s="1036"/>
      <c r="CB134" s="825"/>
      <c r="CI134" s="1894"/>
      <c r="CJ134" s="1035"/>
      <c r="CK134" s="1797"/>
      <c r="CL134" s="1797"/>
      <c r="CM134" s="1797"/>
      <c r="CN134" s="1797"/>
      <c r="CO134" s="1797"/>
      <c r="CP134" s="1797"/>
      <c r="CQ134" s="1797"/>
      <c r="CR134" s="1797"/>
      <c r="CS134" s="1797"/>
      <c r="CT134" s="1797"/>
      <c r="CU134" s="1036"/>
      <c r="CV134" s="825"/>
    </row>
    <row r="135" spans="10:100" ht="24" customHeight="1" thickBot="1">
      <c r="J135" s="1896"/>
      <c r="K135" s="1039"/>
      <c r="L135" s="1889"/>
      <c r="M135" s="1889"/>
      <c r="N135" s="1889"/>
      <c r="O135" s="1889"/>
      <c r="P135" s="1889"/>
      <c r="Q135" s="1889"/>
      <c r="R135" s="1889"/>
      <c r="S135" s="1889"/>
      <c r="T135" s="1889"/>
      <c r="U135" s="1889"/>
      <c r="V135" s="1040"/>
      <c r="W135" s="827"/>
      <c r="AC135" s="1896"/>
      <c r="AD135" s="1039"/>
      <c r="AE135" s="1889"/>
      <c r="AF135" s="1889"/>
      <c r="AG135" s="1889"/>
      <c r="AH135" s="1889"/>
      <c r="AI135" s="1889"/>
      <c r="AJ135" s="1889"/>
      <c r="AK135" s="1889"/>
      <c r="AL135" s="1889"/>
      <c r="AM135" s="1889"/>
      <c r="AN135" s="1889"/>
      <c r="AO135" s="1040"/>
      <c r="AP135" s="827"/>
      <c r="AV135" s="1896"/>
      <c r="AW135" s="1039"/>
      <c r="AX135" s="1889"/>
      <c r="AY135" s="1889"/>
      <c r="AZ135" s="1889"/>
      <c r="BA135" s="1889"/>
      <c r="BB135" s="1889"/>
      <c r="BC135" s="1889"/>
      <c r="BD135" s="1889"/>
      <c r="BE135" s="1889"/>
      <c r="BF135" s="1889"/>
      <c r="BG135" s="1889"/>
      <c r="BH135" s="1040"/>
      <c r="BI135" s="827"/>
      <c r="BO135" s="1896"/>
      <c r="BP135" s="1039"/>
      <c r="BQ135" s="1889"/>
      <c r="BR135" s="1889"/>
      <c r="BS135" s="1889"/>
      <c r="BT135" s="1889"/>
      <c r="BU135" s="1889"/>
      <c r="BV135" s="1889"/>
      <c r="BW135" s="1889"/>
      <c r="BX135" s="1889"/>
      <c r="BY135" s="1889"/>
      <c r="BZ135" s="1889"/>
      <c r="CA135" s="1040"/>
      <c r="CB135" s="827"/>
      <c r="CI135" s="1896"/>
      <c r="CJ135" s="1039"/>
      <c r="CK135" s="1889"/>
      <c r="CL135" s="1889"/>
      <c r="CM135" s="1889"/>
      <c r="CN135" s="1889"/>
      <c r="CO135" s="1889"/>
      <c r="CP135" s="1889"/>
      <c r="CQ135" s="1889"/>
      <c r="CR135" s="1889"/>
      <c r="CS135" s="1889"/>
      <c r="CT135" s="1889"/>
      <c r="CU135" s="1040"/>
      <c r="CV135" s="827"/>
    </row>
    <row r="136" spans="10:100" ht="24" customHeight="1">
      <c r="J136" s="154"/>
      <c r="K136" s="1897"/>
      <c r="L136" s="1898"/>
      <c r="M136" s="1898"/>
      <c r="N136" s="1898"/>
      <c r="O136" s="1898"/>
      <c r="P136" s="1898"/>
      <c r="Q136" s="1898"/>
      <c r="R136" s="1898"/>
      <c r="S136" s="1898"/>
      <c r="T136" s="1898"/>
      <c r="U136" s="1898"/>
      <c r="V136" s="1899"/>
      <c r="W136" s="1890" t="s">
        <v>466</v>
      </c>
      <c r="AC136" s="154"/>
      <c r="AD136" s="1897"/>
      <c r="AE136" s="1898"/>
      <c r="AF136" s="1898"/>
      <c r="AG136" s="1898"/>
      <c r="AH136" s="1898"/>
      <c r="AI136" s="1898"/>
      <c r="AJ136" s="1898"/>
      <c r="AK136" s="1898"/>
      <c r="AL136" s="1898"/>
      <c r="AM136" s="1898"/>
      <c r="AN136" s="1898"/>
      <c r="AO136" s="1899"/>
      <c r="AP136" s="1890" t="s">
        <v>466</v>
      </c>
      <c r="AV136" s="154"/>
      <c r="AW136" s="1897"/>
      <c r="AX136" s="1898"/>
      <c r="AY136" s="1898"/>
      <c r="AZ136" s="1898"/>
      <c r="BA136" s="1898"/>
      <c r="BB136" s="1898"/>
      <c r="BC136" s="1898"/>
      <c r="BD136" s="1898"/>
      <c r="BE136" s="1898"/>
      <c r="BF136" s="1898"/>
      <c r="BG136" s="1898"/>
      <c r="BH136" s="1899"/>
      <c r="BI136" s="1890" t="s">
        <v>466</v>
      </c>
      <c r="BO136" s="154"/>
      <c r="BP136" s="1897"/>
      <c r="BQ136" s="1898"/>
      <c r="BR136" s="1898"/>
      <c r="BS136" s="1898"/>
      <c r="BT136" s="1898"/>
      <c r="BU136" s="1898"/>
      <c r="BV136" s="1898"/>
      <c r="BW136" s="1898"/>
      <c r="BX136" s="1898"/>
      <c r="BY136" s="1898"/>
      <c r="BZ136" s="1898"/>
      <c r="CA136" s="1899"/>
      <c r="CB136" s="1890" t="s">
        <v>466</v>
      </c>
      <c r="CI136" s="154"/>
      <c r="CJ136" s="1897"/>
      <c r="CK136" s="1898"/>
      <c r="CL136" s="1898"/>
      <c r="CM136" s="1898"/>
      <c r="CN136" s="1898"/>
      <c r="CO136" s="1898"/>
      <c r="CP136" s="1898"/>
      <c r="CQ136" s="1898"/>
      <c r="CR136" s="1898"/>
      <c r="CS136" s="1898"/>
      <c r="CT136" s="1898"/>
      <c r="CU136" s="1899"/>
      <c r="CV136" s="1890" t="s">
        <v>466</v>
      </c>
    </row>
    <row r="137" spans="10:100" ht="24" customHeight="1">
      <c r="J137" s="154"/>
      <c r="K137" s="1883"/>
      <c r="L137" s="1884"/>
      <c r="M137" s="1884"/>
      <c r="N137" s="1884"/>
      <c r="O137" s="1884"/>
      <c r="P137" s="1884"/>
      <c r="Q137" s="1884"/>
      <c r="R137" s="1884"/>
      <c r="S137" s="1884"/>
      <c r="T137" s="1884"/>
      <c r="U137" s="1884"/>
      <c r="V137" s="1885"/>
      <c r="W137" s="1891"/>
      <c r="AC137" s="154"/>
      <c r="AD137" s="1883"/>
      <c r="AE137" s="1884"/>
      <c r="AF137" s="1884"/>
      <c r="AG137" s="1884"/>
      <c r="AH137" s="1884"/>
      <c r="AI137" s="1884"/>
      <c r="AJ137" s="1884"/>
      <c r="AK137" s="1884"/>
      <c r="AL137" s="1884"/>
      <c r="AM137" s="1884"/>
      <c r="AN137" s="1884"/>
      <c r="AO137" s="1885"/>
      <c r="AP137" s="1891"/>
      <c r="AV137" s="154"/>
      <c r="AW137" s="1883"/>
      <c r="AX137" s="1884"/>
      <c r="AY137" s="1884"/>
      <c r="AZ137" s="1884"/>
      <c r="BA137" s="1884"/>
      <c r="BB137" s="1884"/>
      <c r="BC137" s="1884"/>
      <c r="BD137" s="1884"/>
      <c r="BE137" s="1884"/>
      <c r="BF137" s="1884"/>
      <c r="BG137" s="1884"/>
      <c r="BH137" s="1885"/>
      <c r="BI137" s="1891"/>
      <c r="BO137" s="154"/>
      <c r="BP137" s="1883"/>
      <c r="BQ137" s="1884"/>
      <c r="BR137" s="1884"/>
      <c r="BS137" s="1884"/>
      <c r="BT137" s="1884"/>
      <c r="BU137" s="1884"/>
      <c r="BV137" s="1884"/>
      <c r="BW137" s="1884"/>
      <c r="BX137" s="1884"/>
      <c r="BY137" s="1884"/>
      <c r="BZ137" s="1884"/>
      <c r="CA137" s="1885"/>
      <c r="CB137" s="1891"/>
      <c r="CI137" s="154"/>
      <c r="CJ137" s="1883"/>
      <c r="CK137" s="1884"/>
      <c r="CL137" s="1884"/>
      <c r="CM137" s="1884"/>
      <c r="CN137" s="1884"/>
      <c r="CO137" s="1884"/>
      <c r="CP137" s="1884"/>
      <c r="CQ137" s="1884"/>
      <c r="CR137" s="1884"/>
      <c r="CS137" s="1884"/>
      <c r="CT137" s="1884"/>
      <c r="CU137" s="1885"/>
      <c r="CV137" s="1891"/>
    </row>
    <row r="138" spans="10:100" ht="24" customHeight="1">
      <c r="J138" s="154"/>
      <c r="K138" s="1883"/>
      <c r="L138" s="1884"/>
      <c r="M138" s="1884"/>
      <c r="N138" s="1884"/>
      <c r="O138" s="1884"/>
      <c r="P138" s="1884"/>
      <c r="Q138" s="1884"/>
      <c r="R138" s="1884"/>
      <c r="S138" s="1884"/>
      <c r="T138" s="1884"/>
      <c r="U138" s="1884"/>
      <c r="V138" s="1885"/>
      <c r="W138" s="1892"/>
      <c r="AC138" s="154"/>
      <c r="AD138" s="1883"/>
      <c r="AE138" s="1884"/>
      <c r="AF138" s="1884"/>
      <c r="AG138" s="1884"/>
      <c r="AH138" s="1884"/>
      <c r="AI138" s="1884"/>
      <c r="AJ138" s="1884"/>
      <c r="AK138" s="1884"/>
      <c r="AL138" s="1884"/>
      <c r="AM138" s="1884"/>
      <c r="AN138" s="1884"/>
      <c r="AO138" s="1885"/>
      <c r="AP138" s="1892"/>
      <c r="AV138" s="154"/>
      <c r="AW138" s="1883"/>
      <c r="AX138" s="1884"/>
      <c r="AY138" s="1884"/>
      <c r="AZ138" s="1884"/>
      <c r="BA138" s="1884"/>
      <c r="BB138" s="1884"/>
      <c r="BC138" s="1884"/>
      <c r="BD138" s="1884"/>
      <c r="BE138" s="1884"/>
      <c r="BF138" s="1884"/>
      <c r="BG138" s="1884"/>
      <c r="BH138" s="1885"/>
      <c r="BI138" s="1892"/>
      <c r="BO138" s="154"/>
      <c r="BP138" s="1883"/>
      <c r="BQ138" s="1884"/>
      <c r="BR138" s="1884"/>
      <c r="BS138" s="1884"/>
      <c r="BT138" s="1884"/>
      <c r="BU138" s="1884"/>
      <c r="BV138" s="1884"/>
      <c r="BW138" s="1884"/>
      <c r="BX138" s="1884"/>
      <c r="BY138" s="1884"/>
      <c r="BZ138" s="1884"/>
      <c r="CA138" s="1885"/>
      <c r="CB138" s="1892"/>
      <c r="CI138" s="154"/>
      <c r="CJ138" s="1883"/>
      <c r="CK138" s="1884"/>
      <c r="CL138" s="1884"/>
      <c r="CM138" s="1884"/>
      <c r="CN138" s="1884"/>
      <c r="CO138" s="1884"/>
      <c r="CP138" s="1884"/>
      <c r="CQ138" s="1884"/>
      <c r="CR138" s="1884"/>
      <c r="CS138" s="1884"/>
      <c r="CT138" s="1884"/>
      <c r="CU138" s="1885"/>
      <c r="CV138" s="1892"/>
    </row>
    <row r="139" spans="10:100" ht="24" customHeight="1">
      <c r="J139" s="154"/>
      <c r="K139" s="1883"/>
      <c r="L139" s="1884"/>
      <c r="M139" s="1884"/>
      <c r="N139" s="1884"/>
      <c r="O139" s="1884"/>
      <c r="P139" s="1884"/>
      <c r="Q139" s="1884"/>
      <c r="R139" s="1884"/>
      <c r="S139" s="1884"/>
      <c r="T139" s="1884"/>
      <c r="U139" s="1884"/>
      <c r="V139" s="1885"/>
      <c r="W139" s="1893"/>
      <c r="AC139" s="154"/>
      <c r="AD139" s="1883"/>
      <c r="AE139" s="1884"/>
      <c r="AF139" s="1884"/>
      <c r="AG139" s="1884"/>
      <c r="AH139" s="1884"/>
      <c r="AI139" s="1884"/>
      <c r="AJ139" s="1884"/>
      <c r="AK139" s="1884"/>
      <c r="AL139" s="1884"/>
      <c r="AM139" s="1884"/>
      <c r="AN139" s="1884"/>
      <c r="AO139" s="1885"/>
      <c r="AP139" s="1893"/>
      <c r="AV139" s="154"/>
      <c r="AW139" s="1883"/>
      <c r="AX139" s="1884"/>
      <c r="AY139" s="1884"/>
      <c r="AZ139" s="1884"/>
      <c r="BA139" s="1884"/>
      <c r="BB139" s="1884"/>
      <c r="BC139" s="1884"/>
      <c r="BD139" s="1884"/>
      <c r="BE139" s="1884"/>
      <c r="BF139" s="1884"/>
      <c r="BG139" s="1884"/>
      <c r="BH139" s="1885"/>
      <c r="BI139" s="1893"/>
      <c r="BO139" s="154"/>
      <c r="BP139" s="1883"/>
      <c r="BQ139" s="1884"/>
      <c r="BR139" s="1884"/>
      <c r="BS139" s="1884"/>
      <c r="BT139" s="1884"/>
      <c r="BU139" s="1884"/>
      <c r="BV139" s="1884"/>
      <c r="BW139" s="1884"/>
      <c r="BX139" s="1884"/>
      <c r="BY139" s="1884"/>
      <c r="BZ139" s="1884"/>
      <c r="CA139" s="1885"/>
      <c r="CB139" s="1893"/>
      <c r="CI139" s="154"/>
      <c r="CJ139" s="1883"/>
      <c r="CK139" s="1884"/>
      <c r="CL139" s="1884"/>
      <c r="CM139" s="1884"/>
      <c r="CN139" s="1884"/>
      <c r="CO139" s="1884"/>
      <c r="CP139" s="1884"/>
      <c r="CQ139" s="1884"/>
      <c r="CR139" s="1884"/>
      <c r="CS139" s="1884"/>
      <c r="CT139" s="1884"/>
      <c r="CU139" s="1885"/>
      <c r="CV139" s="1893"/>
    </row>
    <row r="140" spans="10:100" ht="24" customHeight="1">
      <c r="J140" s="154"/>
      <c r="K140" s="1883"/>
      <c r="L140" s="1884"/>
      <c r="M140" s="1884"/>
      <c r="N140" s="1884"/>
      <c r="O140" s="1884"/>
      <c r="P140" s="1884"/>
      <c r="Q140" s="1884"/>
      <c r="R140" s="1884"/>
      <c r="S140" s="1884"/>
      <c r="T140" s="1884"/>
      <c r="U140" s="1884"/>
      <c r="V140" s="1885"/>
      <c r="W140" s="1893"/>
      <c r="AC140" s="154"/>
      <c r="AD140" s="1883"/>
      <c r="AE140" s="1884"/>
      <c r="AF140" s="1884"/>
      <c r="AG140" s="1884"/>
      <c r="AH140" s="1884"/>
      <c r="AI140" s="1884"/>
      <c r="AJ140" s="1884"/>
      <c r="AK140" s="1884"/>
      <c r="AL140" s="1884"/>
      <c r="AM140" s="1884"/>
      <c r="AN140" s="1884"/>
      <c r="AO140" s="1885"/>
      <c r="AP140" s="1893"/>
      <c r="AV140" s="154"/>
      <c r="AW140" s="1883"/>
      <c r="AX140" s="1884"/>
      <c r="AY140" s="1884"/>
      <c r="AZ140" s="1884"/>
      <c r="BA140" s="1884"/>
      <c r="BB140" s="1884"/>
      <c r="BC140" s="1884"/>
      <c r="BD140" s="1884"/>
      <c r="BE140" s="1884"/>
      <c r="BF140" s="1884"/>
      <c r="BG140" s="1884"/>
      <c r="BH140" s="1885"/>
      <c r="BI140" s="1893"/>
      <c r="BO140" s="154"/>
      <c r="BP140" s="1883"/>
      <c r="BQ140" s="1884"/>
      <c r="BR140" s="1884"/>
      <c r="BS140" s="1884"/>
      <c r="BT140" s="1884"/>
      <c r="BU140" s="1884"/>
      <c r="BV140" s="1884"/>
      <c r="BW140" s="1884"/>
      <c r="BX140" s="1884"/>
      <c r="BY140" s="1884"/>
      <c r="BZ140" s="1884"/>
      <c r="CA140" s="1885"/>
      <c r="CB140" s="1893"/>
      <c r="CI140" s="154"/>
      <c r="CJ140" s="1883"/>
      <c r="CK140" s="1884"/>
      <c r="CL140" s="1884"/>
      <c r="CM140" s="1884"/>
      <c r="CN140" s="1884"/>
      <c r="CO140" s="1884"/>
      <c r="CP140" s="1884"/>
      <c r="CQ140" s="1884"/>
      <c r="CR140" s="1884"/>
      <c r="CS140" s="1884"/>
      <c r="CT140" s="1884"/>
      <c r="CU140" s="1885"/>
      <c r="CV140" s="1893"/>
    </row>
    <row r="141" spans="10:100" ht="24" customHeight="1">
      <c r="J141" s="154"/>
      <c r="K141" s="1883"/>
      <c r="L141" s="1884"/>
      <c r="M141" s="1884"/>
      <c r="N141" s="1884"/>
      <c r="O141" s="1884"/>
      <c r="P141" s="1884"/>
      <c r="Q141" s="1884"/>
      <c r="R141" s="1884"/>
      <c r="S141" s="1884"/>
      <c r="T141" s="1884"/>
      <c r="U141" s="1884"/>
      <c r="V141" s="1885"/>
      <c r="W141" s="1893"/>
      <c r="AC141" s="154"/>
      <c r="AD141" s="1883"/>
      <c r="AE141" s="1884"/>
      <c r="AF141" s="1884"/>
      <c r="AG141" s="1884"/>
      <c r="AH141" s="1884"/>
      <c r="AI141" s="1884"/>
      <c r="AJ141" s="1884"/>
      <c r="AK141" s="1884"/>
      <c r="AL141" s="1884"/>
      <c r="AM141" s="1884"/>
      <c r="AN141" s="1884"/>
      <c r="AO141" s="1885"/>
      <c r="AP141" s="1893"/>
      <c r="AV141" s="154"/>
      <c r="AW141" s="1883"/>
      <c r="AX141" s="1884"/>
      <c r="AY141" s="1884"/>
      <c r="AZ141" s="1884"/>
      <c r="BA141" s="1884"/>
      <c r="BB141" s="1884"/>
      <c r="BC141" s="1884"/>
      <c r="BD141" s="1884"/>
      <c r="BE141" s="1884"/>
      <c r="BF141" s="1884"/>
      <c r="BG141" s="1884"/>
      <c r="BH141" s="1885"/>
      <c r="BI141" s="1893"/>
      <c r="BO141" s="154"/>
      <c r="BP141" s="1883"/>
      <c r="BQ141" s="1884"/>
      <c r="BR141" s="1884"/>
      <c r="BS141" s="1884"/>
      <c r="BT141" s="1884"/>
      <c r="BU141" s="1884"/>
      <c r="BV141" s="1884"/>
      <c r="BW141" s="1884"/>
      <c r="BX141" s="1884"/>
      <c r="BY141" s="1884"/>
      <c r="BZ141" s="1884"/>
      <c r="CA141" s="1885"/>
      <c r="CB141" s="1893"/>
      <c r="CI141" s="154"/>
      <c r="CJ141" s="1883"/>
      <c r="CK141" s="1884"/>
      <c r="CL141" s="1884"/>
      <c r="CM141" s="1884"/>
      <c r="CN141" s="1884"/>
      <c r="CO141" s="1884"/>
      <c r="CP141" s="1884"/>
      <c r="CQ141" s="1884"/>
      <c r="CR141" s="1884"/>
      <c r="CS141" s="1884"/>
      <c r="CT141" s="1884"/>
      <c r="CU141" s="1885"/>
      <c r="CV141" s="1893"/>
    </row>
    <row r="142" spans="10:100" ht="24" customHeight="1">
      <c r="J142" s="154"/>
      <c r="K142" s="1883"/>
      <c r="L142" s="1884"/>
      <c r="M142" s="1884"/>
      <c r="N142" s="1884"/>
      <c r="O142" s="1884"/>
      <c r="P142" s="1884"/>
      <c r="Q142" s="1884"/>
      <c r="R142" s="1884"/>
      <c r="S142" s="1884"/>
      <c r="T142" s="1884"/>
      <c r="U142" s="1884"/>
      <c r="V142" s="1885"/>
      <c r="W142" s="1893"/>
      <c r="AC142" s="154"/>
      <c r="AD142" s="1883"/>
      <c r="AE142" s="1884"/>
      <c r="AF142" s="1884"/>
      <c r="AG142" s="1884"/>
      <c r="AH142" s="1884"/>
      <c r="AI142" s="1884"/>
      <c r="AJ142" s="1884"/>
      <c r="AK142" s="1884"/>
      <c r="AL142" s="1884"/>
      <c r="AM142" s="1884"/>
      <c r="AN142" s="1884"/>
      <c r="AO142" s="1885"/>
      <c r="AP142" s="1893"/>
      <c r="AV142" s="154"/>
      <c r="AW142" s="1883"/>
      <c r="AX142" s="1884"/>
      <c r="AY142" s="1884"/>
      <c r="AZ142" s="1884"/>
      <c r="BA142" s="1884"/>
      <c r="BB142" s="1884"/>
      <c r="BC142" s="1884"/>
      <c r="BD142" s="1884"/>
      <c r="BE142" s="1884"/>
      <c r="BF142" s="1884"/>
      <c r="BG142" s="1884"/>
      <c r="BH142" s="1885"/>
      <c r="BI142" s="1893"/>
      <c r="BO142" s="154"/>
      <c r="BP142" s="1883"/>
      <c r="BQ142" s="1884"/>
      <c r="BR142" s="1884"/>
      <c r="BS142" s="1884"/>
      <c r="BT142" s="1884"/>
      <c r="BU142" s="1884"/>
      <c r="BV142" s="1884"/>
      <c r="BW142" s="1884"/>
      <c r="BX142" s="1884"/>
      <c r="BY142" s="1884"/>
      <c r="BZ142" s="1884"/>
      <c r="CA142" s="1885"/>
      <c r="CB142" s="1893"/>
      <c r="CI142" s="154"/>
      <c r="CJ142" s="1883"/>
      <c r="CK142" s="1884"/>
      <c r="CL142" s="1884"/>
      <c r="CM142" s="1884"/>
      <c r="CN142" s="1884"/>
      <c r="CO142" s="1884"/>
      <c r="CP142" s="1884"/>
      <c r="CQ142" s="1884"/>
      <c r="CR142" s="1884"/>
      <c r="CS142" s="1884"/>
      <c r="CT142" s="1884"/>
      <c r="CU142" s="1885"/>
      <c r="CV142" s="1893"/>
    </row>
    <row r="143" spans="10:100" ht="24" customHeight="1">
      <c r="J143" s="154"/>
      <c r="K143" s="1883"/>
      <c r="L143" s="1884"/>
      <c r="M143" s="1884"/>
      <c r="N143" s="1884"/>
      <c r="O143" s="1884"/>
      <c r="P143" s="1884"/>
      <c r="Q143" s="1884"/>
      <c r="R143" s="1884"/>
      <c r="S143" s="1884"/>
      <c r="T143" s="1884"/>
      <c r="U143" s="1884"/>
      <c r="V143" s="1885"/>
      <c r="W143" s="1893"/>
      <c r="AC143" s="154"/>
      <c r="AD143" s="1883"/>
      <c r="AE143" s="1884"/>
      <c r="AF143" s="1884"/>
      <c r="AG143" s="1884"/>
      <c r="AH143" s="1884"/>
      <c r="AI143" s="1884"/>
      <c r="AJ143" s="1884"/>
      <c r="AK143" s="1884"/>
      <c r="AL143" s="1884"/>
      <c r="AM143" s="1884"/>
      <c r="AN143" s="1884"/>
      <c r="AO143" s="1885"/>
      <c r="AP143" s="1893"/>
      <c r="AV143" s="154"/>
      <c r="AW143" s="1883"/>
      <c r="AX143" s="1884"/>
      <c r="AY143" s="1884"/>
      <c r="AZ143" s="1884"/>
      <c r="BA143" s="1884"/>
      <c r="BB143" s="1884"/>
      <c r="BC143" s="1884"/>
      <c r="BD143" s="1884"/>
      <c r="BE143" s="1884"/>
      <c r="BF143" s="1884"/>
      <c r="BG143" s="1884"/>
      <c r="BH143" s="1885"/>
      <c r="BI143" s="1893"/>
      <c r="BO143" s="154"/>
      <c r="BP143" s="1883"/>
      <c r="BQ143" s="1884"/>
      <c r="BR143" s="1884"/>
      <c r="BS143" s="1884"/>
      <c r="BT143" s="1884"/>
      <c r="BU143" s="1884"/>
      <c r="BV143" s="1884"/>
      <c r="BW143" s="1884"/>
      <c r="BX143" s="1884"/>
      <c r="BY143" s="1884"/>
      <c r="BZ143" s="1884"/>
      <c r="CA143" s="1885"/>
      <c r="CB143" s="1893"/>
      <c r="CI143" s="154"/>
      <c r="CJ143" s="1883"/>
      <c r="CK143" s="1884"/>
      <c r="CL143" s="1884"/>
      <c r="CM143" s="1884"/>
      <c r="CN143" s="1884"/>
      <c r="CO143" s="1884"/>
      <c r="CP143" s="1884"/>
      <c r="CQ143" s="1884"/>
      <c r="CR143" s="1884"/>
      <c r="CS143" s="1884"/>
      <c r="CT143" s="1884"/>
      <c r="CU143" s="1885"/>
      <c r="CV143" s="1893"/>
    </row>
    <row r="144" spans="10:100" ht="24" customHeight="1">
      <c r="J144" s="154"/>
      <c r="K144" s="1883"/>
      <c r="L144" s="1884"/>
      <c r="M144" s="1884"/>
      <c r="N144" s="1884"/>
      <c r="O144" s="1884"/>
      <c r="P144" s="1884"/>
      <c r="Q144" s="1884"/>
      <c r="R144" s="1884"/>
      <c r="S144" s="1884"/>
      <c r="T144" s="1884"/>
      <c r="U144" s="1884"/>
      <c r="V144" s="1885"/>
      <c r="W144" s="1893"/>
      <c r="AC144" s="154"/>
      <c r="AD144" s="1883"/>
      <c r="AE144" s="1884"/>
      <c r="AF144" s="1884"/>
      <c r="AG144" s="1884"/>
      <c r="AH144" s="1884"/>
      <c r="AI144" s="1884"/>
      <c r="AJ144" s="1884"/>
      <c r="AK144" s="1884"/>
      <c r="AL144" s="1884"/>
      <c r="AM144" s="1884"/>
      <c r="AN144" s="1884"/>
      <c r="AO144" s="1885"/>
      <c r="AP144" s="1893"/>
      <c r="AV144" s="154"/>
      <c r="AW144" s="1883"/>
      <c r="AX144" s="1884"/>
      <c r="AY144" s="1884"/>
      <c r="AZ144" s="1884"/>
      <c r="BA144" s="1884"/>
      <c r="BB144" s="1884"/>
      <c r="BC144" s="1884"/>
      <c r="BD144" s="1884"/>
      <c r="BE144" s="1884"/>
      <c r="BF144" s="1884"/>
      <c r="BG144" s="1884"/>
      <c r="BH144" s="1885"/>
      <c r="BI144" s="1893"/>
      <c r="BO144" s="154"/>
      <c r="BP144" s="1883"/>
      <c r="BQ144" s="1884"/>
      <c r="BR144" s="1884"/>
      <c r="BS144" s="1884"/>
      <c r="BT144" s="1884"/>
      <c r="BU144" s="1884"/>
      <c r="BV144" s="1884"/>
      <c r="BW144" s="1884"/>
      <c r="BX144" s="1884"/>
      <c r="BY144" s="1884"/>
      <c r="BZ144" s="1884"/>
      <c r="CA144" s="1885"/>
      <c r="CB144" s="1893"/>
      <c r="CI144" s="154"/>
      <c r="CJ144" s="1883"/>
      <c r="CK144" s="1884"/>
      <c r="CL144" s="1884"/>
      <c r="CM144" s="1884"/>
      <c r="CN144" s="1884"/>
      <c r="CO144" s="1884"/>
      <c r="CP144" s="1884"/>
      <c r="CQ144" s="1884"/>
      <c r="CR144" s="1884"/>
      <c r="CS144" s="1884"/>
      <c r="CT144" s="1884"/>
      <c r="CU144" s="1885"/>
      <c r="CV144" s="1893"/>
    </row>
    <row r="145" spans="10:100" ht="24" customHeight="1">
      <c r="J145" s="154"/>
      <c r="K145" s="1883"/>
      <c r="L145" s="1884"/>
      <c r="M145" s="1884"/>
      <c r="N145" s="1884"/>
      <c r="O145" s="1884"/>
      <c r="P145" s="1884"/>
      <c r="Q145" s="1884"/>
      <c r="R145" s="1884"/>
      <c r="S145" s="1884"/>
      <c r="T145" s="1884"/>
      <c r="U145" s="1884"/>
      <c r="V145" s="1885"/>
      <c r="W145" s="1893"/>
      <c r="AC145" s="154"/>
      <c r="AD145" s="1883"/>
      <c r="AE145" s="1884"/>
      <c r="AF145" s="1884"/>
      <c r="AG145" s="1884"/>
      <c r="AH145" s="1884"/>
      <c r="AI145" s="1884"/>
      <c r="AJ145" s="1884"/>
      <c r="AK145" s="1884"/>
      <c r="AL145" s="1884"/>
      <c r="AM145" s="1884"/>
      <c r="AN145" s="1884"/>
      <c r="AO145" s="1885"/>
      <c r="AP145" s="1893"/>
      <c r="AV145" s="154"/>
      <c r="AW145" s="1883"/>
      <c r="AX145" s="1884"/>
      <c r="AY145" s="1884"/>
      <c r="AZ145" s="1884"/>
      <c r="BA145" s="1884"/>
      <c r="BB145" s="1884"/>
      <c r="BC145" s="1884"/>
      <c r="BD145" s="1884"/>
      <c r="BE145" s="1884"/>
      <c r="BF145" s="1884"/>
      <c r="BG145" s="1884"/>
      <c r="BH145" s="1885"/>
      <c r="BI145" s="1893"/>
      <c r="BO145" s="154"/>
      <c r="BP145" s="1883"/>
      <c r="BQ145" s="1884"/>
      <c r="BR145" s="1884"/>
      <c r="BS145" s="1884"/>
      <c r="BT145" s="1884"/>
      <c r="BU145" s="1884"/>
      <c r="BV145" s="1884"/>
      <c r="BW145" s="1884"/>
      <c r="BX145" s="1884"/>
      <c r="BY145" s="1884"/>
      <c r="BZ145" s="1884"/>
      <c r="CA145" s="1885"/>
      <c r="CB145" s="1893"/>
      <c r="CI145" s="154"/>
      <c r="CJ145" s="1883"/>
      <c r="CK145" s="1884"/>
      <c r="CL145" s="1884"/>
      <c r="CM145" s="1884"/>
      <c r="CN145" s="1884"/>
      <c r="CO145" s="1884"/>
      <c r="CP145" s="1884"/>
      <c r="CQ145" s="1884"/>
      <c r="CR145" s="1884"/>
      <c r="CS145" s="1884"/>
      <c r="CT145" s="1884"/>
      <c r="CU145" s="1885"/>
      <c r="CV145" s="1893"/>
    </row>
    <row r="146" spans="10:100" ht="24" customHeight="1">
      <c r="J146" s="154"/>
      <c r="K146" s="1883"/>
      <c r="L146" s="1884"/>
      <c r="M146" s="1884"/>
      <c r="N146" s="1884"/>
      <c r="O146" s="1884"/>
      <c r="P146" s="1884"/>
      <c r="Q146" s="1884"/>
      <c r="R146" s="1884"/>
      <c r="S146" s="1884"/>
      <c r="T146" s="1884"/>
      <c r="U146" s="1884"/>
      <c r="V146" s="1885"/>
      <c r="W146" s="1893"/>
      <c r="AC146" s="154"/>
      <c r="AD146" s="1883"/>
      <c r="AE146" s="1884"/>
      <c r="AF146" s="1884"/>
      <c r="AG146" s="1884"/>
      <c r="AH146" s="1884"/>
      <c r="AI146" s="1884"/>
      <c r="AJ146" s="1884"/>
      <c r="AK146" s="1884"/>
      <c r="AL146" s="1884"/>
      <c r="AM146" s="1884"/>
      <c r="AN146" s="1884"/>
      <c r="AO146" s="1885"/>
      <c r="AP146" s="1893"/>
      <c r="AV146" s="154"/>
      <c r="AW146" s="1883"/>
      <c r="AX146" s="1884"/>
      <c r="AY146" s="1884"/>
      <c r="AZ146" s="1884"/>
      <c r="BA146" s="1884"/>
      <c r="BB146" s="1884"/>
      <c r="BC146" s="1884"/>
      <c r="BD146" s="1884"/>
      <c r="BE146" s="1884"/>
      <c r="BF146" s="1884"/>
      <c r="BG146" s="1884"/>
      <c r="BH146" s="1885"/>
      <c r="BI146" s="1893"/>
      <c r="BO146" s="154"/>
      <c r="BP146" s="1883"/>
      <c r="BQ146" s="1884"/>
      <c r="BR146" s="1884"/>
      <c r="BS146" s="1884"/>
      <c r="BT146" s="1884"/>
      <c r="BU146" s="1884"/>
      <c r="BV146" s="1884"/>
      <c r="BW146" s="1884"/>
      <c r="BX146" s="1884"/>
      <c r="BY146" s="1884"/>
      <c r="BZ146" s="1884"/>
      <c r="CA146" s="1885"/>
      <c r="CB146" s="1893"/>
      <c r="CI146" s="154"/>
      <c r="CJ146" s="1883"/>
      <c r="CK146" s="1884"/>
      <c r="CL146" s="1884"/>
      <c r="CM146" s="1884"/>
      <c r="CN146" s="1884"/>
      <c r="CO146" s="1884"/>
      <c r="CP146" s="1884"/>
      <c r="CQ146" s="1884"/>
      <c r="CR146" s="1884"/>
      <c r="CS146" s="1884"/>
      <c r="CT146" s="1884"/>
      <c r="CU146" s="1885"/>
      <c r="CV146" s="1893"/>
    </row>
    <row r="147" spans="10:100" ht="24" customHeight="1">
      <c r="J147" s="154"/>
      <c r="K147" s="1883"/>
      <c r="L147" s="1884"/>
      <c r="M147" s="1884"/>
      <c r="N147" s="1884"/>
      <c r="O147" s="1884"/>
      <c r="P147" s="1884"/>
      <c r="Q147" s="1884"/>
      <c r="R147" s="1884"/>
      <c r="S147" s="1884"/>
      <c r="T147" s="1884"/>
      <c r="U147" s="1884"/>
      <c r="V147" s="1885"/>
      <c r="W147" s="1893"/>
      <c r="AC147" s="154"/>
      <c r="AD147" s="1883"/>
      <c r="AE147" s="1884"/>
      <c r="AF147" s="1884"/>
      <c r="AG147" s="1884"/>
      <c r="AH147" s="1884"/>
      <c r="AI147" s="1884"/>
      <c r="AJ147" s="1884"/>
      <c r="AK147" s="1884"/>
      <c r="AL147" s="1884"/>
      <c r="AM147" s="1884"/>
      <c r="AN147" s="1884"/>
      <c r="AO147" s="1885"/>
      <c r="AP147" s="1893"/>
      <c r="AV147" s="154"/>
      <c r="AW147" s="1883"/>
      <c r="AX147" s="1884"/>
      <c r="AY147" s="1884"/>
      <c r="AZ147" s="1884"/>
      <c r="BA147" s="1884"/>
      <c r="BB147" s="1884"/>
      <c r="BC147" s="1884"/>
      <c r="BD147" s="1884"/>
      <c r="BE147" s="1884"/>
      <c r="BF147" s="1884"/>
      <c r="BG147" s="1884"/>
      <c r="BH147" s="1885"/>
      <c r="BI147" s="1893"/>
      <c r="BO147" s="154"/>
      <c r="BP147" s="1883"/>
      <c r="BQ147" s="1884"/>
      <c r="BR147" s="1884"/>
      <c r="BS147" s="1884"/>
      <c r="BT147" s="1884"/>
      <c r="BU147" s="1884"/>
      <c r="BV147" s="1884"/>
      <c r="BW147" s="1884"/>
      <c r="BX147" s="1884"/>
      <c r="BY147" s="1884"/>
      <c r="BZ147" s="1884"/>
      <c r="CA147" s="1885"/>
      <c r="CB147" s="1893"/>
      <c r="CI147" s="154"/>
      <c r="CJ147" s="1883"/>
      <c r="CK147" s="1884"/>
      <c r="CL147" s="1884"/>
      <c r="CM147" s="1884"/>
      <c r="CN147" s="1884"/>
      <c r="CO147" s="1884"/>
      <c r="CP147" s="1884"/>
      <c r="CQ147" s="1884"/>
      <c r="CR147" s="1884"/>
      <c r="CS147" s="1884"/>
      <c r="CT147" s="1884"/>
      <c r="CU147" s="1885"/>
      <c r="CV147" s="1893"/>
    </row>
    <row r="148" spans="10:100" ht="24" customHeight="1">
      <c r="J148" s="154"/>
      <c r="K148" s="1883"/>
      <c r="L148" s="1884"/>
      <c r="M148" s="1884"/>
      <c r="N148" s="1884"/>
      <c r="O148" s="1884"/>
      <c r="P148" s="1884"/>
      <c r="Q148" s="1884"/>
      <c r="R148" s="1884"/>
      <c r="S148" s="1884"/>
      <c r="T148" s="1884"/>
      <c r="U148" s="1884"/>
      <c r="V148" s="1885"/>
      <c r="W148" s="1893"/>
      <c r="AC148" s="154"/>
      <c r="AD148" s="1883"/>
      <c r="AE148" s="1884"/>
      <c r="AF148" s="1884"/>
      <c r="AG148" s="1884"/>
      <c r="AH148" s="1884"/>
      <c r="AI148" s="1884"/>
      <c r="AJ148" s="1884"/>
      <c r="AK148" s="1884"/>
      <c r="AL148" s="1884"/>
      <c r="AM148" s="1884"/>
      <c r="AN148" s="1884"/>
      <c r="AO148" s="1885"/>
      <c r="AP148" s="1893"/>
      <c r="AV148" s="154"/>
      <c r="AW148" s="1883"/>
      <c r="AX148" s="1884"/>
      <c r="AY148" s="1884"/>
      <c r="AZ148" s="1884"/>
      <c r="BA148" s="1884"/>
      <c r="BB148" s="1884"/>
      <c r="BC148" s="1884"/>
      <c r="BD148" s="1884"/>
      <c r="BE148" s="1884"/>
      <c r="BF148" s="1884"/>
      <c r="BG148" s="1884"/>
      <c r="BH148" s="1885"/>
      <c r="BI148" s="1893"/>
      <c r="BO148" s="154"/>
      <c r="BP148" s="1883"/>
      <c r="BQ148" s="1884"/>
      <c r="BR148" s="1884"/>
      <c r="BS148" s="1884"/>
      <c r="BT148" s="1884"/>
      <c r="BU148" s="1884"/>
      <c r="BV148" s="1884"/>
      <c r="BW148" s="1884"/>
      <c r="BX148" s="1884"/>
      <c r="BY148" s="1884"/>
      <c r="BZ148" s="1884"/>
      <c r="CA148" s="1885"/>
      <c r="CB148" s="1893"/>
      <c r="CI148" s="154"/>
      <c r="CJ148" s="1883"/>
      <c r="CK148" s="1884"/>
      <c r="CL148" s="1884"/>
      <c r="CM148" s="1884"/>
      <c r="CN148" s="1884"/>
      <c r="CO148" s="1884"/>
      <c r="CP148" s="1884"/>
      <c r="CQ148" s="1884"/>
      <c r="CR148" s="1884"/>
      <c r="CS148" s="1884"/>
      <c r="CT148" s="1884"/>
      <c r="CU148" s="1885"/>
      <c r="CV148" s="1893"/>
    </row>
    <row r="149" spans="10:100" ht="24" customHeight="1">
      <c r="J149" s="154"/>
      <c r="K149" s="1883"/>
      <c r="L149" s="1884"/>
      <c r="M149" s="1884"/>
      <c r="N149" s="1884"/>
      <c r="O149" s="1884"/>
      <c r="P149" s="1884"/>
      <c r="Q149" s="1884"/>
      <c r="R149" s="1884"/>
      <c r="S149" s="1884"/>
      <c r="T149" s="1884"/>
      <c r="U149" s="1884"/>
      <c r="V149" s="1885"/>
      <c r="W149" s="1893"/>
      <c r="AC149" s="154"/>
      <c r="AD149" s="1883"/>
      <c r="AE149" s="1884"/>
      <c r="AF149" s="1884"/>
      <c r="AG149" s="1884"/>
      <c r="AH149" s="1884"/>
      <c r="AI149" s="1884"/>
      <c r="AJ149" s="1884"/>
      <c r="AK149" s="1884"/>
      <c r="AL149" s="1884"/>
      <c r="AM149" s="1884"/>
      <c r="AN149" s="1884"/>
      <c r="AO149" s="1885"/>
      <c r="AP149" s="1893"/>
      <c r="AV149" s="154"/>
      <c r="AW149" s="1883"/>
      <c r="AX149" s="1884"/>
      <c r="AY149" s="1884"/>
      <c r="AZ149" s="1884"/>
      <c r="BA149" s="1884"/>
      <c r="BB149" s="1884"/>
      <c r="BC149" s="1884"/>
      <c r="BD149" s="1884"/>
      <c r="BE149" s="1884"/>
      <c r="BF149" s="1884"/>
      <c r="BG149" s="1884"/>
      <c r="BH149" s="1885"/>
      <c r="BI149" s="1893"/>
      <c r="BO149" s="154"/>
      <c r="BP149" s="1883"/>
      <c r="BQ149" s="1884"/>
      <c r="BR149" s="1884"/>
      <c r="BS149" s="1884"/>
      <c r="BT149" s="1884"/>
      <c r="BU149" s="1884"/>
      <c r="BV149" s="1884"/>
      <c r="BW149" s="1884"/>
      <c r="BX149" s="1884"/>
      <c r="BY149" s="1884"/>
      <c r="BZ149" s="1884"/>
      <c r="CA149" s="1885"/>
      <c r="CB149" s="1893"/>
      <c r="CI149" s="154"/>
      <c r="CJ149" s="1883"/>
      <c r="CK149" s="1884"/>
      <c r="CL149" s="1884"/>
      <c r="CM149" s="1884"/>
      <c r="CN149" s="1884"/>
      <c r="CO149" s="1884"/>
      <c r="CP149" s="1884"/>
      <c r="CQ149" s="1884"/>
      <c r="CR149" s="1884"/>
      <c r="CS149" s="1884"/>
      <c r="CT149" s="1884"/>
      <c r="CU149" s="1885"/>
      <c r="CV149" s="1893"/>
    </row>
    <row r="150" spans="10:100" ht="24" customHeight="1">
      <c r="J150" s="154"/>
      <c r="K150" s="1883"/>
      <c r="L150" s="1884"/>
      <c r="M150" s="1884"/>
      <c r="N150" s="1884"/>
      <c r="O150" s="1884"/>
      <c r="P150" s="1884"/>
      <c r="Q150" s="1884"/>
      <c r="R150" s="1884"/>
      <c r="S150" s="1884"/>
      <c r="T150" s="1884"/>
      <c r="U150" s="1884"/>
      <c r="V150" s="1885"/>
      <c r="W150" s="1893"/>
      <c r="AC150" s="154"/>
      <c r="AD150" s="1883"/>
      <c r="AE150" s="1884"/>
      <c r="AF150" s="1884"/>
      <c r="AG150" s="1884"/>
      <c r="AH150" s="1884"/>
      <c r="AI150" s="1884"/>
      <c r="AJ150" s="1884"/>
      <c r="AK150" s="1884"/>
      <c r="AL150" s="1884"/>
      <c r="AM150" s="1884"/>
      <c r="AN150" s="1884"/>
      <c r="AO150" s="1885"/>
      <c r="AP150" s="1893"/>
      <c r="AV150" s="154"/>
      <c r="AW150" s="1883"/>
      <c r="AX150" s="1884"/>
      <c r="AY150" s="1884"/>
      <c r="AZ150" s="1884"/>
      <c r="BA150" s="1884"/>
      <c r="BB150" s="1884"/>
      <c r="BC150" s="1884"/>
      <c r="BD150" s="1884"/>
      <c r="BE150" s="1884"/>
      <c r="BF150" s="1884"/>
      <c r="BG150" s="1884"/>
      <c r="BH150" s="1885"/>
      <c r="BI150" s="1893"/>
      <c r="BO150" s="154"/>
      <c r="BP150" s="1883"/>
      <c r="BQ150" s="1884"/>
      <c r="BR150" s="1884"/>
      <c r="BS150" s="1884"/>
      <c r="BT150" s="1884"/>
      <c r="BU150" s="1884"/>
      <c r="BV150" s="1884"/>
      <c r="BW150" s="1884"/>
      <c r="BX150" s="1884"/>
      <c r="BY150" s="1884"/>
      <c r="BZ150" s="1884"/>
      <c r="CA150" s="1885"/>
      <c r="CB150" s="1893"/>
      <c r="CI150" s="154"/>
      <c r="CJ150" s="1883"/>
      <c r="CK150" s="1884"/>
      <c r="CL150" s="1884"/>
      <c r="CM150" s="1884"/>
      <c r="CN150" s="1884"/>
      <c r="CO150" s="1884"/>
      <c r="CP150" s="1884"/>
      <c r="CQ150" s="1884"/>
      <c r="CR150" s="1884"/>
      <c r="CS150" s="1884"/>
      <c r="CT150" s="1884"/>
      <c r="CU150" s="1885"/>
      <c r="CV150" s="1893"/>
    </row>
    <row r="151" spans="10:100" ht="24" customHeight="1">
      <c r="J151" s="154"/>
      <c r="K151" s="1883"/>
      <c r="L151" s="1884"/>
      <c r="M151" s="1884"/>
      <c r="N151" s="1884"/>
      <c r="O151" s="1884"/>
      <c r="P151" s="1884"/>
      <c r="Q151" s="1884"/>
      <c r="R151" s="1884"/>
      <c r="S151" s="1884"/>
      <c r="T151" s="1884"/>
      <c r="U151" s="1884"/>
      <c r="V151" s="1885"/>
      <c r="W151" s="1893"/>
      <c r="AC151" s="154"/>
      <c r="AD151" s="1883"/>
      <c r="AE151" s="1884"/>
      <c r="AF151" s="1884"/>
      <c r="AG151" s="1884"/>
      <c r="AH151" s="1884"/>
      <c r="AI151" s="1884"/>
      <c r="AJ151" s="1884"/>
      <c r="AK151" s="1884"/>
      <c r="AL151" s="1884"/>
      <c r="AM151" s="1884"/>
      <c r="AN151" s="1884"/>
      <c r="AO151" s="1885"/>
      <c r="AP151" s="1893"/>
      <c r="AV151" s="154"/>
      <c r="AW151" s="1883"/>
      <c r="AX151" s="1884"/>
      <c r="AY151" s="1884"/>
      <c r="AZ151" s="1884"/>
      <c r="BA151" s="1884"/>
      <c r="BB151" s="1884"/>
      <c r="BC151" s="1884"/>
      <c r="BD151" s="1884"/>
      <c r="BE151" s="1884"/>
      <c r="BF151" s="1884"/>
      <c r="BG151" s="1884"/>
      <c r="BH151" s="1885"/>
      <c r="BI151" s="1893"/>
      <c r="BO151" s="154"/>
      <c r="BP151" s="1883"/>
      <c r="BQ151" s="1884"/>
      <c r="BR151" s="1884"/>
      <c r="BS151" s="1884"/>
      <c r="BT151" s="1884"/>
      <c r="BU151" s="1884"/>
      <c r="BV151" s="1884"/>
      <c r="BW151" s="1884"/>
      <c r="BX151" s="1884"/>
      <c r="BY151" s="1884"/>
      <c r="BZ151" s="1884"/>
      <c r="CA151" s="1885"/>
      <c r="CB151" s="1893"/>
      <c r="CI151" s="154"/>
      <c r="CJ151" s="1883"/>
      <c r="CK151" s="1884"/>
      <c r="CL151" s="1884"/>
      <c r="CM151" s="1884"/>
      <c r="CN151" s="1884"/>
      <c r="CO151" s="1884"/>
      <c r="CP151" s="1884"/>
      <c r="CQ151" s="1884"/>
      <c r="CR151" s="1884"/>
      <c r="CS151" s="1884"/>
      <c r="CT151" s="1884"/>
      <c r="CU151" s="1885"/>
      <c r="CV151" s="1893"/>
    </row>
    <row r="152" spans="10:100" ht="24" customHeight="1">
      <c r="J152" s="154"/>
      <c r="K152" s="1883"/>
      <c r="L152" s="1884"/>
      <c r="M152" s="1884"/>
      <c r="N152" s="1884"/>
      <c r="O152" s="1884"/>
      <c r="P152" s="1884"/>
      <c r="Q152" s="1884"/>
      <c r="R152" s="1884"/>
      <c r="S152" s="1884"/>
      <c r="T152" s="1884"/>
      <c r="U152" s="1884"/>
      <c r="V152" s="1885"/>
      <c r="W152" s="1893"/>
      <c r="AC152" s="154"/>
      <c r="AD152" s="1883"/>
      <c r="AE152" s="1884"/>
      <c r="AF152" s="1884"/>
      <c r="AG152" s="1884"/>
      <c r="AH152" s="1884"/>
      <c r="AI152" s="1884"/>
      <c r="AJ152" s="1884"/>
      <c r="AK152" s="1884"/>
      <c r="AL152" s="1884"/>
      <c r="AM152" s="1884"/>
      <c r="AN152" s="1884"/>
      <c r="AO152" s="1885"/>
      <c r="AP152" s="1893"/>
      <c r="AV152" s="154"/>
      <c r="AW152" s="1883"/>
      <c r="AX152" s="1884"/>
      <c r="AY152" s="1884"/>
      <c r="AZ152" s="1884"/>
      <c r="BA152" s="1884"/>
      <c r="BB152" s="1884"/>
      <c r="BC152" s="1884"/>
      <c r="BD152" s="1884"/>
      <c r="BE152" s="1884"/>
      <c r="BF152" s="1884"/>
      <c r="BG152" s="1884"/>
      <c r="BH152" s="1885"/>
      <c r="BI152" s="1893"/>
      <c r="BO152" s="154"/>
      <c r="BP152" s="1883"/>
      <c r="BQ152" s="1884"/>
      <c r="BR152" s="1884"/>
      <c r="BS152" s="1884"/>
      <c r="BT152" s="1884"/>
      <c r="BU152" s="1884"/>
      <c r="BV152" s="1884"/>
      <c r="BW152" s="1884"/>
      <c r="BX152" s="1884"/>
      <c r="BY152" s="1884"/>
      <c r="BZ152" s="1884"/>
      <c r="CA152" s="1885"/>
      <c r="CB152" s="1893"/>
      <c r="CI152" s="154"/>
      <c r="CJ152" s="1883"/>
      <c r="CK152" s="1884"/>
      <c r="CL152" s="1884"/>
      <c r="CM152" s="1884"/>
      <c r="CN152" s="1884"/>
      <c r="CO152" s="1884"/>
      <c r="CP152" s="1884"/>
      <c r="CQ152" s="1884"/>
      <c r="CR152" s="1884"/>
      <c r="CS152" s="1884"/>
      <c r="CT152" s="1884"/>
      <c r="CU152" s="1885"/>
      <c r="CV152" s="1893"/>
    </row>
    <row r="153" spans="10:100" ht="24" customHeight="1">
      <c r="J153" s="154"/>
      <c r="K153" s="1883"/>
      <c r="L153" s="1884"/>
      <c r="M153" s="1884"/>
      <c r="N153" s="1884"/>
      <c r="O153" s="1884"/>
      <c r="P153" s="1884"/>
      <c r="Q153" s="1884"/>
      <c r="R153" s="1884"/>
      <c r="S153" s="1884"/>
      <c r="T153" s="1884"/>
      <c r="U153" s="1884"/>
      <c r="V153" s="1885"/>
      <c r="W153" s="1893"/>
      <c r="AC153" s="154"/>
      <c r="AD153" s="1883"/>
      <c r="AE153" s="1884"/>
      <c r="AF153" s="1884"/>
      <c r="AG153" s="1884"/>
      <c r="AH153" s="1884"/>
      <c r="AI153" s="1884"/>
      <c r="AJ153" s="1884"/>
      <c r="AK153" s="1884"/>
      <c r="AL153" s="1884"/>
      <c r="AM153" s="1884"/>
      <c r="AN153" s="1884"/>
      <c r="AO153" s="1885"/>
      <c r="AP153" s="1893"/>
      <c r="AV153" s="154"/>
      <c r="AW153" s="1883"/>
      <c r="AX153" s="1884"/>
      <c r="AY153" s="1884"/>
      <c r="AZ153" s="1884"/>
      <c r="BA153" s="1884"/>
      <c r="BB153" s="1884"/>
      <c r="BC153" s="1884"/>
      <c r="BD153" s="1884"/>
      <c r="BE153" s="1884"/>
      <c r="BF153" s="1884"/>
      <c r="BG153" s="1884"/>
      <c r="BH153" s="1885"/>
      <c r="BI153" s="1893"/>
      <c r="BO153" s="154"/>
      <c r="BP153" s="1883"/>
      <c r="BQ153" s="1884"/>
      <c r="BR153" s="1884"/>
      <c r="BS153" s="1884"/>
      <c r="BT153" s="1884"/>
      <c r="BU153" s="1884"/>
      <c r="BV153" s="1884"/>
      <c r="BW153" s="1884"/>
      <c r="BX153" s="1884"/>
      <c r="BY153" s="1884"/>
      <c r="BZ153" s="1884"/>
      <c r="CA153" s="1885"/>
      <c r="CB153" s="1893"/>
      <c r="CI153" s="154"/>
      <c r="CJ153" s="1883"/>
      <c r="CK153" s="1884"/>
      <c r="CL153" s="1884"/>
      <c r="CM153" s="1884"/>
      <c r="CN153" s="1884"/>
      <c r="CO153" s="1884"/>
      <c r="CP153" s="1884"/>
      <c r="CQ153" s="1884"/>
      <c r="CR153" s="1884"/>
      <c r="CS153" s="1884"/>
      <c r="CT153" s="1884"/>
      <c r="CU153" s="1885"/>
      <c r="CV153" s="1893"/>
    </row>
    <row r="154" spans="10:100" ht="24" customHeight="1">
      <c r="J154" s="154"/>
      <c r="K154" s="1883"/>
      <c r="L154" s="1884"/>
      <c r="M154" s="1884"/>
      <c r="N154" s="1884"/>
      <c r="O154" s="1884"/>
      <c r="P154" s="1884"/>
      <c r="Q154" s="1884"/>
      <c r="R154" s="1884"/>
      <c r="S154" s="1884"/>
      <c r="T154" s="1884"/>
      <c r="U154" s="1884"/>
      <c r="V154" s="1885"/>
      <c r="W154" s="1893"/>
      <c r="AC154" s="154"/>
      <c r="AD154" s="1883"/>
      <c r="AE154" s="1884"/>
      <c r="AF154" s="1884"/>
      <c r="AG154" s="1884"/>
      <c r="AH154" s="1884"/>
      <c r="AI154" s="1884"/>
      <c r="AJ154" s="1884"/>
      <c r="AK154" s="1884"/>
      <c r="AL154" s="1884"/>
      <c r="AM154" s="1884"/>
      <c r="AN154" s="1884"/>
      <c r="AO154" s="1885"/>
      <c r="AP154" s="1893"/>
      <c r="AV154" s="154"/>
      <c r="AW154" s="1883"/>
      <c r="AX154" s="1884"/>
      <c r="AY154" s="1884"/>
      <c r="AZ154" s="1884"/>
      <c r="BA154" s="1884"/>
      <c r="BB154" s="1884"/>
      <c r="BC154" s="1884"/>
      <c r="BD154" s="1884"/>
      <c r="BE154" s="1884"/>
      <c r="BF154" s="1884"/>
      <c r="BG154" s="1884"/>
      <c r="BH154" s="1885"/>
      <c r="BI154" s="1893"/>
      <c r="BO154" s="154"/>
      <c r="BP154" s="1883"/>
      <c r="BQ154" s="1884"/>
      <c r="BR154" s="1884"/>
      <c r="BS154" s="1884"/>
      <c r="BT154" s="1884"/>
      <c r="BU154" s="1884"/>
      <c r="BV154" s="1884"/>
      <c r="BW154" s="1884"/>
      <c r="BX154" s="1884"/>
      <c r="BY154" s="1884"/>
      <c r="BZ154" s="1884"/>
      <c r="CA154" s="1885"/>
      <c r="CB154" s="1893"/>
      <c r="CI154" s="154"/>
      <c r="CJ154" s="1883"/>
      <c r="CK154" s="1884"/>
      <c r="CL154" s="1884"/>
      <c r="CM154" s="1884"/>
      <c r="CN154" s="1884"/>
      <c r="CO154" s="1884"/>
      <c r="CP154" s="1884"/>
      <c r="CQ154" s="1884"/>
      <c r="CR154" s="1884"/>
      <c r="CS154" s="1884"/>
      <c r="CT154" s="1884"/>
      <c r="CU154" s="1885"/>
      <c r="CV154" s="1893"/>
    </row>
    <row r="155" spans="10:100" ht="24" customHeight="1">
      <c r="J155" s="154"/>
      <c r="K155" s="1883"/>
      <c r="L155" s="1884"/>
      <c r="M155" s="1884"/>
      <c r="N155" s="1884"/>
      <c r="O155" s="1884"/>
      <c r="P155" s="1884"/>
      <c r="Q155" s="1884"/>
      <c r="R155" s="1884"/>
      <c r="S155" s="1884"/>
      <c r="T155" s="1884"/>
      <c r="U155" s="1884"/>
      <c r="V155" s="1885"/>
      <c r="W155" s="1893"/>
      <c r="AC155" s="154"/>
      <c r="AD155" s="1883"/>
      <c r="AE155" s="1884"/>
      <c r="AF155" s="1884"/>
      <c r="AG155" s="1884"/>
      <c r="AH155" s="1884"/>
      <c r="AI155" s="1884"/>
      <c r="AJ155" s="1884"/>
      <c r="AK155" s="1884"/>
      <c r="AL155" s="1884"/>
      <c r="AM155" s="1884"/>
      <c r="AN155" s="1884"/>
      <c r="AO155" s="1885"/>
      <c r="AP155" s="1893"/>
      <c r="AV155" s="154"/>
      <c r="AW155" s="1883"/>
      <c r="AX155" s="1884"/>
      <c r="AY155" s="1884"/>
      <c r="AZ155" s="1884"/>
      <c r="BA155" s="1884"/>
      <c r="BB155" s="1884"/>
      <c r="BC155" s="1884"/>
      <c r="BD155" s="1884"/>
      <c r="BE155" s="1884"/>
      <c r="BF155" s="1884"/>
      <c r="BG155" s="1884"/>
      <c r="BH155" s="1885"/>
      <c r="BI155" s="1893"/>
      <c r="BO155" s="154"/>
      <c r="BP155" s="1883"/>
      <c r="BQ155" s="1884"/>
      <c r="BR155" s="1884"/>
      <c r="BS155" s="1884"/>
      <c r="BT155" s="1884"/>
      <c r="BU155" s="1884"/>
      <c r="BV155" s="1884"/>
      <c r="BW155" s="1884"/>
      <c r="BX155" s="1884"/>
      <c r="BY155" s="1884"/>
      <c r="BZ155" s="1884"/>
      <c r="CA155" s="1885"/>
      <c r="CB155" s="1893"/>
      <c r="CI155" s="154"/>
      <c r="CJ155" s="1883"/>
      <c r="CK155" s="1884"/>
      <c r="CL155" s="1884"/>
      <c r="CM155" s="1884"/>
      <c r="CN155" s="1884"/>
      <c r="CO155" s="1884"/>
      <c r="CP155" s="1884"/>
      <c r="CQ155" s="1884"/>
      <c r="CR155" s="1884"/>
      <c r="CS155" s="1884"/>
      <c r="CT155" s="1884"/>
      <c r="CU155" s="1885"/>
      <c r="CV155" s="1893"/>
    </row>
    <row r="156" spans="10:100" ht="24" customHeight="1">
      <c r="J156" s="154"/>
      <c r="K156" s="1883"/>
      <c r="L156" s="1884"/>
      <c r="M156" s="1884"/>
      <c r="N156" s="1884"/>
      <c r="O156" s="1884"/>
      <c r="P156" s="1884"/>
      <c r="Q156" s="1884"/>
      <c r="R156" s="1884"/>
      <c r="S156" s="1884"/>
      <c r="T156" s="1884"/>
      <c r="U156" s="1884"/>
      <c r="V156" s="1885"/>
      <c r="W156" s="1893"/>
      <c r="AC156" s="154"/>
      <c r="AD156" s="1883"/>
      <c r="AE156" s="1884"/>
      <c r="AF156" s="1884"/>
      <c r="AG156" s="1884"/>
      <c r="AH156" s="1884"/>
      <c r="AI156" s="1884"/>
      <c r="AJ156" s="1884"/>
      <c r="AK156" s="1884"/>
      <c r="AL156" s="1884"/>
      <c r="AM156" s="1884"/>
      <c r="AN156" s="1884"/>
      <c r="AO156" s="1885"/>
      <c r="AP156" s="1893"/>
      <c r="AV156" s="154"/>
      <c r="AW156" s="1883"/>
      <c r="AX156" s="1884"/>
      <c r="AY156" s="1884"/>
      <c r="AZ156" s="1884"/>
      <c r="BA156" s="1884"/>
      <c r="BB156" s="1884"/>
      <c r="BC156" s="1884"/>
      <c r="BD156" s="1884"/>
      <c r="BE156" s="1884"/>
      <c r="BF156" s="1884"/>
      <c r="BG156" s="1884"/>
      <c r="BH156" s="1885"/>
      <c r="BI156" s="1893"/>
      <c r="BO156" s="154"/>
      <c r="BP156" s="1883"/>
      <c r="BQ156" s="1884"/>
      <c r="BR156" s="1884"/>
      <c r="BS156" s="1884"/>
      <c r="BT156" s="1884"/>
      <c r="BU156" s="1884"/>
      <c r="BV156" s="1884"/>
      <c r="BW156" s="1884"/>
      <c r="BX156" s="1884"/>
      <c r="BY156" s="1884"/>
      <c r="BZ156" s="1884"/>
      <c r="CA156" s="1885"/>
      <c r="CB156" s="1893"/>
      <c r="CI156" s="154"/>
      <c r="CJ156" s="1883"/>
      <c r="CK156" s="1884"/>
      <c r="CL156" s="1884"/>
      <c r="CM156" s="1884"/>
      <c r="CN156" s="1884"/>
      <c r="CO156" s="1884"/>
      <c r="CP156" s="1884"/>
      <c r="CQ156" s="1884"/>
      <c r="CR156" s="1884"/>
      <c r="CS156" s="1884"/>
      <c r="CT156" s="1884"/>
      <c r="CU156" s="1885"/>
      <c r="CV156" s="1893"/>
    </row>
    <row r="157" spans="10:100" ht="24" customHeight="1">
      <c r="J157" s="154"/>
      <c r="K157" s="1883"/>
      <c r="L157" s="1884"/>
      <c r="M157" s="1884"/>
      <c r="N157" s="1884"/>
      <c r="O157" s="1884"/>
      <c r="P157" s="1884"/>
      <c r="Q157" s="1884"/>
      <c r="R157" s="1884"/>
      <c r="S157" s="1884"/>
      <c r="T157" s="1884"/>
      <c r="U157" s="1884"/>
      <c r="V157" s="1885"/>
      <c r="W157" s="1893"/>
      <c r="AC157" s="154"/>
      <c r="AD157" s="1883"/>
      <c r="AE157" s="1884"/>
      <c r="AF157" s="1884"/>
      <c r="AG157" s="1884"/>
      <c r="AH157" s="1884"/>
      <c r="AI157" s="1884"/>
      <c r="AJ157" s="1884"/>
      <c r="AK157" s="1884"/>
      <c r="AL157" s="1884"/>
      <c r="AM157" s="1884"/>
      <c r="AN157" s="1884"/>
      <c r="AO157" s="1885"/>
      <c r="AP157" s="1893"/>
      <c r="AV157" s="154"/>
      <c r="AW157" s="1883"/>
      <c r="AX157" s="1884"/>
      <c r="AY157" s="1884"/>
      <c r="AZ157" s="1884"/>
      <c r="BA157" s="1884"/>
      <c r="BB157" s="1884"/>
      <c r="BC157" s="1884"/>
      <c r="BD157" s="1884"/>
      <c r="BE157" s="1884"/>
      <c r="BF157" s="1884"/>
      <c r="BG157" s="1884"/>
      <c r="BH157" s="1885"/>
      <c r="BI157" s="1893"/>
      <c r="BO157" s="154"/>
      <c r="BP157" s="1883"/>
      <c r="BQ157" s="1884"/>
      <c r="BR157" s="1884"/>
      <c r="BS157" s="1884"/>
      <c r="BT157" s="1884"/>
      <c r="BU157" s="1884"/>
      <c r="BV157" s="1884"/>
      <c r="BW157" s="1884"/>
      <c r="BX157" s="1884"/>
      <c r="BY157" s="1884"/>
      <c r="BZ157" s="1884"/>
      <c r="CA157" s="1885"/>
      <c r="CB157" s="1893"/>
      <c r="CI157" s="154"/>
      <c r="CJ157" s="1883"/>
      <c r="CK157" s="1884"/>
      <c r="CL157" s="1884"/>
      <c r="CM157" s="1884"/>
      <c r="CN157" s="1884"/>
      <c r="CO157" s="1884"/>
      <c r="CP157" s="1884"/>
      <c r="CQ157" s="1884"/>
      <c r="CR157" s="1884"/>
      <c r="CS157" s="1884"/>
      <c r="CT157" s="1884"/>
      <c r="CU157" s="1885"/>
      <c r="CV157" s="1893"/>
    </row>
    <row r="158" spans="10:100" ht="24" customHeight="1">
      <c r="J158" s="154"/>
      <c r="K158" s="1883"/>
      <c r="L158" s="1884"/>
      <c r="M158" s="1884"/>
      <c r="N158" s="1884"/>
      <c r="O158" s="1884"/>
      <c r="P158" s="1884"/>
      <c r="Q158" s="1884"/>
      <c r="R158" s="1884"/>
      <c r="S158" s="1884"/>
      <c r="T158" s="1884"/>
      <c r="U158" s="1884"/>
      <c r="V158" s="1885"/>
      <c r="W158" s="1893"/>
      <c r="AC158" s="154"/>
      <c r="AD158" s="1883"/>
      <c r="AE158" s="1884"/>
      <c r="AF158" s="1884"/>
      <c r="AG158" s="1884"/>
      <c r="AH158" s="1884"/>
      <c r="AI158" s="1884"/>
      <c r="AJ158" s="1884"/>
      <c r="AK158" s="1884"/>
      <c r="AL158" s="1884"/>
      <c r="AM158" s="1884"/>
      <c r="AN158" s="1884"/>
      <c r="AO158" s="1885"/>
      <c r="AP158" s="1893"/>
      <c r="AV158" s="154"/>
      <c r="AW158" s="1883"/>
      <c r="AX158" s="1884"/>
      <c r="AY158" s="1884"/>
      <c r="AZ158" s="1884"/>
      <c r="BA158" s="1884"/>
      <c r="BB158" s="1884"/>
      <c r="BC158" s="1884"/>
      <c r="BD158" s="1884"/>
      <c r="BE158" s="1884"/>
      <c r="BF158" s="1884"/>
      <c r="BG158" s="1884"/>
      <c r="BH158" s="1885"/>
      <c r="BI158" s="1893"/>
      <c r="BO158" s="154"/>
      <c r="BP158" s="1883"/>
      <c r="BQ158" s="1884"/>
      <c r="BR158" s="1884"/>
      <c r="BS158" s="1884"/>
      <c r="BT158" s="1884"/>
      <c r="BU158" s="1884"/>
      <c r="BV158" s="1884"/>
      <c r="BW158" s="1884"/>
      <c r="BX158" s="1884"/>
      <c r="BY158" s="1884"/>
      <c r="BZ158" s="1884"/>
      <c r="CA158" s="1885"/>
      <c r="CB158" s="1893"/>
      <c r="CI158" s="154"/>
      <c r="CJ158" s="1883"/>
      <c r="CK158" s="1884"/>
      <c r="CL158" s="1884"/>
      <c r="CM158" s="1884"/>
      <c r="CN158" s="1884"/>
      <c r="CO158" s="1884"/>
      <c r="CP158" s="1884"/>
      <c r="CQ158" s="1884"/>
      <c r="CR158" s="1884"/>
      <c r="CS158" s="1884"/>
      <c r="CT158" s="1884"/>
      <c r="CU158" s="1885"/>
      <c r="CV158" s="1893"/>
    </row>
    <row r="159" spans="10:100" ht="24" customHeight="1">
      <c r="J159" s="154"/>
      <c r="K159" s="1883"/>
      <c r="L159" s="1884"/>
      <c r="M159" s="1884"/>
      <c r="N159" s="1884"/>
      <c r="O159" s="1884"/>
      <c r="P159" s="1884"/>
      <c r="Q159" s="1884"/>
      <c r="R159" s="1884"/>
      <c r="S159" s="1884"/>
      <c r="T159" s="1884"/>
      <c r="U159" s="1884"/>
      <c r="V159" s="1885"/>
      <c r="W159" s="1893"/>
      <c r="AC159" s="154"/>
      <c r="AD159" s="1883"/>
      <c r="AE159" s="1884"/>
      <c r="AF159" s="1884"/>
      <c r="AG159" s="1884"/>
      <c r="AH159" s="1884"/>
      <c r="AI159" s="1884"/>
      <c r="AJ159" s="1884"/>
      <c r="AK159" s="1884"/>
      <c r="AL159" s="1884"/>
      <c r="AM159" s="1884"/>
      <c r="AN159" s="1884"/>
      <c r="AO159" s="1885"/>
      <c r="AP159" s="1893"/>
      <c r="AV159" s="154"/>
      <c r="AW159" s="1883"/>
      <c r="AX159" s="1884"/>
      <c r="AY159" s="1884"/>
      <c r="AZ159" s="1884"/>
      <c r="BA159" s="1884"/>
      <c r="BB159" s="1884"/>
      <c r="BC159" s="1884"/>
      <c r="BD159" s="1884"/>
      <c r="BE159" s="1884"/>
      <c r="BF159" s="1884"/>
      <c r="BG159" s="1884"/>
      <c r="BH159" s="1885"/>
      <c r="BI159" s="1893"/>
      <c r="BO159" s="154"/>
      <c r="BP159" s="1883"/>
      <c r="BQ159" s="1884"/>
      <c r="BR159" s="1884"/>
      <c r="BS159" s="1884"/>
      <c r="BT159" s="1884"/>
      <c r="BU159" s="1884"/>
      <c r="BV159" s="1884"/>
      <c r="BW159" s="1884"/>
      <c r="BX159" s="1884"/>
      <c r="BY159" s="1884"/>
      <c r="BZ159" s="1884"/>
      <c r="CA159" s="1885"/>
      <c r="CB159" s="1893"/>
      <c r="CI159" s="154"/>
      <c r="CJ159" s="1883"/>
      <c r="CK159" s="1884"/>
      <c r="CL159" s="1884"/>
      <c r="CM159" s="1884"/>
      <c r="CN159" s="1884"/>
      <c r="CO159" s="1884"/>
      <c r="CP159" s="1884"/>
      <c r="CQ159" s="1884"/>
      <c r="CR159" s="1884"/>
      <c r="CS159" s="1884"/>
      <c r="CT159" s="1884"/>
      <c r="CU159" s="1885"/>
      <c r="CV159" s="1893"/>
    </row>
    <row r="160" spans="10:100" ht="24" customHeight="1">
      <c r="J160" s="154"/>
      <c r="K160" s="1883"/>
      <c r="L160" s="1884"/>
      <c r="M160" s="1884"/>
      <c r="N160" s="1884"/>
      <c r="O160" s="1884"/>
      <c r="P160" s="1884"/>
      <c r="Q160" s="1884"/>
      <c r="R160" s="1884"/>
      <c r="S160" s="1884"/>
      <c r="T160" s="1884"/>
      <c r="U160" s="1884"/>
      <c r="V160" s="1885"/>
      <c r="W160" s="1893"/>
      <c r="AC160" s="154"/>
      <c r="AD160" s="1883"/>
      <c r="AE160" s="1884"/>
      <c r="AF160" s="1884"/>
      <c r="AG160" s="1884"/>
      <c r="AH160" s="1884"/>
      <c r="AI160" s="1884"/>
      <c r="AJ160" s="1884"/>
      <c r="AK160" s="1884"/>
      <c r="AL160" s="1884"/>
      <c r="AM160" s="1884"/>
      <c r="AN160" s="1884"/>
      <c r="AO160" s="1885"/>
      <c r="AP160" s="1893"/>
      <c r="AV160" s="154"/>
      <c r="AW160" s="1883"/>
      <c r="AX160" s="1884"/>
      <c r="AY160" s="1884"/>
      <c r="AZ160" s="1884"/>
      <c r="BA160" s="1884"/>
      <c r="BB160" s="1884"/>
      <c r="BC160" s="1884"/>
      <c r="BD160" s="1884"/>
      <c r="BE160" s="1884"/>
      <c r="BF160" s="1884"/>
      <c r="BG160" s="1884"/>
      <c r="BH160" s="1885"/>
      <c r="BI160" s="1893"/>
      <c r="BO160" s="154"/>
      <c r="BP160" s="1883"/>
      <c r="BQ160" s="1884"/>
      <c r="BR160" s="1884"/>
      <c r="BS160" s="1884"/>
      <c r="BT160" s="1884"/>
      <c r="BU160" s="1884"/>
      <c r="BV160" s="1884"/>
      <c r="BW160" s="1884"/>
      <c r="BX160" s="1884"/>
      <c r="BY160" s="1884"/>
      <c r="BZ160" s="1884"/>
      <c r="CA160" s="1885"/>
      <c r="CB160" s="1893"/>
      <c r="CI160" s="154"/>
      <c r="CJ160" s="1883"/>
      <c r="CK160" s="1884"/>
      <c r="CL160" s="1884"/>
      <c r="CM160" s="1884"/>
      <c r="CN160" s="1884"/>
      <c r="CO160" s="1884"/>
      <c r="CP160" s="1884"/>
      <c r="CQ160" s="1884"/>
      <c r="CR160" s="1884"/>
      <c r="CS160" s="1884"/>
      <c r="CT160" s="1884"/>
      <c r="CU160" s="1885"/>
      <c r="CV160" s="1893"/>
    </row>
    <row r="161" spans="10:100" ht="24" customHeight="1">
      <c r="J161" s="154"/>
      <c r="K161" s="1883"/>
      <c r="L161" s="1884"/>
      <c r="M161" s="1884"/>
      <c r="N161" s="1884"/>
      <c r="O161" s="1884"/>
      <c r="P161" s="1884"/>
      <c r="Q161" s="1884"/>
      <c r="R161" s="1884"/>
      <c r="S161" s="1884"/>
      <c r="T161" s="1884"/>
      <c r="U161" s="1884"/>
      <c r="V161" s="1885"/>
      <c r="W161" s="1893"/>
      <c r="AC161" s="154"/>
      <c r="AD161" s="1883"/>
      <c r="AE161" s="1884"/>
      <c r="AF161" s="1884"/>
      <c r="AG161" s="1884"/>
      <c r="AH161" s="1884"/>
      <c r="AI161" s="1884"/>
      <c r="AJ161" s="1884"/>
      <c r="AK161" s="1884"/>
      <c r="AL161" s="1884"/>
      <c r="AM161" s="1884"/>
      <c r="AN161" s="1884"/>
      <c r="AO161" s="1885"/>
      <c r="AP161" s="1893"/>
      <c r="AV161" s="154"/>
      <c r="AW161" s="1883"/>
      <c r="AX161" s="1884"/>
      <c r="AY161" s="1884"/>
      <c r="AZ161" s="1884"/>
      <c r="BA161" s="1884"/>
      <c r="BB161" s="1884"/>
      <c r="BC161" s="1884"/>
      <c r="BD161" s="1884"/>
      <c r="BE161" s="1884"/>
      <c r="BF161" s="1884"/>
      <c r="BG161" s="1884"/>
      <c r="BH161" s="1885"/>
      <c r="BI161" s="1893"/>
      <c r="BO161" s="154"/>
      <c r="BP161" s="1883"/>
      <c r="BQ161" s="1884"/>
      <c r="BR161" s="1884"/>
      <c r="BS161" s="1884"/>
      <c r="BT161" s="1884"/>
      <c r="BU161" s="1884"/>
      <c r="BV161" s="1884"/>
      <c r="BW161" s="1884"/>
      <c r="BX161" s="1884"/>
      <c r="BY161" s="1884"/>
      <c r="BZ161" s="1884"/>
      <c r="CA161" s="1885"/>
      <c r="CB161" s="1893"/>
      <c r="CI161" s="154"/>
      <c r="CJ161" s="1883"/>
      <c r="CK161" s="1884"/>
      <c r="CL161" s="1884"/>
      <c r="CM161" s="1884"/>
      <c r="CN161" s="1884"/>
      <c r="CO161" s="1884"/>
      <c r="CP161" s="1884"/>
      <c r="CQ161" s="1884"/>
      <c r="CR161" s="1884"/>
      <c r="CS161" s="1884"/>
      <c r="CT161" s="1884"/>
      <c r="CU161" s="1885"/>
      <c r="CV161" s="1893"/>
    </row>
    <row r="162" spans="10:100" ht="24" customHeight="1">
      <c r="J162" s="154"/>
      <c r="K162" s="1883"/>
      <c r="L162" s="1884"/>
      <c r="M162" s="1884"/>
      <c r="N162" s="1884"/>
      <c r="O162" s="1884"/>
      <c r="P162" s="1884"/>
      <c r="Q162" s="1884"/>
      <c r="R162" s="1884"/>
      <c r="S162" s="1884"/>
      <c r="T162" s="1884"/>
      <c r="U162" s="1884"/>
      <c r="V162" s="1885"/>
      <c r="W162" s="1893"/>
      <c r="AC162" s="154"/>
      <c r="AD162" s="1883"/>
      <c r="AE162" s="1884"/>
      <c r="AF162" s="1884"/>
      <c r="AG162" s="1884"/>
      <c r="AH162" s="1884"/>
      <c r="AI162" s="1884"/>
      <c r="AJ162" s="1884"/>
      <c r="AK162" s="1884"/>
      <c r="AL162" s="1884"/>
      <c r="AM162" s="1884"/>
      <c r="AN162" s="1884"/>
      <c r="AO162" s="1885"/>
      <c r="AP162" s="1893"/>
      <c r="AV162" s="154"/>
      <c r="AW162" s="1883"/>
      <c r="AX162" s="1884"/>
      <c r="AY162" s="1884"/>
      <c r="AZ162" s="1884"/>
      <c r="BA162" s="1884"/>
      <c r="BB162" s="1884"/>
      <c r="BC162" s="1884"/>
      <c r="BD162" s="1884"/>
      <c r="BE162" s="1884"/>
      <c r="BF162" s="1884"/>
      <c r="BG162" s="1884"/>
      <c r="BH162" s="1885"/>
      <c r="BI162" s="1893"/>
      <c r="BO162" s="154"/>
      <c r="BP162" s="1883"/>
      <c r="BQ162" s="1884"/>
      <c r="BR162" s="1884"/>
      <c r="BS162" s="1884"/>
      <c r="BT162" s="1884"/>
      <c r="BU162" s="1884"/>
      <c r="BV162" s="1884"/>
      <c r="BW162" s="1884"/>
      <c r="BX162" s="1884"/>
      <c r="BY162" s="1884"/>
      <c r="BZ162" s="1884"/>
      <c r="CA162" s="1885"/>
      <c r="CB162" s="1893"/>
      <c r="CI162" s="154"/>
      <c r="CJ162" s="1883"/>
      <c r="CK162" s="1884"/>
      <c r="CL162" s="1884"/>
      <c r="CM162" s="1884"/>
      <c r="CN162" s="1884"/>
      <c r="CO162" s="1884"/>
      <c r="CP162" s="1884"/>
      <c r="CQ162" s="1884"/>
      <c r="CR162" s="1884"/>
      <c r="CS162" s="1884"/>
      <c r="CT162" s="1884"/>
      <c r="CU162" s="1885"/>
      <c r="CV162" s="1893"/>
    </row>
    <row r="163" spans="10:100" ht="24" customHeight="1">
      <c r="J163" s="154"/>
      <c r="K163" s="1883"/>
      <c r="L163" s="1884"/>
      <c r="M163" s="1884"/>
      <c r="N163" s="1884"/>
      <c r="O163" s="1884"/>
      <c r="P163" s="1884"/>
      <c r="Q163" s="1884"/>
      <c r="R163" s="1884"/>
      <c r="S163" s="1884"/>
      <c r="T163" s="1884"/>
      <c r="U163" s="1884"/>
      <c r="V163" s="1885"/>
      <c r="W163" s="1893"/>
      <c r="AC163" s="154"/>
      <c r="AD163" s="1883"/>
      <c r="AE163" s="1884"/>
      <c r="AF163" s="1884"/>
      <c r="AG163" s="1884"/>
      <c r="AH163" s="1884"/>
      <c r="AI163" s="1884"/>
      <c r="AJ163" s="1884"/>
      <c r="AK163" s="1884"/>
      <c r="AL163" s="1884"/>
      <c r="AM163" s="1884"/>
      <c r="AN163" s="1884"/>
      <c r="AO163" s="1885"/>
      <c r="AP163" s="1893"/>
      <c r="AV163" s="154"/>
      <c r="AW163" s="1883"/>
      <c r="AX163" s="1884"/>
      <c r="AY163" s="1884"/>
      <c r="AZ163" s="1884"/>
      <c r="BA163" s="1884"/>
      <c r="BB163" s="1884"/>
      <c r="BC163" s="1884"/>
      <c r="BD163" s="1884"/>
      <c r="BE163" s="1884"/>
      <c r="BF163" s="1884"/>
      <c r="BG163" s="1884"/>
      <c r="BH163" s="1885"/>
      <c r="BI163" s="1893"/>
      <c r="BO163" s="154"/>
      <c r="BP163" s="1883"/>
      <c r="BQ163" s="1884"/>
      <c r="BR163" s="1884"/>
      <c r="BS163" s="1884"/>
      <c r="BT163" s="1884"/>
      <c r="BU163" s="1884"/>
      <c r="BV163" s="1884"/>
      <c r="BW163" s="1884"/>
      <c r="BX163" s="1884"/>
      <c r="BY163" s="1884"/>
      <c r="BZ163" s="1884"/>
      <c r="CA163" s="1885"/>
      <c r="CB163" s="1893"/>
      <c r="CI163" s="154"/>
      <c r="CJ163" s="1883"/>
      <c r="CK163" s="1884"/>
      <c r="CL163" s="1884"/>
      <c r="CM163" s="1884"/>
      <c r="CN163" s="1884"/>
      <c r="CO163" s="1884"/>
      <c r="CP163" s="1884"/>
      <c r="CQ163" s="1884"/>
      <c r="CR163" s="1884"/>
      <c r="CS163" s="1884"/>
      <c r="CT163" s="1884"/>
      <c r="CU163" s="1885"/>
      <c r="CV163" s="1893"/>
    </row>
    <row r="164" spans="10:100" ht="24" customHeight="1">
      <c r="J164" s="154"/>
      <c r="K164" s="1883"/>
      <c r="L164" s="1884"/>
      <c r="M164" s="1884"/>
      <c r="N164" s="1884"/>
      <c r="O164" s="1884"/>
      <c r="P164" s="1884"/>
      <c r="Q164" s="1884"/>
      <c r="R164" s="1884"/>
      <c r="S164" s="1884"/>
      <c r="T164" s="1884"/>
      <c r="U164" s="1884"/>
      <c r="V164" s="1885"/>
      <c r="W164" s="1893"/>
      <c r="AC164" s="154"/>
      <c r="AD164" s="1883"/>
      <c r="AE164" s="1884"/>
      <c r="AF164" s="1884"/>
      <c r="AG164" s="1884"/>
      <c r="AH164" s="1884"/>
      <c r="AI164" s="1884"/>
      <c r="AJ164" s="1884"/>
      <c r="AK164" s="1884"/>
      <c r="AL164" s="1884"/>
      <c r="AM164" s="1884"/>
      <c r="AN164" s="1884"/>
      <c r="AO164" s="1885"/>
      <c r="AP164" s="1893"/>
      <c r="AV164" s="154"/>
      <c r="AW164" s="1883"/>
      <c r="AX164" s="1884"/>
      <c r="AY164" s="1884"/>
      <c r="AZ164" s="1884"/>
      <c r="BA164" s="1884"/>
      <c r="BB164" s="1884"/>
      <c r="BC164" s="1884"/>
      <c r="BD164" s="1884"/>
      <c r="BE164" s="1884"/>
      <c r="BF164" s="1884"/>
      <c r="BG164" s="1884"/>
      <c r="BH164" s="1885"/>
      <c r="BI164" s="1893"/>
      <c r="BO164" s="154"/>
      <c r="BP164" s="1883"/>
      <c r="BQ164" s="1884"/>
      <c r="BR164" s="1884"/>
      <c r="BS164" s="1884"/>
      <c r="BT164" s="1884"/>
      <c r="BU164" s="1884"/>
      <c r="BV164" s="1884"/>
      <c r="BW164" s="1884"/>
      <c r="BX164" s="1884"/>
      <c r="BY164" s="1884"/>
      <c r="BZ164" s="1884"/>
      <c r="CA164" s="1885"/>
      <c r="CB164" s="1893"/>
      <c r="CI164" s="154"/>
      <c r="CJ164" s="1883"/>
      <c r="CK164" s="1884"/>
      <c r="CL164" s="1884"/>
      <c r="CM164" s="1884"/>
      <c r="CN164" s="1884"/>
      <c r="CO164" s="1884"/>
      <c r="CP164" s="1884"/>
      <c r="CQ164" s="1884"/>
      <c r="CR164" s="1884"/>
      <c r="CS164" s="1884"/>
      <c r="CT164" s="1884"/>
      <c r="CU164" s="1885"/>
      <c r="CV164" s="1893"/>
    </row>
    <row r="165" spans="10:100" ht="24" customHeight="1">
      <c r="J165" s="154"/>
      <c r="K165" s="1883"/>
      <c r="L165" s="1884"/>
      <c r="M165" s="1884"/>
      <c r="N165" s="1884"/>
      <c r="O165" s="1884"/>
      <c r="P165" s="1884"/>
      <c r="Q165" s="1884"/>
      <c r="R165" s="1884"/>
      <c r="S165" s="1884"/>
      <c r="T165" s="1884"/>
      <c r="U165" s="1884"/>
      <c r="V165" s="1885"/>
      <c r="W165" s="1893"/>
      <c r="AC165" s="154"/>
      <c r="AD165" s="1883"/>
      <c r="AE165" s="1884"/>
      <c r="AF165" s="1884"/>
      <c r="AG165" s="1884"/>
      <c r="AH165" s="1884"/>
      <c r="AI165" s="1884"/>
      <c r="AJ165" s="1884"/>
      <c r="AK165" s="1884"/>
      <c r="AL165" s="1884"/>
      <c r="AM165" s="1884"/>
      <c r="AN165" s="1884"/>
      <c r="AO165" s="1885"/>
      <c r="AP165" s="1893"/>
      <c r="AV165" s="154"/>
      <c r="AW165" s="1883"/>
      <c r="AX165" s="1884"/>
      <c r="AY165" s="1884"/>
      <c r="AZ165" s="1884"/>
      <c r="BA165" s="1884"/>
      <c r="BB165" s="1884"/>
      <c r="BC165" s="1884"/>
      <c r="BD165" s="1884"/>
      <c r="BE165" s="1884"/>
      <c r="BF165" s="1884"/>
      <c r="BG165" s="1884"/>
      <c r="BH165" s="1885"/>
      <c r="BI165" s="1893"/>
      <c r="BO165" s="154"/>
      <c r="BP165" s="1883"/>
      <c r="BQ165" s="1884"/>
      <c r="BR165" s="1884"/>
      <c r="BS165" s="1884"/>
      <c r="BT165" s="1884"/>
      <c r="BU165" s="1884"/>
      <c r="BV165" s="1884"/>
      <c r="BW165" s="1884"/>
      <c r="BX165" s="1884"/>
      <c r="BY165" s="1884"/>
      <c r="BZ165" s="1884"/>
      <c r="CA165" s="1885"/>
      <c r="CB165" s="1893"/>
      <c r="CI165" s="154"/>
      <c r="CJ165" s="1883"/>
      <c r="CK165" s="1884"/>
      <c r="CL165" s="1884"/>
      <c r="CM165" s="1884"/>
      <c r="CN165" s="1884"/>
      <c r="CO165" s="1884"/>
      <c r="CP165" s="1884"/>
      <c r="CQ165" s="1884"/>
      <c r="CR165" s="1884"/>
      <c r="CS165" s="1884"/>
      <c r="CT165" s="1884"/>
      <c r="CU165" s="1885"/>
      <c r="CV165" s="1893"/>
    </row>
    <row r="166" spans="10:100" ht="24" customHeight="1">
      <c r="J166" s="154"/>
      <c r="K166" s="1883"/>
      <c r="L166" s="1884"/>
      <c r="M166" s="1884"/>
      <c r="N166" s="1884"/>
      <c r="O166" s="1884"/>
      <c r="P166" s="1884"/>
      <c r="Q166" s="1884"/>
      <c r="R166" s="1884"/>
      <c r="S166" s="1884"/>
      <c r="T166" s="1884"/>
      <c r="U166" s="1884"/>
      <c r="V166" s="1885"/>
      <c r="W166" s="825"/>
      <c r="AC166" s="154"/>
      <c r="AD166" s="1883"/>
      <c r="AE166" s="1884"/>
      <c r="AF166" s="1884"/>
      <c r="AG166" s="1884"/>
      <c r="AH166" s="1884"/>
      <c r="AI166" s="1884"/>
      <c r="AJ166" s="1884"/>
      <c r="AK166" s="1884"/>
      <c r="AL166" s="1884"/>
      <c r="AM166" s="1884"/>
      <c r="AN166" s="1884"/>
      <c r="AO166" s="1885"/>
      <c r="AP166" s="825"/>
      <c r="AV166" s="154"/>
      <c r="AW166" s="1883"/>
      <c r="AX166" s="1884"/>
      <c r="AY166" s="1884"/>
      <c r="AZ166" s="1884"/>
      <c r="BA166" s="1884"/>
      <c r="BB166" s="1884"/>
      <c r="BC166" s="1884"/>
      <c r="BD166" s="1884"/>
      <c r="BE166" s="1884"/>
      <c r="BF166" s="1884"/>
      <c r="BG166" s="1884"/>
      <c r="BH166" s="1885"/>
      <c r="BI166" s="825"/>
      <c r="BO166" s="154"/>
      <c r="BP166" s="1883"/>
      <c r="BQ166" s="1884"/>
      <c r="BR166" s="1884"/>
      <c r="BS166" s="1884"/>
      <c r="BT166" s="1884"/>
      <c r="BU166" s="1884"/>
      <c r="BV166" s="1884"/>
      <c r="BW166" s="1884"/>
      <c r="BX166" s="1884"/>
      <c r="BY166" s="1884"/>
      <c r="BZ166" s="1884"/>
      <c r="CA166" s="1885"/>
      <c r="CB166" s="825"/>
      <c r="CI166" s="154"/>
      <c r="CJ166" s="1883"/>
      <c r="CK166" s="1884"/>
      <c r="CL166" s="1884"/>
      <c r="CM166" s="1884"/>
      <c r="CN166" s="1884"/>
      <c r="CO166" s="1884"/>
      <c r="CP166" s="1884"/>
      <c r="CQ166" s="1884"/>
      <c r="CR166" s="1884"/>
      <c r="CS166" s="1884"/>
      <c r="CT166" s="1884"/>
      <c r="CU166" s="1885"/>
      <c r="CV166" s="825"/>
    </row>
    <row r="167" spans="10:100" ht="24" customHeight="1">
      <c r="J167" s="154"/>
      <c r="K167" s="1886"/>
      <c r="L167" s="1887"/>
      <c r="M167" s="1887"/>
      <c r="N167" s="1887"/>
      <c r="O167" s="1887"/>
      <c r="P167" s="1887"/>
      <c r="Q167" s="1887"/>
      <c r="R167" s="1887"/>
      <c r="S167" s="1887"/>
      <c r="T167" s="1887"/>
      <c r="U167" s="1887"/>
      <c r="V167" s="1888"/>
      <c r="W167" s="826"/>
      <c r="AC167" s="154"/>
      <c r="AD167" s="1886"/>
      <c r="AE167" s="1887"/>
      <c r="AF167" s="1887"/>
      <c r="AG167" s="1887"/>
      <c r="AH167" s="1887"/>
      <c r="AI167" s="1887"/>
      <c r="AJ167" s="1887"/>
      <c r="AK167" s="1887"/>
      <c r="AL167" s="1887"/>
      <c r="AM167" s="1887"/>
      <c r="AN167" s="1887"/>
      <c r="AO167" s="1888"/>
      <c r="AP167" s="826"/>
      <c r="AV167" s="154"/>
      <c r="AW167" s="1886"/>
      <c r="AX167" s="1887"/>
      <c r="AY167" s="1887"/>
      <c r="AZ167" s="1887"/>
      <c r="BA167" s="1887"/>
      <c r="BB167" s="1887"/>
      <c r="BC167" s="1887"/>
      <c r="BD167" s="1887"/>
      <c r="BE167" s="1887"/>
      <c r="BF167" s="1887"/>
      <c r="BG167" s="1887"/>
      <c r="BH167" s="1888"/>
      <c r="BI167" s="826"/>
      <c r="BO167" s="154"/>
      <c r="BP167" s="1886"/>
      <c r="BQ167" s="1887"/>
      <c r="BR167" s="1887"/>
      <c r="BS167" s="1887"/>
      <c r="BT167" s="1887"/>
      <c r="BU167" s="1887"/>
      <c r="BV167" s="1887"/>
      <c r="BW167" s="1887"/>
      <c r="BX167" s="1887"/>
      <c r="BY167" s="1887"/>
      <c r="BZ167" s="1887"/>
      <c r="CA167" s="1888"/>
      <c r="CB167" s="826"/>
      <c r="CI167" s="154"/>
      <c r="CJ167" s="1886"/>
      <c r="CK167" s="1887"/>
      <c r="CL167" s="1887"/>
      <c r="CM167" s="1887"/>
      <c r="CN167" s="1887"/>
      <c r="CO167" s="1887"/>
      <c r="CP167" s="1887"/>
      <c r="CQ167" s="1887"/>
      <c r="CR167" s="1887"/>
      <c r="CS167" s="1887"/>
      <c r="CT167" s="1887"/>
      <c r="CU167" s="1888"/>
      <c r="CV167" s="826"/>
    </row>
    <row r="168" spans="10:100" ht="24" customHeight="1">
      <c r="J168" s="154"/>
      <c r="K168" s="1894"/>
      <c r="L168" s="1894"/>
      <c r="M168" s="1894"/>
      <c r="N168" s="1894"/>
      <c r="O168" s="1894"/>
      <c r="P168" s="1894"/>
      <c r="Q168" s="1894"/>
      <c r="R168" s="1894"/>
      <c r="S168" s="1894"/>
      <c r="T168" s="1894"/>
      <c r="U168" s="1894"/>
      <c r="V168" s="1894"/>
      <c r="W168" s="826"/>
      <c r="AC168" s="154"/>
      <c r="AD168" s="1894"/>
      <c r="AE168" s="1894"/>
      <c r="AF168" s="1894"/>
      <c r="AG168" s="1894"/>
      <c r="AH168" s="1894"/>
      <c r="AI168" s="1894"/>
      <c r="AJ168" s="1894"/>
      <c r="AK168" s="1894"/>
      <c r="AL168" s="1894"/>
      <c r="AM168" s="1894"/>
      <c r="AN168" s="1894"/>
      <c r="AO168" s="1894"/>
      <c r="AP168" s="826"/>
      <c r="AV168" s="154"/>
      <c r="AW168" s="1894"/>
      <c r="AX168" s="1894"/>
      <c r="AY168" s="1894"/>
      <c r="AZ168" s="1894"/>
      <c r="BA168" s="1894"/>
      <c r="BB168" s="1894"/>
      <c r="BC168" s="1894"/>
      <c r="BD168" s="1894"/>
      <c r="BE168" s="1894"/>
      <c r="BF168" s="1894"/>
      <c r="BG168" s="1894"/>
      <c r="BH168" s="1894"/>
      <c r="BI168" s="826"/>
      <c r="BO168" s="154"/>
      <c r="BP168" s="1894"/>
      <c r="BQ168" s="1894"/>
      <c r="BR168" s="1894"/>
      <c r="BS168" s="1894"/>
      <c r="BT168" s="1894"/>
      <c r="BU168" s="1894"/>
      <c r="BV168" s="1894"/>
      <c r="BW168" s="1894"/>
      <c r="BX168" s="1894"/>
      <c r="BY168" s="1894"/>
      <c r="BZ168" s="1894"/>
      <c r="CA168" s="1894"/>
      <c r="CB168" s="826"/>
      <c r="CI168" s="154"/>
      <c r="CJ168" s="1894"/>
      <c r="CK168" s="1894"/>
      <c r="CL168" s="1894"/>
      <c r="CM168" s="1894"/>
      <c r="CN168" s="1894"/>
      <c r="CO168" s="1894"/>
      <c r="CP168" s="1894"/>
      <c r="CQ168" s="1894"/>
      <c r="CR168" s="1894"/>
      <c r="CS168" s="1894"/>
      <c r="CT168" s="1894"/>
      <c r="CU168" s="1894"/>
      <c r="CV168" s="826"/>
    </row>
    <row r="169" spans="10:100" ht="24" customHeight="1" thickBot="1">
      <c r="J169" s="155"/>
      <c r="K169" s="1895"/>
      <c r="L169" s="1895"/>
      <c r="M169" s="1895"/>
      <c r="N169" s="1895"/>
      <c r="O169" s="1895"/>
      <c r="P169" s="1895"/>
      <c r="Q169" s="1895"/>
      <c r="R169" s="1895"/>
      <c r="S169" s="1895"/>
      <c r="T169" s="1895"/>
      <c r="U169" s="1895"/>
      <c r="V169" s="1895"/>
      <c r="W169" s="827"/>
      <c r="AC169" s="155"/>
      <c r="AD169" s="1895"/>
      <c r="AE169" s="1895"/>
      <c r="AF169" s="1895"/>
      <c r="AG169" s="1895"/>
      <c r="AH169" s="1895"/>
      <c r="AI169" s="1895"/>
      <c r="AJ169" s="1895"/>
      <c r="AK169" s="1895"/>
      <c r="AL169" s="1895"/>
      <c r="AM169" s="1895"/>
      <c r="AN169" s="1895"/>
      <c r="AO169" s="1895"/>
      <c r="AP169" s="827"/>
      <c r="AV169" s="155"/>
      <c r="AW169" s="1895"/>
      <c r="AX169" s="1895"/>
      <c r="AY169" s="1895"/>
      <c r="AZ169" s="1895"/>
      <c r="BA169" s="1895"/>
      <c r="BB169" s="1895"/>
      <c r="BC169" s="1895"/>
      <c r="BD169" s="1895"/>
      <c r="BE169" s="1895"/>
      <c r="BF169" s="1895"/>
      <c r="BG169" s="1895"/>
      <c r="BH169" s="1895"/>
      <c r="BI169" s="827"/>
      <c r="BO169" s="155"/>
      <c r="BP169" s="1895"/>
      <c r="BQ169" s="1895"/>
      <c r="BR169" s="1895"/>
      <c r="BS169" s="1895"/>
      <c r="BT169" s="1895"/>
      <c r="BU169" s="1895"/>
      <c r="BV169" s="1895"/>
      <c r="BW169" s="1895"/>
      <c r="BX169" s="1895"/>
      <c r="BY169" s="1895"/>
      <c r="BZ169" s="1895"/>
      <c r="CA169" s="1895"/>
      <c r="CB169" s="827"/>
      <c r="CI169" s="155"/>
      <c r="CJ169" s="1895"/>
      <c r="CK169" s="1895"/>
      <c r="CL169" s="1895"/>
      <c r="CM169" s="1895"/>
      <c r="CN169" s="1895"/>
      <c r="CO169" s="1895"/>
      <c r="CP169" s="1895"/>
      <c r="CQ169" s="1895"/>
      <c r="CR169" s="1895"/>
      <c r="CS169" s="1895"/>
      <c r="CT169" s="1895"/>
      <c r="CU169" s="1895"/>
      <c r="CV169" s="827"/>
    </row>
    <row r="173" spans="10:100" ht="24" customHeight="1">
      <c r="J173" s="1894"/>
      <c r="K173" s="1900"/>
      <c r="L173" s="1901"/>
      <c r="M173" s="1901"/>
      <c r="N173" s="1901"/>
      <c r="O173" s="1901"/>
      <c r="P173" s="1901"/>
      <c r="Q173" s="1901"/>
      <c r="R173" s="1901"/>
      <c r="S173" s="1901"/>
      <c r="T173" s="1901"/>
      <c r="U173" s="1901"/>
      <c r="V173" s="1902"/>
      <c r="W173" s="825"/>
      <c r="AC173" s="1894"/>
      <c r="AD173" s="1900"/>
      <c r="AE173" s="1901"/>
      <c r="AF173" s="1901"/>
      <c r="AG173" s="1901"/>
      <c r="AH173" s="1901"/>
      <c r="AI173" s="1901"/>
      <c r="AJ173" s="1901"/>
      <c r="AK173" s="1901"/>
      <c r="AL173" s="1901"/>
      <c r="AM173" s="1901"/>
      <c r="AN173" s="1901"/>
      <c r="AO173" s="1902"/>
      <c r="AP173" s="825"/>
      <c r="AV173" s="1894"/>
      <c r="AW173" s="1900"/>
      <c r="AX173" s="1901"/>
      <c r="AY173" s="1901"/>
      <c r="AZ173" s="1901"/>
      <c r="BA173" s="1901"/>
      <c r="BB173" s="1901"/>
      <c r="BC173" s="1901"/>
      <c r="BD173" s="1901"/>
      <c r="BE173" s="1901"/>
      <c r="BF173" s="1901"/>
      <c r="BG173" s="1901"/>
      <c r="BH173" s="1902"/>
      <c r="BI173" s="825"/>
      <c r="BO173" s="1894"/>
      <c r="BP173" s="1900"/>
      <c r="BQ173" s="1901"/>
      <c r="BR173" s="1901"/>
      <c r="BS173" s="1901"/>
      <c r="BT173" s="1901"/>
      <c r="BU173" s="1901"/>
      <c r="BV173" s="1901"/>
      <c r="BW173" s="1901"/>
      <c r="BX173" s="1901"/>
      <c r="BY173" s="1901"/>
      <c r="BZ173" s="1901"/>
      <c r="CA173" s="1902"/>
      <c r="CB173" s="825"/>
      <c r="CI173" s="1894"/>
      <c r="CJ173" s="1900"/>
      <c r="CK173" s="1901"/>
      <c r="CL173" s="1901"/>
      <c r="CM173" s="1901"/>
      <c r="CN173" s="1901"/>
      <c r="CO173" s="1901"/>
      <c r="CP173" s="1901"/>
      <c r="CQ173" s="1901"/>
      <c r="CR173" s="1901"/>
      <c r="CS173" s="1901"/>
      <c r="CT173" s="1901"/>
      <c r="CU173" s="1902"/>
      <c r="CV173" s="825"/>
    </row>
    <row r="174" spans="10:100" ht="24" customHeight="1" thickBot="1">
      <c r="J174" s="1896"/>
      <c r="K174" s="1903"/>
      <c r="L174" s="1904"/>
      <c r="M174" s="1904"/>
      <c r="N174" s="1904"/>
      <c r="O174" s="1904"/>
      <c r="P174" s="1904"/>
      <c r="Q174" s="1904"/>
      <c r="R174" s="1904"/>
      <c r="S174" s="1904"/>
      <c r="T174" s="1904"/>
      <c r="U174" s="1904"/>
      <c r="V174" s="1905"/>
      <c r="W174" s="827"/>
      <c r="AC174" s="1896"/>
      <c r="AD174" s="1903"/>
      <c r="AE174" s="1904"/>
      <c r="AF174" s="1904"/>
      <c r="AG174" s="1904"/>
      <c r="AH174" s="1904"/>
      <c r="AI174" s="1904"/>
      <c r="AJ174" s="1904"/>
      <c r="AK174" s="1904"/>
      <c r="AL174" s="1904"/>
      <c r="AM174" s="1904"/>
      <c r="AN174" s="1904"/>
      <c r="AO174" s="1905"/>
      <c r="AP174" s="827"/>
      <c r="AV174" s="1896"/>
      <c r="AW174" s="1903"/>
      <c r="AX174" s="1904"/>
      <c r="AY174" s="1904"/>
      <c r="AZ174" s="1904"/>
      <c r="BA174" s="1904"/>
      <c r="BB174" s="1904"/>
      <c r="BC174" s="1904"/>
      <c r="BD174" s="1904"/>
      <c r="BE174" s="1904"/>
      <c r="BF174" s="1904"/>
      <c r="BG174" s="1904"/>
      <c r="BH174" s="1905"/>
      <c r="BI174" s="827"/>
      <c r="BO174" s="1896"/>
      <c r="BP174" s="1903"/>
      <c r="BQ174" s="1904"/>
      <c r="BR174" s="1904"/>
      <c r="BS174" s="1904"/>
      <c r="BT174" s="1904"/>
      <c r="BU174" s="1904"/>
      <c r="BV174" s="1904"/>
      <c r="BW174" s="1904"/>
      <c r="BX174" s="1904"/>
      <c r="BY174" s="1904"/>
      <c r="BZ174" s="1904"/>
      <c r="CA174" s="1905"/>
      <c r="CB174" s="827"/>
      <c r="CI174" s="1896"/>
      <c r="CJ174" s="1903"/>
      <c r="CK174" s="1904"/>
      <c r="CL174" s="1904"/>
      <c r="CM174" s="1904"/>
      <c r="CN174" s="1904"/>
      <c r="CO174" s="1904"/>
      <c r="CP174" s="1904"/>
      <c r="CQ174" s="1904"/>
      <c r="CR174" s="1904"/>
      <c r="CS174" s="1904"/>
      <c r="CT174" s="1904"/>
      <c r="CU174" s="1905"/>
      <c r="CV174" s="827"/>
    </row>
    <row r="175" spans="10:100" ht="24" customHeight="1">
      <c r="J175" s="154"/>
      <c r="K175" s="1897"/>
      <c r="L175" s="1898"/>
      <c r="M175" s="1898"/>
      <c r="N175" s="1898"/>
      <c r="O175" s="1898"/>
      <c r="P175" s="1898"/>
      <c r="Q175" s="1898"/>
      <c r="R175" s="1898"/>
      <c r="S175" s="1898"/>
      <c r="T175" s="1898"/>
      <c r="U175" s="1898"/>
      <c r="V175" s="1899"/>
      <c r="W175" s="1890" t="s">
        <v>466</v>
      </c>
      <c r="AC175" s="154"/>
      <c r="AD175" s="1897"/>
      <c r="AE175" s="1898"/>
      <c r="AF175" s="1898"/>
      <c r="AG175" s="1898"/>
      <c r="AH175" s="1898"/>
      <c r="AI175" s="1898"/>
      <c r="AJ175" s="1898"/>
      <c r="AK175" s="1898"/>
      <c r="AL175" s="1898"/>
      <c r="AM175" s="1898"/>
      <c r="AN175" s="1898"/>
      <c r="AO175" s="1899"/>
      <c r="AP175" s="1890" t="s">
        <v>466</v>
      </c>
      <c r="AV175" s="154"/>
      <c r="AW175" s="1897"/>
      <c r="AX175" s="1898"/>
      <c r="AY175" s="1898"/>
      <c r="AZ175" s="1898"/>
      <c r="BA175" s="1898"/>
      <c r="BB175" s="1898"/>
      <c r="BC175" s="1898"/>
      <c r="BD175" s="1898"/>
      <c r="BE175" s="1898"/>
      <c r="BF175" s="1898"/>
      <c r="BG175" s="1898"/>
      <c r="BH175" s="1899"/>
      <c r="BI175" s="1890" t="s">
        <v>466</v>
      </c>
      <c r="BO175" s="154"/>
      <c r="BP175" s="1897"/>
      <c r="BQ175" s="1898"/>
      <c r="BR175" s="1898"/>
      <c r="BS175" s="1898"/>
      <c r="BT175" s="1898"/>
      <c r="BU175" s="1898"/>
      <c r="BV175" s="1898"/>
      <c r="BW175" s="1898"/>
      <c r="BX175" s="1898"/>
      <c r="BY175" s="1898"/>
      <c r="BZ175" s="1898"/>
      <c r="CA175" s="1899"/>
      <c r="CB175" s="1890" t="s">
        <v>466</v>
      </c>
      <c r="CI175" s="154"/>
      <c r="CJ175" s="1897"/>
      <c r="CK175" s="1898"/>
      <c r="CL175" s="1898"/>
      <c r="CM175" s="1898"/>
      <c r="CN175" s="1898"/>
      <c r="CO175" s="1898"/>
      <c r="CP175" s="1898"/>
      <c r="CQ175" s="1898"/>
      <c r="CR175" s="1898"/>
      <c r="CS175" s="1898"/>
      <c r="CT175" s="1898"/>
      <c r="CU175" s="1899"/>
      <c r="CV175" s="1890" t="s">
        <v>466</v>
      </c>
    </row>
    <row r="176" spans="10:100" ht="24" customHeight="1">
      <c r="J176" s="154"/>
      <c r="K176" s="1883"/>
      <c r="L176" s="1884"/>
      <c r="M176" s="1884"/>
      <c r="N176" s="1884"/>
      <c r="O176" s="1884"/>
      <c r="P176" s="1884"/>
      <c r="Q176" s="1884"/>
      <c r="R176" s="1884"/>
      <c r="S176" s="1884"/>
      <c r="T176" s="1884"/>
      <c r="U176" s="1884"/>
      <c r="V176" s="1885"/>
      <c r="W176" s="1891"/>
      <c r="AC176" s="154"/>
      <c r="AD176" s="1883"/>
      <c r="AE176" s="1884"/>
      <c r="AF176" s="1884"/>
      <c r="AG176" s="1884"/>
      <c r="AH176" s="1884"/>
      <c r="AI176" s="1884"/>
      <c r="AJ176" s="1884"/>
      <c r="AK176" s="1884"/>
      <c r="AL176" s="1884"/>
      <c r="AM176" s="1884"/>
      <c r="AN176" s="1884"/>
      <c r="AO176" s="1885"/>
      <c r="AP176" s="1891"/>
      <c r="AV176" s="154"/>
      <c r="AW176" s="1883"/>
      <c r="AX176" s="1884"/>
      <c r="AY176" s="1884"/>
      <c r="AZ176" s="1884"/>
      <c r="BA176" s="1884"/>
      <c r="BB176" s="1884"/>
      <c r="BC176" s="1884"/>
      <c r="BD176" s="1884"/>
      <c r="BE176" s="1884"/>
      <c r="BF176" s="1884"/>
      <c r="BG176" s="1884"/>
      <c r="BH176" s="1885"/>
      <c r="BI176" s="1891"/>
      <c r="BO176" s="154"/>
      <c r="BP176" s="1883"/>
      <c r="BQ176" s="1884"/>
      <c r="BR176" s="1884"/>
      <c r="BS176" s="1884"/>
      <c r="BT176" s="1884"/>
      <c r="BU176" s="1884"/>
      <c r="BV176" s="1884"/>
      <c r="BW176" s="1884"/>
      <c r="BX176" s="1884"/>
      <c r="BY176" s="1884"/>
      <c r="BZ176" s="1884"/>
      <c r="CA176" s="1885"/>
      <c r="CB176" s="1891"/>
      <c r="CI176" s="154"/>
      <c r="CJ176" s="1883"/>
      <c r="CK176" s="1884"/>
      <c r="CL176" s="1884"/>
      <c r="CM176" s="1884"/>
      <c r="CN176" s="1884"/>
      <c r="CO176" s="1884"/>
      <c r="CP176" s="1884"/>
      <c r="CQ176" s="1884"/>
      <c r="CR176" s="1884"/>
      <c r="CS176" s="1884"/>
      <c r="CT176" s="1884"/>
      <c r="CU176" s="1885"/>
      <c r="CV176" s="1891"/>
    </row>
    <row r="177" spans="10:100" ht="24" customHeight="1">
      <c r="J177" s="154"/>
      <c r="K177" s="1883"/>
      <c r="L177" s="1884"/>
      <c r="M177" s="1884"/>
      <c r="N177" s="1884"/>
      <c r="O177" s="1884"/>
      <c r="P177" s="1884"/>
      <c r="Q177" s="1884"/>
      <c r="R177" s="1884"/>
      <c r="S177" s="1884"/>
      <c r="T177" s="1884"/>
      <c r="U177" s="1884"/>
      <c r="V177" s="1885"/>
      <c r="W177" s="1892"/>
      <c r="AC177" s="154"/>
      <c r="AD177" s="1883"/>
      <c r="AE177" s="1884"/>
      <c r="AF177" s="1884"/>
      <c r="AG177" s="1884"/>
      <c r="AH177" s="1884"/>
      <c r="AI177" s="1884"/>
      <c r="AJ177" s="1884"/>
      <c r="AK177" s="1884"/>
      <c r="AL177" s="1884"/>
      <c r="AM177" s="1884"/>
      <c r="AN177" s="1884"/>
      <c r="AO177" s="1885"/>
      <c r="AP177" s="1892"/>
      <c r="AV177" s="154"/>
      <c r="AW177" s="1883"/>
      <c r="AX177" s="1884"/>
      <c r="AY177" s="1884"/>
      <c r="AZ177" s="1884"/>
      <c r="BA177" s="1884"/>
      <c r="BB177" s="1884"/>
      <c r="BC177" s="1884"/>
      <c r="BD177" s="1884"/>
      <c r="BE177" s="1884"/>
      <c r="BF177" s="1884"/>
      <c r="BG177" s="1884"/>
      <c r="BH177" s="1885"/>
      <c r="BI177" s="1892"/>
      <c r="BO177" s="154"/>
      <c r="BP177" s="1883"/>
      <c r="BQ177" s="1884"/>
      <c r="BR177" s="1884"/>
      <c r="BS177" s="1884"/>
      <c r="BT177" s="1884"/>
      <c r="BU177" s="1884"/>
      <c r="BV177" s="1884"/>
      <c r="BW177" s="1884"/>
      <c r="BX177" s="1884"/>
      <c r="BY177" s="1884"/>
      <c r="BZ177" s="1884"/>
      <c r="CA177" s="1885"/>
      <c r="CB177" s="1892"/>
      <c r="CI177" s="154"/>
      <c r="CJ177" s="1883"/>
      <c r="CK177" s="1884"/>
      <c r="CL177" s="1884"/>
      <c r="CM177" s="1884"/>
      <c r="CN177" s="1884"/>
      <c r="CO177" s="1884"/>
      <c r="CP177" s="1884"/>
      <c r="CQ177" s="1884"/>
      <c r="CR177" s="1884"/>
      <c r="CS177" s="1884"/>
      <c r="CT177" s="1884"/>
      <c r="CU177" s="1885"/>
      <c r="CV177" s="1892"/>
    </row>
    <row r="178" spans="10:100" ht="24" customHeight="1">
      <c r="J178" s="154"/>
      <c r="K178" s="1883"/>
      <c r="L178" s="1884"/>
      <c r="M178" s="1884"/>
      <c r="N178" s="1884"/>
      <c r="O178" s="1884"/>
      <c r="P178" s="1884"/>
      <c r="Q178" s="1884"/>
      <c r="R178" s="1884"/>
      <c r="S178" s="1884"/>
      <c r="T178" s="1884"/>
      <c r="U178" s="1884"/>
      <c r="V178" s="1885"/>
      <c r="W178" s="1893"/>
      <c r="AC178" s="154"/>
      <c r="AD178" s="1883"/>
      <c r="AE178" s="1884"/>
      <c r="AF178" s="1884"/>
      <c r="AG178" s="1884"/>
      <c r="AH178" s="1884"/>
      <c r="AI178" s="1884"/>
      <c r="AJ178" s="1884"/>
      <c r="AK178" s="1884"/>
      <c r="AL178" s="1884"/>
      <c r="AM178" s="1884"/>
      <c r="AN178" s="1884"/>
      <c r="AO178" s="1885"/>
      <c r="AP178" s="1893"/>
      <c r="AV178" s="154"/>
      <c r="AW178" s="1883"/>
      <c r="AX178" s="1884"/>
      <c r="AY178" s="1884"/>
      <c r="AZ178" s="1884"/>
      <c r="BA178" s="1884"/>
      <c r="BB178" s="1884"/>
      <c r="BC178" s="1884"/>
      <c r="BD178" s="1884"/>
      <c r="BE178" s="1884"/>
      <c r="BF178" s="1884"/>
      <c r="BG178" s="1884"/>
      <c r="BH178" s="1885"/>
      <c r="BI178" s="1893"/>
      <c r="BO178" s="154"/>
      <c r="BP178" s="1883"/>
      <c r="BQ178" s="1884"/>
      <c r="BR178" s="1884"/>
      <c r="BS178" s="1884"/>
      <c r="BT178" s="1884"/>
      <c r="BU178" s="1884"/>
      <c r="BV178" s="1884"/>
      <c r="BW178" s="1884"/>
      <c r="BX178" s="1884"/>
      <c r="BY178" s="1884"/>
      <c r="BZ178" s="1884"/>
      <c r="CA178" s="1885"/>
      <c r="CB178" s="1893"/>
      <c r="CI178" s="154"/>
      <c r="CJ178" s="1883"/>
      <c r="CK178" s="1884"/>
      <c r="CL178" s="1884"/>
      <c r="CM178" s="1884"/>
      <c r="CN178" s="1884"/>
      <c r="CO178" s="1884"/>
      <c r="CP178" s="1884"/>
      <c r="CQ178" s="1884"/>
      <c r="CR178" s="1884"/>
      <c r="CS178" s="1884"/>
      <c r="CT178" s="1884"/>
      <c r="CU178" s="1885"/>
      <c r="CV178" s="1893"/>
    </row>
    <row r="179" spans="10:100" ht="24" customHeight="1">
      <c r="J179" s="154"/>
      <c r="K179" s="1883"/>
      <c r="L179" s="1884"/>
      <c r="M179" s="1884"/>
      <c r="N179" s="1884"/>
      <c r="O179" s="1884"/>
      <c r="P179" s="1884"/>
      <c r="Q179" s="1884"/>
      <c r="R179" s="1884"/>
      <c r="S179" s="1884"/>
      <c r="T179" s="1884"/>
      <c r="U179" s="1884"/>
      <c r="V179" s="1885"/>
      <c r="W179" s="1893"/>
      <c r="AC179" s="154"/>
      <c r="AD179" s="1883"/>
      <c r="AE179" s="1884"/>
      <c r="AF179" s="1884"/>
      <c r="AG179" s="1884"/>
      <c r="AH179" s="1884"/>
      <c r="AI179" s="1884"/>
      <c r="AJ179" s="1884"/>
      <c r="AK179" s="1884"/>
      <c r="AL179" s="1884"/>
      <c r="AM179" s="1884"/>
      <c r="AN179" s="1884"/>
      <c r="AO179" s="1885"/>
      <c r="AP179" s="1893"/>
      <c r="AV179" s="154"/>
      <c r="AW179" s="1883"/>
      <c r="AX179" s="1884"/>
      <c r="AY179" s="1884"/>
      <c r="AZ179" s="1884"/>
      <c r="BA179" s="1884"/>
      <c r="BB179" s="1884"/>
      <c r="BC179" s="1884"/>
      <c r="BD179" s="1884"/>
      <c r="BE179" s="1884"/>
      <c r="BF179" s="1884"/>
      <c r="BG179" s="1884"/>
      <c r="BH179" s="1885"/>
      <c r="BI179" s="1893"/>
      <c r="BO179" s="154"/>
      <c r="BP179" s="1883"/>
      <c r="BQ179" s="1884"/>
      <c r="BR179" s="1884"/>
      <c r="BS179" s="1884"/>
      <c r="BT179" s="1884"/>
      <c r="BU179" s="1884"/>
      <c r="BV179" s="1884"/>
      <c r="BW179" s="1884"/>
      <c r="BX179" s="1884"/>
      <c r="BY179" s="1884"/>
      <c r="BZ179" s="1884"/>
      <c r="CA179" s="1885"/>
      <c r="CB179" s="1893"/>
      <c r="CI179" s="154"/>
      <c r="CJ179" s="1883"/>
      <c r="CK179" s="1884"/>
      <c r="CL179" s="1884"/>
      <c r="CM179" s="1884"/>
      <c r="CN179" s="1884"/>
      <c r="CO179" s="1884"/>
      <c r="CP179" s="1884"/>
      <c r="CQ179" s="1884"/>
      <c r="CR179" s="1884"/>
      <c r="CS179" s="1884"/>
      <c r="CT179" s="1884"/>
      <c r="CU179" s="1885"/>
      <c r="CV179" s="1893"/>
    </row>
    <row r="180" spans="10:100" ht="24" customHeight="1">
      <c r="J180" s="154"/>
      <c r="K180" s="1883"/>
      <c r="L180" s="1884"/>
      <c r="M180" s="1884"/>
      <c r="N180" s="1884"/>
      <c r="O180" s="1884"/>
      <c r="P180" s="1884"/>
      <c r="Q180" s="1884"/>
      <c r="R180" s="1884"/>
      <c r="S180" s="1884"/>
      <c r="T180" s="1884"/>
      <c r="U180" s="1884"/>
      <c r="V180" s="1885"/>
      <c r="W180" s="1893"/>
      <c r="AC180" s="154"/>
      <c r="AD180" s="1883"/>
      <c r="AE180" s="1884"/>
      <c r="AF180" s="1884"/>
      <c r="AG180" s="1884"/>
      <c r="AH180" s="1884"/>
      <c r="AI180" s="1884"/>
      <c r="AJ180" s="1884"/>
      <c r="AK180" s="1884"/>
      <c r="AL180" s="1884"/>
      <c r="AM180" s="1884"/>
      <c r="AN180" s="1884"/>
      <c r="AO180" s="1885"/>
      <c r="AP180" s="1893"/>
      <c r="AV180" s="154"/>
      <c r="AW180" s="1883"/>
      <c r="AX180" s="1884"/>
      <c r="AY180" s="1884"/>
      <c r="AZ180" s="1884"/>
      <c r="BA180" s="1884"/>
      <c r="BB180" s="1884"/>
      <c r="BC180" s="1884"/>
      <c r="BD180" s="1884"/>
      <c r="BE180" s="1884"/>
      <c r="BF180" s="1884"/>
      <c r="BG180" s="1884"/>
      <c r="BH180" s="1885"/>
      <c r="BI180" s="1893"/>
      <c r="BO180" s="154"/>
      <c r="BP180" s="1883"/>
      <c r="BQ180" s="1884"/>
      <c r="BR180" s="1884"/>
      <c r="BS180" s="1884"/>
      <c r="BT180" s="1884"/>
      <c r="BU180" s="1884"/>
      <c r="BV180" s="1884"/>
      <c r="BW180" s="1884"/>
      <c r="BX180" s="1884"/>
      <c r="BY180" s="1884"/>
      <c r="BZ180" s="1884"/>
      <c r="CA180" s="1885"/>
      <c r="CB180" s="1893"/>
      <c r="CI180" s="154"/>
      <c r="CJ180" s="1883"/>
      <c r="CK180" s="1884"/>
      <c r="CL180" s="1884"/>
      <c r="CM180" s="1884"/>
      <c r="CN180" s="1884"/>
      <c r="CO180" s="1884"/>
      <c r="CP180" s="1884"/>
      <c r="CQ180" s="1884"/>
      <c r="CR180" s="1884"/>
      <c r="CS180" s="1884"/>
      <c r="CT180" s="1884"/>
      <c r="CU180" s="1885"/>
      <c r="CV180" s="1893"/>
    </row>
    <row r="181" spans="10:100" ht="24" customHeight="1">
      <c r="J181" s="154"/>
      <c r="K181" s="1883"/>
      <c r="L181" s="1884"/>
      <c r="M181" s="1884"/>
      <c r="N181" s="1884"/>
      <c r="O181" s="1884"/>
      <c r="P181" s="1884"/>
      <c r="Q181" s="1884"/>
      <c r="R181" s="1884"/>
      <c r="S181" s="1884"/>
      <c r="T181" s="1884"/>
      <c r="U181" s="1884"/>
      <c r="V181" s="1885"/>
      <c r="W181" s="1893"/>
      <c r="AC181" s="154"/>
      <c r="AD181" s="1883"/>
      <c r="AE181" s="1884"/>
      <c r="AF181" s="1884"/>
      <c r="AG181" s="1884"/>
      <c r="AH181" s="1884"/>
      <c r="AI181" s="1884"/>
      <c r="AJ181" s="1884"/>
      <c r="AK181" s="1884"/>
      <c r="AL181" s="1884"/>
      <c r="AM181" s="1884"/>
      <c r="AN181" s="1884"/>
      <c r="AO181" s="1885"/>
      <c r="AP181" s="1893"/>
      <c r="AV181" s="154"/>
      <c r="AW181" s="1883"/>
      <c r="AX181" s="1884"/>
      <c r="AY181" s="1884"/>
      <c r="AZ181" s="1884"/>
      <c r="BA181" s="1884"/>
      <c r="BB181" s="1884"/>
      <c r="BC181" s="1884"/>
      <c r="BD181" s="1884"/>
      <c r="BE181" s="1884"/>
      <c r="BF181" s="1884"/>
      <c r="BG181" s="1884"/>
      <c r="BH181" s="1885"/>
      <c r="BI181" s="1893"/>
      <c r="BO181" s="154"/>
      <c r="BP181" s="1883"/>
      <c r="BQ181" s="1884"/>
      <c r="BR181" s="1884"/>
      <c r="BS181" s="1884"/>
      <c r="BT181" s="1884"/>
      <c r="BU181" s="1884"/>
      <c r="BV181" s="1884"/>
      <c r="BW181" s="1884"/>
      <c r="BX181" s="1884"/>
      <c r="BY181" s="1884"/>
      <c r="BZ181" s="1884"/>
      <c r="CA181" s="1885"/>
      <c r="CB181" s="1893"/>
      <c r="CI181" s="154"/>
      <c r="CJ181" s="1883"/>
      <c r="CK181" s="1884"/>
      <c r="CL181" s="1884"/>
      <c r="CM181" s="1884"/>
      <c r="CN181" s="1884"/>
      <c r="CO181" s="1884"/>
      <c r="CP181" s="1884"/>
      <c r="CQ181" s="1884"/>
      <c r="CR181" s="1884"/>
      <c r="CS181" s="1884"/>
      <c r="CT181" s="1884"/>
      <c r="CU181" s="1885"/>
      <c r="CV181" s="1893"/>
    </row>
    <row r="182" spans="10:100" ht="24" customHeight="1">
      <c r="J182" s="154"/>
      <c r="K182" s="1883"/>
      <c r="L182" s="1884"/>
      <c r="M182" s="1884"/>
      <c r="N182" s="1884"/>
      <c r="O182" s="1884"/>
      <c r="P182" s="1884"/>
      <c r="Q182" s="1884"/>
      <c r="R182" s="1884"/>
      <c r="S182" s="1884"/>
      <c r="T182" s="1884"/>
      <c r="U182" s="1884"/>
      <c r="V182" s="1885"/>
      <c r="W182" s="1893"/>
      <c r="AC182" s="154"/>
      <c r="AD182" s="1883"/>
      <c r="AE182" s="1884"/>
      <c r="AF182" s="1884"/>
      <c r="AG182" s="1884"/>
      <c r="AH182" s="1884"/>
      <c r="AI182" s="1884"/>
      <c r="AJ182" s="1884"/>
      <c r="AK182" s="1884"/>
      <c r="AL182" s="1884"/>
      <c r="AM182" s="1884"/>
      <c r="AN182" s="1884"/>
      <c r="AO182" s="1885"/>
      <c r="AP182" s="1893"/>
      <c r="AV182" s="154"/>
      <c r="AW182" s="1883"/>
      <c r="AX182" s="1884"/>
      <c r="AY182" s="1884"/>
      <c r="AZ182" s="1884"/>
      <c r="BA182" s="1884"/>
      <c r="BB182" s="1884"/>
      <c r="BC182" s="1884"/>
      <c r="BD182" s="1884"/>
      <c r="BE182" s="1884"/>
      <c r="BF182" s="1884"/>
      <c r="BG182" s="1884"/>
      <c r="BH182" s="1885"/>
      <c r="BI182" s="1893"/>
      <c r="BO182" s="154"/>
      <c r="BP182" s="1883"/>
      <c r="BQ182" s="1884"/>
      <c r="BR182" s="1884"/>
      <c r="BS182" s="1884"/>
      <c r="BT182" s="1884"/>
      <c r="BU182" s="1884"/>
      <c r="BV182" s="1884"/>
      <c r="BW182" s="1884"/>
      <c r="BX182" s="1884"/>
      <c r="BY182" s="1884"/>
      <c r="BZ182" s="1884"/>
      <c r="CA182" s="1885"/>
      <c r="CB182" s="1893"/>
      <c r="CI182" s="154"/>
      <c r="CJ182" s="1883"/>
      <c r="CK182" s="1884"/>
      <c r="CL182" s="1884"/>
      <c r="CM182" s="1884"/>
      <c r="CN182" s="1884"/>
      <c r="CO182" s="1884"/>
      <c r="CP182" s="1884"/>
      <c r="CQ182" s="1884"/>
      <c r="CR182" s="1884"/>
      <c r="CS182" s="1884"/>
      <c r="CT182" s="1884"/>
      <c r="CU182" s="1885"/>
      <c r="CV182" s="1893"/>
    </row>
    <row r="183" spans="10:100" ht="24" customHeight="1">
      <c r="J183" s="154"/>
      <c r="K183" s="1883"/>
      <c r="L183" s="1884"/>
      <c r="M183" s="1884"/>
      <c r="N183" s="1884"/>
      <c r="O183" s="1884"/>
      <c r="P183" s="1884"/>
      <c r="Q183" s="1884"/>
      <c r="R183" s="1884"/>
      <c r="S183" s="1884"/>
      <c r="T183" s="1884"/>
      <c r="U183" s="1884"/>
      <c r="V183" s="1885"/>
      <c r="W183" s="1893"/>
      <c r="AC183" s="154"/>
      <c r="AD183" s="1883"/>
      <c r="AE183" s="1884"/>
      <c r="AF183" s="1884"/>
      <c r="AG183" s="1884"/>
      <c r="AH183" s="1884"/>
      <c r="AI183" s="1884"/>
      <c r="AJ183" s="1884"/>
      <c r="AK183" s="1884"/>
      <c r="AL183" s="1884"/>
      <c r="AM183" s="1884"/>
      <c r="AN183" s="1884"/>
      <c r="AO183" s="1885"/>
      <c r="AP183" s="1893"/>
      <c r="AV183" s="154"/>
      <c r="AW183" s="1883"/>
      <c r="AX183" s="1884"/>
      <c r="AY183" s="1884"/>
      <c r="AZ183" s="1884"/>
      <c r="BA183" s="1884"/>
      <c r="BB183" s="1884"/>
      <c r="BC183" s="1884"/>
      <c r="BD183" s="1884"/>
      <c r="BE183" s="1884"/>
      <c r="BF183" s="1884"/>
      <c r="BG183" s="1884"/>
      <c r="BH183" s="1885"/>
      <c r="BI183" s="1893"/>
      <c r="BO183" s="154"/>
      <c r="BP183" s="1883"/>
      <c r="BQ183" s="1884"/>
      <c r="BR183" s="1884"/>
      <c r="BS183" s="1884"/>
      <c r="BT183" s="1884"/>
      <c r="BU183" s="1884"/>
      <c r="BV183" s="1884"/>
      <c r="BW183" s="1884"/>
      <c r="BX183" s="1884"/>
      <c r="BY183" s="1884"/>
      <c r="BZ183" s="1884"/>
      <c r="CA183" s="1885"/>
      <c r="CB183" s="1893"/>
      <c r="CI183" s="154"/>
      <c r="CJ183" s="1883"/>
      <c r="CK183" s="1884"/>
      <c r="CL183" s="1884"/>
      <c r="CM183" s="1884"/>
      <c r="CN183" s="1884"/>
      <c r="CO183" s="1884"/>
      <c r="CP183" s="1884"/>
      <c r="CQ183" s="1884"/>
      <c r="CR183" s="1884"/>
      <c r="CS183" s="1884"/>
      <c r="CT183" s="1884"/>
      <c r="CU183" s="1885"/>
      <c r="CV183" s="1893"/>
    </row>
    <row r="184" spans="10:100" ht="24" customHeight="1">
      <c r="J184" s="154"/>
      <c r="K184" s="1883"/>
      <c r="L184" s="1884"/>
      <c r="M184" s="1884"/>
      <c r="N184" s="1884"/>
      <c r="O184" s="1884"/>
      <c r="P184" s="1884"/>
      <c r="Q184" s="1884"/>
      <c r="R184" s="1884"/>
      <c r="S184" s="1884"/>
      <c r="T184" s="1884"/>
      <c r="U184" s="1884"/>
      <c r="V184" s="1885"/>
      <c r="W184" s="1893"/>
      <c r="AC184" s="154"/>
      <c r="AD184" s="1883"/>
      <c r="AE184" s="1884"/>
      <c r="AF184" s="1884"/>
      <c r="AG184" s="1884"/>
      <c r="AH184" s="1884"/>
      <c r="AI184" s="1884"/>
      <c r="AJ184" s="1884"/>
      <c r="AK184" s="1884"/>
      <c r="AL184" s="1884"/>
      <c r="AM184" s="1884"/>
      <c r="AN184" s="1884"/>
      <c r="AO184" s="1885"/>
      <c r="AP184" s="1893"/>
      <c r="AV184" s="154"/>
      <c r="AW184" s="1883"/>
      <c r="AX184" s="1884"/>
      <c r="AY184" s="1884"/>
      <c r="AZ184" s="1884"/>
      <c r="BA184" s="1884"/>
      <c r="BB184" s="1884"/>
      <c r="BC184" s="1884"/>
      <c r="BD184" s="1884"/>
      <c r="BE184" s="1884"/>
      <c r="BF184" s="1884"/>
      <c r="BG184" s="1884"/>
      <c r="BH184" s="1885"/>
      <c r="BI184" s="1893"/>
      <c r="BO184" s="154"/>
      <c r="BP184" s="1883"/>
      <c r="BQ184" s="1884"/>
      <c r="BR184" s="1884"/>
      <c r="BS184" s="1884"/>
      <c r="BT184" s="1884"/>
      <c r="BU184" s="1884"/>
      <c r="BV184" s="1884"/>
      <c r="BW184" s="1884"/>
      <c r="BX184" s="1884"/>
      <c r="BY184" s="1884"/>
      <c r="BZ184" s="1884"/>
      <c r="CA184" s="1885"/>
      <c r="CB184" s="1893"/>
      <c r="CI184" s="154"/>
      <c r="CJ184" s="1883"/>
      <c r="CK184" s="1884"/>
      <c r="CL184" s="1884"/>
      <c r="CM184" s="1884"/>
      <c r="CN184" s="1884"/>
      <c r="CO184" s="1884"/>
      <c r="CP184" s="1884"/>
      <c r="CQ184" s="1884"/>
      <c r="CR184" s="1884"/>
      <c r="CS184" s="1884"/>
      <c r="CT184" s="1884"/>
      <c r="CU184" s="1885"/>
      <c r="CV184" s="1893"/>
    </row>
    <row r="185" spans="10:100" ht="24" customHeight="1">
      <c r="J185" s="154"/>
      <c r="K185" s="1883"/>
      <c r="L185" s="1884"/>
      <c r="M185" s="1884"/>
      <c r="N185" s="1884"/>
      <c r="O185" s="1884"/>
      <c r="P185" s="1884"/>
      <c r="Q185" s="1884"/>
      <c r="R185" s="1884"/>
      <c r="S185" s="1884"/>
      <c r="T185" s="1884"/>
      <c r="U185" s="1884"/>
      <c r="V185" s="1885"/>
      <c r="W185" s="1893"/>
      <c r="AC185" s="154"/>
      <c r="AD185" s="1883"/>
      <c r="AE185" s="1884"/>
      <c r="AF185" s="1884"/>
      <c r="AG185" s="1884"/>
      <c r="AH185" s="1884"/>
      <c r="AI185" s="1884"/>
      <c r="AJ185" s="1884"/>
      <c r="AK185" s="1884"/>
      <c r="AL185" s="1884"/>
      <c r="AM185" s="1884"/>
      <c r="AN185" s="1884"/>
      <c r="AO185" s="1885"/>
      <c r="AP185" s="1893"/>
      <c r="AV185" s="154"/>
      <c r="AW185" s="1883"/>
      <c r="AX185" s="1884"/>
      <c r="AY185" s="1884"/>
      <c r="AZ185" s="1884"/>
      <c r="BA185" s="1884"/>
      <c r="BB185" s="1884"/>
      <c r="BC185" s="1884"/>
      <c r="BD185" s="1884"/>
      <c r="BE185" s="1884"/>
      <c r="BF185" s="1884"/>
      <c r="BG185" s="1884"/>
      <c r="BH185" s="1885"/>
      <c r="BI185" s="1893"/>
      <c r="BO185" s="154"/>
      <c r="BP185" s="1883"/>
      <c r="BQ185" s="1884"/>
      <c r="BR185" s="1884"/>
      <c r="BS185" s="1884"/>
      <c r="BT185" s="1884"/>
      <c r="BU185" s="1884"/>
      <c r="BV185" s="1884"/>
      <c r="BW185" s="1884"/>
      <c r="BX185" s="1884"/>
      <c r="BY185" s="1884"/>
      <c r="BZ185" s="1884"/>
      <c r="CA185" s="1885"/>
      <c r="CB185" s="1893"/>
      <c r="CI185" s="154"/>
      <c r="CJ185" s="1883"/>
      <c r="CK185" s="1884"/>
      <c r="CL185" s="1884"/>
      <c r="CM185" s="1884"/>
      <c r="CN185" s="1884"/>
      <c r="CO185" s="1884"/>
      <c r="CP185" s="1884"/>
      <c r="CQ185" s="1884"/>
      <c r="CR185" s="1884"/>
      <c r="CS185" s="1884"/>
      <c r="CT185" s="1884"/>
      <c r="CU185" s="1885"/>
      <c r="CV185" s="1893"/>
    </row>
    <row r="186" spans="10:100" ht="24" customHeight="1">
      <c r="J186" s="154"/>
      <c r="K186" s="1883"/>
      <c r="L186" s="1884"/>
      <c r="M186" s="1884"/>
      <c r="N186" s="1884"/>
      <c r="O186" s="1884"/>
      <c r="P186" s="1884"/>
      <c r="Q186" s="1884"/>
      <c r="R186" s="1884"/>
      <c r="S186" s="1884"/>
      <c r="T186" s="1884"/>
      <c r="U186" s="1884"/>
      <c r="V186" s="1885"/>
      <c r="W186" s="1893"/>
      <c r="AC186" s="154"/>
      <c r="AD186" s="1883"/>
      <c r="AE186" s="1884"/>
      <c r="AF186" s="1884"/>
      <c r="AG186" s="1884"/>
      <c r="AH186" s="1884"/>
      <c r="AI186" s="1884"/>
      <c r="AJ186" s="1884"/>
      <c r="AK186" s="1884"/>
      <c r="AL186" s="1884"/>
      <c r="AM186" s="1884"/>
      <c r="AN186" s="1884"/>
      <c r="AO186" s="1885"/>
      <c r="AP186" s="1893"/>
      <c r="AV186" s="154"/>
      <c r="AW186" s="1883"/>
      <c r="AX186" s="1884"/>
      <c r="AY186" s="1884"/>
      <c r="AZ186" s="1884"/>
      <c r="BA186" s="1884"/>
      <c r="BB186" s="1884"/>
      <c r="BC186" s="1884"/>
      <c r="BD186" s="1884"/>
      <c r="BE186" s="1884"/>
      <c r="BF186" s="1884"/>
      <c r="BG186" s="1884"/>
      <c r="BH186" s="1885"/>
      <c r="BI186" s="1893"/>
      <c r="BO186" s="154"/>
      <c r="BP186" s="1883"/>
      <c r="BQ186" s="1884"/>
      <c r="BR186" s="1884"/>
      <c r="BS186" s="1884"/>
      <c r="BT186" s="1884"/>
      <c r="BU186" s="1884"/>
      <c r="BV186" s="1884"/>
      <c r="BW186" s="1884"/>
      <c r="BX186" s="1884"/>
      <c r="BY186" s="1884"/>
      <c r="BZ186" s="1884"/>
      <c r="CA186" s="1885"/>
      <c r="CB186" s="1893"/>
      <c r="CI186" s="154"/>
      <c r="CJ186" s="1883"/>
      <c r="CK186" s="1884"/>
      <c r="CL186" s="1884"/>
      <c r="CM186" s="1884"/>
      <c r="CN186" s="1884"/>
      <c r="CO186" s="1884"/>
      <c r="CP186" s="1884"/>
      <c r="CQ186" s="1884"/>
      <c r="CR186" s="1884"/>
      <c r="CS186" s="1884"/>
      <c r="CT186" s="1884"/>
      <c r="CU186" s="1885"/>
      <c r="CV186" s="1893"/>
    </row>
    <row r="187" spans="10:100" ht="24" customHeight="1">
      <c r="J187" s="154"/>
      <c r="K187" s="1883"/>
      <c r="L187" s="1884"/>
      <c r="M187" s="1884"/>
      <c r="N187" s="1884"/>
      <c r="O187" s="1884"/>
      <c r="P187" s="1884"/>
      <c r="Q187" s="1884"/>
      <c r="R187" s="1884"/>
      <c r="S187" s="1884"/>
      <c r="T187" s="1884"/>
      <c r="U187" s="1884"/>
      <c r="V187" s="1885"/>
      <c r="W187" s="1893"/>
      <c r="AC187" s="154"/>
      <c r="AD187" s="1883"/>
      <c r="AE187" s="1884"/>
      <c r="AF187" s="1884"/>
      <c r="AG187" s="1884"/>
      <c r="AH187" s="1884"/>
      <c r="AI187" s="1884"/>
      <c r="AJ187" s="1884"/>
      <c r="AK187" s="1884"/>
      <c r="AL187" s="1884"/>
      <c r="AM187" s="1884"/>
      <c r="AN187" s="1884"/>
      <c r="AO187" s="1885"/>
      <c r="AP187" s="1893"/>
      <c r="AV187" s="154"/>
      <c r="AW187" s="1883"/>
      <c r="AX187" s="1884"/>
      <c r="AY187" s="1884"/>
      <c r="AZ187" s="1884"/>
      <c r="BA187" s="1884"/>
      <c r="BB187" s="1884"/>
      <c r="BC187" s="1884"/>
      <c r="BD187" s="1884"/>
      <c r="BE187" s="1884"/>
      <c r="BF187" s="1884"/>
      <c r="BG187" s="1884"/>
      <c r="BH187" s="1885"/>
      <c r="BI187" s="1893"/>
      <c r="BO187" s="154"/>
      <c r="BP187" s="1883"/>
      <c r="BQ187" s="1884"/>
      <c r="BR187" s="1884"/>
      <c r="BS187" s="1884"/>
      <c r="BT187" s="1884"/>
      <c r="BU187" s="1884"/>
      <c r="BV187" s="1884"/>
      <c r="BW187" s="1884"/>
      <c r="BX187" s="1884"/>
      <c r="BY187" s="1884"/>
      <c r="BZ187" s="1884"/>
      <c r="CA187" s="1885"/>
      <c r="CB187" s="1893"/>
      <c r="CI187" s="154"/>
      <c r="CJ187" s="1883"/>
      <c r="CK187" s="1884"/>
      <c r="CL187" s="1884"/>
      <c r="CM187" s="1884"/>
      <c r="CN187" s="1884"/>
      <c r="CO187" s="1884"/>
      <c r="CP187" s="1884"/>
      <c r="CQ187" s="1884"/>
      <c r="CR187" s="1884"/>
      <c r="CS187" s="1884"/>
      <c r="CT187" s="1884"/>
      <c r="CU187" s="1885"/>
      <c r="CV187" s="1893"/>
    </row>
    <row r="188" spans="10:100" ht="24" customHeight="1">
      <c r="J188" s="154"/>
      <c r="K188" s="1883"/>
      <c r="L188" s="1884"/>
      <c r="M188" s="1884"/>
      <c r="N188" s="1884"/>
      <c r="O188" s="1884"/>
      <c r="P188" s="1884"/>
      <c r="Q188" s="1884"/>
      <c r="R188" s="1884"/>
      <c r="S188" s="1884"/>
      <c r="T188" s="1884"/>
      <c r="U188" s="1884"/>
      <c r="V188" s="1885"/>
      <c r="W188" s="1893"/>
      <c r="AC188" s="154"/>
      <c r="AD188" s="1883"/>
      <c r="AE188" s="1884"/>
      <c r="AF188" s="1884"/>
      <c r="AG188" s="1884"/>
      <c r="AH188" s="1884"/>
      <c r="AI188" s="1884"/>
      <c r="AJ188" s="1884"/>
      <c r="AK188" s="1884"/>
      <c r="AL188" s="1884"/>
      <c r="AM188" s="1884"/>
      <c r="AN188" s="1884"/>
      <c r="AO188" s="1885"/>
      <c r="AP188" s="1893"/>
      <c r="AV188" s="154"/>
      <c r="AW188" s="1883"/>
      <c r="AX188" s="1884"/>
      <c r="AY188" s="1884"/>
      <c r="AZ188" s="1884"/>
      <c r="BA188" s="1884"/>
      <c r="BB188" s="1884"/>
      <c r="BC188" s="1884"/>
      <c r="BD188" s="1884"/>
      <c r="BE188" s="1884"/>
      <c r="BF188" s="1884"/>
      <c r="BG188" s="1884"/>
      <c r="BH188" s="1885"/>
      <c r="BI188" s="1893"/>
      <c r="BO188" s="154"/>
      <c r="BP188" s="1883"/>
      <c r="BQ188" s="1884"/>
      <c r="BR188" s="1884"/>
      <c r="BS188" s="1884"/>
      <c r="BT188" s="1884"/>
      <c r="BU188" s="1884"/>
      <c r="BV188" s="1884"/>
      <c r="BW188" s="1884"/>
      <c r="BX188" s="1884"/>
      <c r="BY188" s="1884"/>
      <c r="BZ188" s="1884"/>
      <c r="CA188" s="1885"/>
      <c r="CB188" s="1893"/>
      <c r="CI188" s="154"/>
      <c r="CJ188" s="1883"/>
      <c r="CK188" s="1884"/>
      <c r="CL188" s="1884"/>
      <c r="CM188" s="1884"/>
      <c r="CN188" s="1884"/>
      <c r="CO188" s="1884"/>
      <c r="CP188" s="1884"/>
      <c r="CQ188" s="1884"/>
      <c r="CR188" s="1884"/>
      <c r="CS188" s="1884"/>
      <c r="CT188" s="1884"/>
      <c r="CU188" s="1885"/>
      <c r="CV188" s="1893"/>
    </row>
    <row r="189" spans="10:100" ht="24" customHeight="1">
      <c r="J189" s="154"/>
      <c r="K189" s="1883"/>
      <c r="L189" s="1884"/>
      <c r="M189" s="1884"/>
      <c r="N189" s="1884"/>
      <c r="O189" s="1884"/>
      <c r="P189" s="1884"/>
      <c r="Q189" s="1884"/>
      <c r="R189" s="1884"/>
      <c r="S189" s="1884"/>
      <c r="T189" s="1884"/>
      <c r="U189" s="1884"/>
      <c r="V189" s="1885"/>
      <c r="W189" s="1893"/>
      <c r="AC189" s="154"/>
      <c r="AD189" s="1883"/>
      <c r="AE189" s="1884"/>
      <c r="AF189" s="1884"/>
      <c r="AG189" s="1884"/>
      <c r="AH189" s="1884"/>
      <c r="AI189" s="1884"/>
      <c r="AJ189" s="1884"/>
      <c r="AK189" s="1884"/>
      <c r="AL189" s="1884"/>
      <c r="AM189" s="1884"/>
      <c r="AN189" s="1884"/>
      <c r="AO189" s="1885"/>
      <c r="AP189" s="1893"/>
      <c r="AV189" s="154"/>
      <c r="AW189" s="1883"/>
      <c r="AX189" s="1884"/>
      <c r="AY189" s="1884"/>
      <c r="AZ189" s="1884"/>
      <c r="BA189" s="1884"/>
      <c r="BB189" s="1884"/>
      <c r="BC189" s="1884"/>
      <c r="BD189" s="1884"/>
      <c r="BE189" s="1884"/>
      <c r="BF189" s="1884"/>
      <c r="BG189" s="1884"/>
      <c r="BH189" s="1885"/>
      <c r="BI189" s="1893"/>
      <c r="BO189" s="154"/>
      <c r="BP189" s="1883"/>
      <c r="BQ189" s="1884"/>
      <c r="BR189" s="1884"/>
      <c r="BS189" s="1884"/>
      <c r="BT189" s="1884"/>
      <c r="BU189" s="1884"/>
      <c r="BV189" s="1884"/>
      <c r="BW189" s="1884"/>
      <c r="BX189" s="1884"/>
      <c r="BY189" s="1884"/>
      <c r="BZ189" s="1884"/>
      <c r="CA189" s="1885"/>
      <c r="CB189" s="1893"/>
      <c r="CI189" s="154"/>
      <c r="CJ189" s="1883"/>
      <c r="CK189" s="1884"/>
      <c r="CL189" s="1884"/>
      <c r="CM189" s="1884"/>
      <c r="CN189" s="1884"/>
      <c r="CO189" s="1884"/>
      <c r="CP189" s="1884"/>
      <c r="CQ189" s="1884"/>
      <c r="CR189" s="1884"/>
      <c r="CS189" s="1884"/>
      <c r="CT189" s="1884"/>
      <c r="CU189" s="1885"/>
      <c r="CV189" s="1893"/>
    </row>
    <row r="190" spans="10:100" ht="24" customHeight="1">
      <c r="J190" s="154"/>
      <c r="K190" s="1883"/>
      <c r="L190" s="1884"/>
      <c r="M190" s="1884"/>
      <c r="N190" s="1884"/>
      <c r="O190" s="1884"/>
      <c r="P190" s="1884"/>
      <c r="Q190" s="1884"/>
      <c r="R190" s="1884"/>
      <c r="S190" s="1884"/>
      <c r="T190" s="1884"/>
      <c r="U190" s="1884"/>
      <c r="V190" s="1885"/>
      <c r="W190" s="1893"/>
      <c r="AC190" s="154"/>
      <c r="AD190" s="1883"/>
      <c r="AE190" s="1884"/>
      <c r="AF190" s="1884"/>
      <c r="AG190" s="1884"/>
      <c r="AH190" s="1884"/>
      <c r="AI190" s="1884"/>
      <c r="AJ190" s="1884"/>
      <c r="AK190" s="1884"/>
      <c r="AL190" s="1884"/>
      <c r="AM190" s="1884"/>
      <c r="AN190" s="1884"/>
      <c r="AO190" s="1885"/>
      <c r="AP190" s="1893"/>
      <c r="AV190" s="154"/>
      <c r="AW190" s="1883"/>
      <c r="AX190" s="1884"/>
      <c r="AY190" s="1884"/>
      <c r="AZ190" s="1884"/>
      <c r="BA190" s="1884"/>
      <c r="BB190" s="1884"/>
      <c r="BC190" s="1884"/>
      <c r="BD190" s="1884"/>
      <c r="BE190" s="1884"/>
      <c r="BF190" s="1884"/>
      <c r="BG190" s="1884"/>
      <c r="BH190" s="1885"/>
      <c r="BI190" s="1893"/>
      <c r="BO190" s="154"/>
      <c r="BP190" s="1883"/>
      <c r="BQ190" s="1884"/>
      <c r="BR190" s="1884"/>
      <c r="BS190" s="1884"/>
      <c r="BT190" s="1884"/>
      <c r="BU190" s="1884"/>
      <c r="BV190" s="1884"/>
      <c r="BW190" s="1884"/>
      <c r="BX190" s="1884"/>
      <c r="BY190" s="1884"/>
      <c r="BZ190" s="1884"/>
      <c r="CA190" s="1885"/>
      <c r="CB190" s="1893"/>
      <c r="CI190" s="154"/>
      <c r="CJ190" s="1883"/>
      <c r="CK190" s="1884"/>
      <c r="CL190" s="1884"/>
      <c r="CM190" s="1884"/>
      <c r="CN190" s="1884"/>
      <c r="CO190" s="1884"/>
      <c r="CP190" s="1884"/>
      <c r="CQ190" s="1884"/>
      <c r="CR190" s="1884"/>
      <c r="CS190" s="1884"/>
      <c r="CT190" s="1884"/>
      <c r="CU190" s="1885"/>
      <c r="CV190" s="1893"/>
    </row>
    <row r="191" spans="10:100" ht="24" customHeight="1">
      <c r="J191" s="154"/>
      <c r="K191" s="1883"/>
      <c r="L191" s="1884"/>
      <c r="M191" s="1884"/>
      <c r="N191" s="1884"/>
      <c r="O191" s="1884"/>
      <c r="P191" s="1884"/>
      <c r="Q191" s="1884"/>
      <c r="R191" s="1884"/>
      <c r="S191" s="1884"/>
      <c r="T191" s="1884"/>
      <c r="U191" s="1884"/>
      <c r="V191" s="1885"/>
      <c r="W191" s="1893"/>
      <c r="AC191" s="154"/>
      <c r="AD191" s="1883"/>
      <c r="AE191" s="1884"/>
      <c r="AF191" s="1884"/>
      <c r="AG191" s="1884"/>
      <c r="AH191" s="1884"/>
      <c r="AI191" s="1884"/>
      <c r="AJ191" s="1884"/>
      <c r="AK191" s="1884"/>
      <c r="AL191" s="1884"/>
      <c r="AM191" s="1884"/>
      <c r="AN191" s="1884"/>
      <c r="AO191" s="1885"/>
      <c r="AP191" s="1893"/>
      <c r="AV191" s="154"/>
      <c r="AW191" s="1883"/>
      <c r="AX191" s="1884"/>
      <c r="AY191" s="1884"/>
      <c r="AZ191" s="1884"/>
      <c r="BA191" s="1884"/>
      <c r="BB191" s="1884"/>
      <c r="BC191" s="1884"/>
      <c r="BD191" s="1884"/>
      <c r="BE191" s="1884"/>
      <c r="BF191" s="1884"/>
      <c r="BG191" s="1884"/>
      <c r="BH191" s="1885"/>
      <c r="BI191" s="1893"/>
      <c r="BO191" s="154"/>
      <c r="BP191" s="1883"/>
      <c r="BQ191" s="1884"/>
      <c r="BR191" s="1884"/>
      <c r="BS191" s="1884"/>
      <c r="BT191" s="1884"/>
      <c r="BU191" s="1884"/>
      <c r="BV191" s="1884"/>
      <c r="BW191" s="1884"/>
      <c r="BX191" s="1884"/>
      <c r="BY191" s="1884"/>
      <c r="BZ191" s="1884"/>
      <c r="CA191" s="1885"/>
      <c r="CB191" s="1893"/>
      <c r="CI191" s="154"/>
      <c r="CJ191" s="1883"/>
      <c r="CK191" s="1884"/>
      <c r="CL191" s="1884"/>
      <c r="CM191" s="1884"/>
      <c r="CN191" s="1884"/>
      <c r="CO191" s="1884"/>
      <c r="CP191" s="1884"/>
      <c r="CQ191" s="1884"/>
      <c r="CR191" s="1884"/>
      <c r="CS191" s="1884"/>
      <c r="CT191" s="1884"/>
      <c r="CU191" s="1885"/>
      <c r="CV191" s="1893"/>
    </row>
    <row r="192" spans="10:100" ht="24" customHeight="1">
      <c r="J192" s="154"/>
      <c r="K192" s="1883"/>
      <c r="L192" s="1884"/>
      <c r="M192" s="1884"/>
      <c r="N192" s="1884"/>
      <c r="O192" s="1884"/>
      <c r="P192" s="1884"/>
      <c r="Q192" s="1884"/>
      <c r="R192" s="1884"/>
      <c r="S192" s="1884"/>
      <c r="T192" s="1884"/>
      <c r="U192" s="1884"/>
      <c r="V192" s="1885"/>
      <c r="W192" s="1893"/>
      <c r="AC192" s="154"/>
      <c r="AD192" s="1883"/>
      <c r="AE192" s="1884"/>
      <c r="AF192" s="1884"/>
      <c r="AG192" s="1884"/>
      <c r="AH192" s="1884"/>
      <c r="AI192" s="1884"/>
      <c r="AJ192" s="1884"/>
      <c r="AK192" s="1884"/>
      <c r="AL192" s="1884"/>
      <c r="AM192" s="1884"/>
      <c r="AN192" s="1884"/>
      <c r="AO192" s="1885"/>
      <c r="AP192" s="1893"/>
      <c r="AV192" s="154"/>
      <c r="AW192" s="1883"/>
      <c r="AX192" s="1884"/>
      <c r="AY192" s="1884"/>
      <c r="AZ192" s="1884"/>
      <c r="BA192" s="1884"/>
      <c r="BB192" s="1884"/>
      <c r="BC192" s="1884"/>
      <c r="BD192" s="1884"/>
      <c r="BE192" s="1884"/>
      <c r="BF192" s="1884"/>
      <c r="BG192" s="1884"/>
      <c r="BH192" s="1885"/>
      <c r="BI192" s="1893"/>
      <c r="BO192" s="154"/>
      <c r="BP192" s="1883"/>
      <c r="BQ192" s="1884"/>
      <c r="BR192" s="1884"/>
      <c r="BS192" s="1884"/>
      <c r="BT192" s="1884"/>
      <c r="BU192" s="1884"/>
      <c r="BV192" s="1884"/>
      <c r="BW192" s="1884"/>
      <c r="BX192" s="1884"/>
      <c r="BY192" s="1884"/>
      <c r="BZ192" s="1884"/>
      <c r="CA192" s="1885"/>
      <c r="CB192" s="1893"/>
      <c r="CI192" s="154"/>
      <c r="CJ192" s="1883"/>
      <c r="CK192" s="1884"/>
      <c r="CL192" s="1884"/>
      <c r="CM192" s="1884"/>
      <c r="CN192" s="1884"/>
      <c r="CO192" s="1884"/>
      <c r="CP192" s="1884"/>
      <c r="CQ192" s="1884"/>
      <c r="CR192" s="1884"/>
      <c r="CS192" s="1884"/>
      <c r="CT192" s="1884"/>
      <c r="CU192" s="1885"/>
      <c r="CV192" s="1893"/>
    </row>
    <row r="193" spans="10:100" ht="24" customHeight="1">
      <c r="J193" s="154"/>
      <c r="K193" s="1883"/>
      <c r="L193" s="1884"/>
      <c r="M193" s="1884"/>
      <c r="N193" s="1884"/>
      <c r="O193" s="1884"/>
      <c r="P193" s="1884"/>
      <c r="Q193" s="1884"/>
      <c r="R193" s="1884"/>
      <c r="S193" s="1884"/>
      <c r="T193" s="1884"/>
      <c r="U193" s="1884"/>
      <c r="V193" s="1885"/>
      <c r="W193" s="1893"/>
      <c r="AC193" s="154"/>
      <c r="AD193" s="1883"/>
      <c r="AE193" s="1884"/>
      <c r="AF193" s="1884"/>
      <c r="AG193" s="1884"/>
      <c r="AH193" s="1884"/>
      <c r="AI193" s="1884"/>
      <c r="AJ193" s="1884"/>
      <c r="AK193" s="1884"/>
      <c r="AL193" s="1884"/>
      <c r="AM193" s="1884"/>
      <c r="AN193" s="1884"/>
      <c r="AO193" s="1885"/>
      <c r="AP193" s="1893"/>
      <c r="AV193" s="154"/>
      <c r="AW193" s="1883"/>
      <c r="AX193" s="1884"/>
      <c r="AY193" s="1884"/>
      <c r="AZ193" s="1884"/>
      <c r="BA193" s="1884"/>
      <c r="BB193" s="1884"/>
      <c r="BC193" s="1884"/>
      <c r="BD193" s="1884"/>
      <c r="BE193" s="1884"/>
      <c r="BF193" s="1884"/>
      <c r="BG193" s="1884"/>
      <c r="BH193" s="1885"/>
      <c r="BI193" s="1893"/>
      <c r="BO193" s="154"/>
      <c r="BP193" s="1883"/>
      <c r="BQ193" s="1884"/>
      <c r="BR193" s="1884"/>
      <c r="BS193" s="1884"/>
      <c r="BT193" s="1884"/>
      <c r="BU193" s="1884"/>
      <c r="BV193" s="1884"/>
      <c r="BW193" s="1884"/>
      <c r="BX193" s="1884"/>
      <c r="BY193" s="1884"/>
      <c r="BZ193" s="1884"/>
      <c r="CA193" s="1885"/>
      <c r="CB193" s="1893"/>
      <c r="CI193" s="154"/>
      <c r="CJ193" s="1883"/>
      <c r="CK193" s="1884"/>
      <c r="CL193" s="1884"/>
      <c r="CM193" s="1884"/>
      <c r="CN193" s="1884"/>
      <c r="CO193" s="1884"/>
      <c r="CP193" s="1884"/>
      <c r="CQ193" s="1884"/>
      <c r="CR193" s="1884"/>
      <c r="CS193" s="1884"/>
      <c r="CT193" s="1884"/>
      <c r="CU193" s="1885"/>
      <c r="CV193" s="1893"/>
    </row>
    <row r="194" spans="10:100" ht="24" customHeight="1">
      <c r="J194" s="154"/>
      <c r="K194" s="1883"/>
      <c r="L194" s="1884"/>
      <c r="M194" s="1884"/>
      <c r="N194" s="1884"/>
      <c r="O194" s="1884"/>
      <c r="P194" s="1884"/>
      <c r="Q194" s="1884"/>
      <c r="R194" s="1884"/>
      <c r="S194" s="1884"/>
      <c r="T194" s="1884"/>
      <c r="U194" s="1884"/>
      <c r="V194" s="1885"/>
      <c r="W194" s="1893"/>
      <c r="AC194" s="154"/>
      <c r="AD194" s="1883"/>
      <c r="AE194" s="1884"/>
      <c r="AF194" s="1884"/>
      <c r="AG194" s="1884"/>
      <c r="AH194" s="1884"/>
      <c r="AI194" s="1884"/>
      <c r="AJ194" s="1884"/>
      <c r="AK194" s="1884"/>
      <c r="AL194" s="1884"/>
      <c r="AM194" s="1884"/>
      <c r="AN194" s="1884"/>
      <c r="AO194" s="1885"/>
      <c r="AP194" s="1893"/>
      <c r="AV194" s="154"/>
      <c r="AW194" s="1883"/>
      <c r="AX194" s="1884"/>
      <c r="AY194" s="1884"/>
      <c r="AZ194" s="1884"/>
      <c r="BA194" s="1884"/>
      <c r="BB194" s="1884"/>
      <c r="BC194" s="1884"/>
      <c r="BD194" s="1884"/>
      <c r="BE194" s="1884"/>
      <c r="BF194" s="1884"/>
      <c r="BG194" s="1884"/>
      <c r="BH194" s="1885"/>
      <c r="BI194" s="1893"/>
      <c r="BO194" s="154"/>
      <c r="BP194" s="1883"/>
      <c r="BQ194" s="1884"/>
      <c r="BR194" s="1884"/>
      <c r="BS194" s="1884"/>
      <c r="BT194" s="1884"/>
      <c r="BU194" s="1884"/>
      <c r="BV194" s="1884"/>
      <c r="BW194" s="1884"/>
      <c r="BX194" s="1884"/>
      <c r="BY194" s="1884"/>
      <c r="BZ194" s="1884"/>
      <c r="CA194" s="1885"/>
      <c r="CB194" s="1893"/>
      <c r="CI194" s="154"/>
      <c r="CJ194" s="1883"/>
      <c r="CK194" s="1884"/>
      <c r="CL194" s="1884"/>
      <c r="CM194" s="1884"/>
      <c r="CN194" s="1884"/>
      <c r="CO194" s="1884"/>
      <c r="CP194" s="1884"/>
      <c r="CQ194" s="1884"/>
      <c r="CR194" s="1884"/>
      <c r="CS194" s="1884"/>
      <c r="CT194" s="1884"/>
      <c r="CU194" s="1885"/>
      <c r="CV194" s="1893"/>
    </row>
    <row r="195" spans="10:100" ht="24" customHeight="1">
      <c r="J195" s="154"/>
      <c r="K195" s="1883"/>
      <c r="L195" s="1884"/>
      <c r="M195" s="1884"/>
      <c r="N195" s="1884"/>
      <c r="O195" s="1884"/>
      <c r="P195" s="1884"/>
      <c r="Q195" s="1884"/>
      <c r="R195" s="1884"/>
      <c r="S195" s="1884"/>
      <c r="T195" s="1884"/>
      <c r="U195" s="1884"/>
      <c r="V195" s="1885"/>
      <c r="W195" s="1893"/>
      <c r="AC195" s="154"/>
      <c r="AD195" s="1883"/>
      <c r="AE195" s="1884"/>
      <c r="AF195" s="1884"/>
      <c r="AG195" s="1884"/>
      <c r="AH195" s="1884"/>
      <c r="AI195" s="1884"/>
      <c r="AJ195" s="1884"/>
      <c r="AK195" s="1884"/>
      <c r="AL195" s="1884"/>
      <c r="AM195" s="1884"/>
      <c r="AN195" s="1884"/>
      <c r="AO195" s="1885"/>
      <c r="AP195" s="1893"/>
      <c r="AV195" s="154"/>
      <c r="AW195" s="1883"/>
      <c r="AX195" s="1884"/>
      <c r="AY195" s="1884"/>
      <c r="AZ195" s="1884"/>
      <c r="BA195" s="1884"/>
      <c r="BB195" s="1884"/>
      <c r="BC195" s="1884"/>
      <c r="BD195" s="1884"/>
      <c r="BE195" s="1884"/>
      <c r="BF195" s="1884"/>
      <c r="BG195" s="1884"/>
      <c r="BH195" s="1885"/>
      <c r="BI195" s="1893"/>
      <c r="BO195" s="154"/>
      <c r="BP195" s="1883"/>
      <c r="BQ195" s="1884"/>
      <c r="BR195" s="1884"/>
      <c r="BS195" s="1884"/>
      <c r="BT195" s="1884"/>
      <c r="BU195" s="1884"/>
      <c r="BV195" s="1884"/>
      <c r="BW195" s="1884"/>
      <c r="BX195" s="1884"/>
      <c r="BY195" s="1884"/>
      <c r="BZ195" s="1884"/>
      <c r="CA195" s="1885"/>
      <c r="CB195" s="1893"/>
      <c r="CI195" s="154"/>
      <c r="CJ195" s="1883"/>
      <c r="CK195" s="1884"/>
      <c r="CL195" s="1884"/>
      <c r="CM195" s="1884"/>
      <c r="CN195" s="1884"/>
      <c r="CO195" s="1884"/>
      <c r="CP195" s="1884"/>
      <c r="CQ195" s="1884"/>
      <c r="CR195" s="1884"/>
      <c r="CS195" s="1884"/>
      <c r="CT195" s="1884"/>
      <c r="CU195" s="1885"/>
      <c r="CV195" s="1893"/>
    </row>
    <row r="196" spans="10:100" ht="24" customHeight="1">
      <c r="J196" s="154"/>
      <c r="K196" s="1883"/>
      <c r="L196" s="1884"/>
      <c r="M196" s="1884"/>
      <c r="N196" s="1884"/>
      <c r="O196" s="1884"/>
      <c r="P196" s="1884"/>
      <c r="Q196" s="1884"/>
      <c r="R196" s="1884"/>
      <c r="S196" s="1884"/>
      <c r="T196" s="1884"/>
      <c r="U196" s="1884"/>
      <c r="V196" s="1885"/>
      <c r="W196" s="1893"/>
      <c r="AC196" s="154"/>
      <c r="AD196" s="1883"/>
      <c r="AE196" s="1884"/>
      <c r="AF196" s="1884"/>
      <c r="AG196" s="1884"/>
      <c r="AH196" s="1884"/>
      <c r="AI196" s="1884"/>
      <c r="AJ196" s="1884"/>
      <c r="AK196" s="1884"/>
      <c r="AL196" s="1884"/>
      <c r="AM196" s="1884"/>
      <c r="AN196" s="1884"/>
      <c r="AO196" s="1885"/>
      <c r="AP196" s="1893"/>
      <c r="AV196" s="154"/>
      <c r="AW196" s="1883"/>
      <c r="AX196" s="1884"/>
      <c r="AY196" s="1884"/>
      <c r="AZ196" s="1884"/>
      <c r="BA196" s="1884"/>
      <c r="BB196" s="1884"/>
      <c r="BC196" s="1884"/>
      <c r="BD196" s="1884"/>
      <c r="BE196" s="1884"/>
      <c r="BF196" s="1884"/>
      <c r="BG196" s="1884"/>
      <c r="BH196" s="1885"/>
      <c r="BI196" s="1893"/>
      <c r="BO196" s="154"/>
      <c r="BP196" s="1883"/>
      <c r="BQ196" s="1884"/>
      <c r="BR196" s="1884"/>
      <c r="BS196" s="1884"/>
      <c r="BT196" s="1884"/>
      <c r="BU196" s="1884"/>
      <c r="BV196" s="1884"/>
      <c r="BW196" s="1884"/>
      <c r="BX196" s="1884"/>
      <c r="BY196" s="1884"/>
      <c r="BZ196" s="1884"/>
      <c r="CA196" s="1885"/>
      <c r="CB196" s="1893"/>
      <c r="CI196" s="154"/>
      <c r="CJ196" s="1883"/>
      <c r="CK196" s="1884"/>
      <c r="CL196" s="1884"/>
      <c r="CM196" s="1884"/>
      <c r="CN196" s="1884"/>
      <c r="CO196" s="1884"/>
      <c r="CP196" s="1884"/>
      <c r="CQ196" s="1884"/>
      <c r="CR196" s="1884"/>
      <c r="CS196" s="1884"/>
      <c r="CT196" s="1884"/>
      <c r="CU196" s="1885"/>
      <c r="CV196" s="1893"/>
    </row>
    <row r="197" spans="10:100" ht="24" customHeight="1">
      <c r="J197" s="154"/>
      <c r="K197" s="1883"/>
      <c r="L197" s="1884"/>
      <c r="M197" s="1884"/>
      <c r="N197" s="1884"/>
      <c r="O197" s="1884"/>
      <c r="P197" s="1884"/>
      <c r="Q197" s="1884"/>
      <c r="R197" s="1884"/>
      <c r="S197" s="1884"/>
      <c r="T197" s="1884"/>
      <c r="U197" s="1884"/>
      <c r="V197" s="1885"/>
      <c r="W197" s="1893"/>
      <c r="AC197" s="154"/>
      <c r="AD197" s="1883"/>
      <c r="AE197" s="1884"/>
      <c r="AF197" s="1884"/>
      <c r="AG197" s="1884"/>
      <c r="AH197" s="1884"/>
      <c r="AI197" s="1884"/>
      <c r="AJ197" s="1884"/>
      <c r="AK197" s="1884"/>
      <c r="AL197" s="1884"/>
      <c r="AM197" s="1884"/>
      <c r="AN197" s="1884"/>
      <c r="AO197" s="1885"/>
      <c r="AP197" s="1893"/>
      <c r="AV197" s="154"/>
      <c r="AW197" s="1883"/>
      <c r="AX197" s="1884"/>
      <c r="AY197" s="1884"/>
      <c r="AZ197" s="1884"/>
      <c r="BA197" s="1884"/>
      <c r="BB197" s="1884"/>
      <c r="BC197" s="1884"/>
      <c r="BD197" s="1884"/>
      <c r="BE197" s="1884"/>
      <c r="BF197" s="1884"/>
      <c r="BG197" s="1884"/>
      <c r="BH197" s="1885"/>
      <c r="BI197" s="1893"/>
      <c r="BO197" s="154"/>
      <c r="BP197" s="1883"/>
      <c r="BQ197" s="1884"/>
      <c r="BR197" s="1884"/>
      <c r="BS197" s="1884"/>
      <c r="BT197" s="1884"/>
      <c r="BU197" s="1884"/>
      <c r="BV197" s="1884"/>
      <c r="BW197" s="1884"/>
      <c r="BX197" s="1884"/>
      <c r="BY197" s="1884"/>
      <c r="BZ197" s="1884"/>
      <c r="CA197" s="1885"/>
      <c r="CB197" s="1893"/>
      <c r="CI197" s="154"/>
      <c r="CJ197" s="1883"/>
      <c r="CK197" s="1884"/>
      <c r="CL197" s="1884"/>
      <c r="CM197" s="1884"/>
      <c r="CN197" s="1884"/>
      <c r="CO197" s="1884"/>
      <c r="CP197" s="1884"/>
      <c r="CQ197" s="1884"/>
      <c r="CR197" s="1884"/>
      <c r="CS197" s="1884"/>
      <c r="CT197" s="1884"/>
      <c r="CU197" s="1885"/>
      <c r="CV197" s="1893"/>
    </row>
    <row r="198" spans="10:100" ht="24" customHeight="1">
      <c r="J198" s="154"/>
      <c r="K198" s="1883"/>
      <c r="L198" s="1884"/>
      <c r="M198" s="1884"/>
      <c r="N198" s="1884"/>
      <c r="O198" s="1884"/>
      <c r="P198" s="1884"/>
      <c r="Q198" s="1884"/>
      <c r="R198" s="1884"/>
      <c r="S198" s="1884"/>
      <c r="T198" s="1884"/>
      <c r="U198" s="1884"/>
      <c r="V198" s="1885"/>
      <c r="W198" s="1893"/>
      <c r="AC198" s="154"/>
      <c r="AD198" s="1883"/>
      <c r="AE198" s="1884"/>
      <c r="AF198" s="1884"/>
      <c r="AG198" s="1884"/>
      <c r="AH198" s="1884"/>
      <c r="AI198" s="1884"/>
      <c r="AJ198" s="1884"/>
      <c r="AK198" s="1884"/>
      <c r="AL198" s="1884"/>
      <c r="AM198" s="1884"/>
      <c r="AN198" s="1884"/>
      <c r="AO198" s="1885"/>
      <c r="AP198" s="1893"/>
      <c r="AV198" s="154"/>
      <c r="AW198" s="1883"/>
      <c r="AX198" s="1884"/>
      <c r="AY198" s="1884"/>
      <c r="AZ198" s="1884"/>
      <c r="BA198" s="1884"/>
      <c r="BB198" s="1884"/>
      <c r="BC198" s="1884"/>
      <c r="BD198" s="1884"/>
      <c r="BE198" s="1884"/>
      <c r="BF198" s="1884"/>
      <c r="BG198" s="1884"/>
      <c r="BH198" s="1885"/>
      <c r="BI198" s="1893"/>
      <c r="BO198" s="154"/>
      <c r="BP198" s="1883"/>
      <c r="BQ198" s="1884"/>
      <c r="BR198" s="1884"/>
      <c r="BS198" s="1884"/>
      <c r="BT198" s="1884"/>
      <c r="BU198" s="1884"/>
      <c r="BV198" s="1884"/>
      <c r="BW198" s="1884"/>
      <c r="BX198" s="1884"/>
      <c r="BY198" s="1884"/>
      <c r="BZ198" s="1884"/>
      <c r="CA198" s="1885"/>
      <c r="CB198" s="1893"/>
      <c r="CI198" s="154"/>
      <c r="CJ198" s="1883"/>
      <c r="CK198" s="1884"/>
      <c r="CL198" s="1884"/>
      <c r="CM198" s="1884"/>
      <c r="CN198" s="1884"/>
      <c r="CO198" s="1884"/>
      <c r="CP198" s="1884"/>
      <c r="CQ198" s="1884"/>
      <c r="CR198" s="1884"/>
      <c r="CS198" s="1884"/>
      <c r="CT198" s="1884"/>
      <c r="CU198" s="1885"/>
      <c r="CV198" s="1893"/>
    </row>
    <row r="199" spans="10:100" ht="24" customHeight="1">
      <c r="J199" s="154"/>
      <c r="K199" s="1883"/>
      <c r="L199" s="1884"/>
      <c r="M199" s="1884"/>
      <c r="N199" s="1884"/>
      <c r="O199" s="1884"/>
      <c r="P199" s="1884"/>
      <c r="Q199" s="1884"/>
      <c r="R199" s="1884"/>
      <c r="S199" s="1884"/>
      <c r="T199" s="1884"/>
      <c r="U199" s="1884"/>
      <c r="V199" s="1885"/>
      <c r="W199" s="1893"/>
      <c r="AC199" s="154"/>
      <c r="AD199" s="1883"/>
      <c r="AE199" s="1884"/>
      <c r="AF199" s="1884"/>
      <c r="AG199" s="1884"/>
      <c r="AH199" s="1884"/>
      <c r="AI199" s="1884"/>
      <c r="AJ199" s="1884"/>
      <c r="AK199" s="1884"/>
      <c r="AL199" s="1884"/>
      <c r="AM199" s="1884"/>
      <c r="AN199" s="1884"/>
      <c r="AO199" s="1885"/>
      <c r="AP199" s="1893"/>
      <c r="AV199" s="154"/>
      <c r="AW199" s="1883"/>
      <c r="AX199" s="1884"/>
      <c r="AY199" s="1884"/>
      <c r="AZ199" s="1884"/>
      <c r="BA199" s="1884"/>
      <c r="BB199" s="1884"/>
      <c r="BC199" s="1884"/>
      <c r="BD199" s="1884"/>
      <c r="BE199" s="1884"/>
      <c r="BF199" s="1884"/>
      <c r="BG199" s="1884"/>
      <c r="BH199" s="1885"/>
      <c r="BI199" s="1893"/>
      <c r="BO199" s="154"/>
      <c r="BP199" s="1883"/>
      <c r="BQ199" s="1884"/>
      <c r="BR199" s="1884"/>
      <c r="BS199" s="1884"/>
      <c r="BT199" s="1884"/>
      <c r="BU199" s="1884"/>
      <c r="BV199" s="1884"/>
      <c r="BW199" s="1884"/>
      <c r="BX199" s="1884"/>
      <c r="BY199" s="1884"/>
      <c r="BZ199" s="1884"/>
      <c r="CA199" s="1885"/>
      <c r="CB199" s="1893"/>
      <c r="CI199" s="154"/>
      <c r="CJ199" s="1883"/>
      <c r="CK199" s="1884"/>
      <c r="CL199" s="1884"/>
      <c r="CM199" s="1884"/>
      <c r="CN199" s="1884"/>
      <c r="CO199" s="1884"/>
      <c r="CP199" s="1884"/>
      <c r="CQ199" s="1884"/>
      <c r="CR199" s="1884"/>
      <c r="CS199" s="1884"/>
      <c r="CT199" s="1884"/>
      <c r="CU199" s="1885"/>
      <c r="CV199" s="1893"/>
    </row>
    <row r="200" spans="10:100" ht="24" customHeight="1">
      <c r="J200" s="154"/>
      <c r="K200" s="1883"/>
      <c r="L200" s="1884"/>
      <c r="M200" s="1884"/>
      <c r="N200" s="1884"/>
      <c r="O200" s="1884"/>
      <c r="P200" s="1884"/>
      <c r="Q200" s="1884"/>
      <c r="R200" s="1884"/>
      <c r="S200" s="1884"/>
      <c r="T200" s="1884"/>
      <c r="U200" s="1884"/>
      <c r="V200" s="1885"/>
      <c r="W200" s="1893"/>
      <c r="AC200" s="154"/>
      <c r="AD200" s="1883"/>
      <c r="AE200" s="1884"/>
      <c r="AF200" s="1884"/>
      <c r="AG200" s="1884"/>
      <c r="AH200" s="1884"/>
      <c r="AI200" s="1884"/>
      <c r="AJ200" s="1884"/>
      <c r="AK200" s="1884"/>
      <c r="AL200" s="1884"/>
      <c r="AM200" s="1884"/>
      <c r="AN200" s="1884"/>
      <c r="AO200" s="1885"/>
      <c r="AP200" s="1893"/>
      <c r="AV200" s="154"/>
      <c r="AW200" s="1883"/>
      <c r="AX200" s="1884"/>
      <c r="AY200" s="1884"/>
      <c r="AZ200" s="1884"/>
      <c r="BA200" s="1884"/>
      <c r="BB200" s="1884"/>
      <c r="BC200" s="1884"/>
      <c r="BD200" s="1884"/>
      <c r="BE200" s="1884"/>
      <c r="BF200" s="1884"/>
      <c r="BG200" s="1884"/>
      <c r="BH200" s="1885"/>
      <c r="BI200" s="1893"/>
      <c r="BO200" s="154"/>
      <c r="BP200" s="1883"/>
      <c r="BQ200" s="1884"/>
      <c r="BR200" s="1884"/>
      <c r="BS200" s="1884"/>
      <c r="BT200" s="1884"/>
      <c r="BU200" s="1884"/>
      <c r="BV200" s="1884"/>
      <c r="BW200" s="1884"/>
      <c r="BX200" s="1884"/>
      <c r="BY200" s="1884"/>
      <c r="BZ200" s="1884"/>
      <c r="CA200" s="1885"/>
      <c r="CB200" s="1893"/>
      <c r="CI200" s="154"/>
      <c r="CJ200" s="1883"/>
      <c r="CK200" s="1884"/>
      <c r="CL200" s="1884"/>
      <c r="CM200" s="1884"/>
      <c r="CN200" s="1884"/>
      <c r="CO200" s="1884"/>
      <c r="CP200" s="1884"/>
      <c r="CQ200" s="1884"/>
      <c r="CR200" s="1884"/>
      <c r="CS200" s="1884"/>
      <c r="CT200" s="1884"/>
      <c r="CU200" s="1885"/>
      <c r="CV200" s="1893"/>
    </row>
    <row r="201" spans="10:100" ht="24" customHeight="1">
      <c r="J201" s="154"/>
      <c r="K201" s="1883"/>
      <c r="L201" s="1884"/>
      <c r="M201" s="1884"/>
      <c r="N201" s="1884"/>
      <c r="O201" s="1884"/>
      <c r="P201" s="1884"/>
      <c r="Q201" s="1884"/>
      <c r="R201" s="1884"/>
      <c r="S201" s="1884"/>
      <c r="T201" s="1884"/>
      <c r="U201" s="1884"/>
      <c r="V201" s="1885"/>
      <c r="W201" s="1893"/>
      <c r="AC201" s="154"/>
      <c r="AD201" s="1883"/>
      <c r="AE201" s="1884"/>
      <c r="AF201" s="1884"/>
      <c r="AG201" s="1884"/>
      <c r="AH201" s="1884"/>
      <c r="AI201" s="1884"/>
      <c r="AJ201" s="1884"/>
      <c r="AK201" s="1884"/>
      <c r="AL201" s="1884"/>
      <c r="AM201" s="1884"/>
      <c r="AN201" s="1884"/>
      <c r="AO201" s="1885"/>
      <c r="AP201" s="1893"/>
      <c r="AV201" s="154"/>
      <c r="AW201" s="1883"/>
      <c r="AX201" s="1884"/>
      <c r="AY201" s="1884"/>
      <c r="AZ201" s="1884"/>
      <c r="BA201" s="1884"/>
      <c r="BB201" s="1884"/>
      <c r="BC201" s="1884"/>
      <c r="BD201" s="1884"/>
      <c r="BE201" s="1884"/>
      <c r="BF201" s="1884"/>
      <c r="BG201" s="1884"/>
      <c r="BH201" s="1885"/>
      <c r="BI201" s="1893"/>
      <c r="BO201" s="154"/>
      <c r="BP201" s="1883"/>
      <c r="BQ201" s="1884"/>
      <c r="BR201" s="1884"/>
      <c r="BS201" s="1884"/>
      <c r="BT201" s="1884"/>
      <c r="BU201" s="1884"/>
      <c r="BV201" s="1884"/>
      <c r="BW201" s="1884"/>
      <c r="BX201" s="1884"/>
      <c r="BY201" s="1884"/>
      <c r="BZ201" s="1884"/>
      <c r="CA201" s="1885"/>
      <c r="CB201" s="1893"/>
      <c r="CI201" s="154"/>
      <c r="CJ201" s="1883"/>
      <c r="CK201" s="1884"/>
      <c r="CL201" s="1884"/>
      <c r="CM201" s="1884"/>
      <c r="CN201" s="1884"/>
      <c r="CO201" s="1884"/>
      <c r="CP201" s="1884"/>
      <c r="CQ201" s="1884"/>
      <c r="CR201" s="1884"/>
      <c r="CS201" s="1884"/>
      <c r="CT201" s="1884"/>
      <c r="CU201" s="1885"/>
      <c r="CV201" s="1893"/>
    </row>
    <row r="202" spans="10:100" ht="24" customHeight="1">
      <c r="J202" s="154"/>
      <c r="K202" s="1883"/>
      <c r="L202" s="1884"/>
      <c r="M202" s="1884"/>
      <c r="N202" s="1884"/>
      <c r="O202" s="1884"/>
      <c r="P202" s="1884"/>
      <c r="Q202" s="1884"/>
      <c r="R202" s="1884"/>
      <c r="S202" s="1884"/>
      <c r="T202" s="1884"/>
      <c r="U202" s="1884"/>
      <c r="V202" s="1885"/>
      <c r="W202" s="1893"/>
      <c r="AC202" s="154"/>
      <c r="AD202" s="1883"/>
      <c r="AE202" s="1884"/>
      <c r="AF202" s="1884"/>
      <c r="AG202" s="1884"/>
      <c r="AH202" s="1884"/>
      <c r="AI202" s="1884"/>
      <c r="AJ202" s="1884"/>
      <c r="AK202" s="1884"/>
      <c r="AL202" s="1884"/>
      <c r="AM202" s="1884"/>
      <c r="AN202" s="1884"/>
      <c r="AO202" s="1885"/>
      <c r="AP202" s="1893"/>
      <c r="AV202" s="154"/>
      <c r="AW202" s="1883"/>
      <c r="AX202" s="1884"/>
      <c r="AY202" s="1884"/>
      <c r="AZ202" s="1884"/>
      <c r="BA202" s="1884"/>
      <c r="BB202" s="1884"/>
      <c r="BC202" s="1884"/>
      <c r="BD202" s="1884"/>
      <c r="BE202" s="1884"/>
      <c r="BF202" s="1884"/>
      <c r="BG202" s="1884"/>
      <c r="BH202" s="1885"/>
      <c r="BI202" s="1893"/>
      <c r="BO202" s="154"/>
      <c r="BP202" s="1883"/>
      <c r="BQ202" s="1884"/>
      <c r="BR202" s="1884"/>
      <c r="BS202" s="1884"/>
      <c r="BT202" s="1884"/>
      <c r="BU202" s="1884"/>
      <c r="BV202" s="1884"/>
      <c r="BW202" s="1884"/>
      <c r="BX202" s="1884"/>
      <c r="BY202" s="1884"/>
      <c r="BZ202" s="1884"/>
      <c r="CA202" s="1885"/>
      <c r="CB202" s="1893"/>
      <c r="CI202" s="154"/>
      <c r="CJ202" s="1883"/>
      <c r="CK202" s="1884"/>
      <c r="CL202" s="1884"/>
      <c r="CM202" s="1884"/>
      <c r="CN202" s="1884"/>
      <c r="CO202" s="1884"/>
      <c r="CP202" s="1884"/>
      <c r="CQ202" s="1884"/>
      <c r="CR202" s="1884"/>
      <c r="CS202" s="1884"/>
      <c r="CT202" s="1884"/>
      <c r="CU202" s="1885"/>
      <c r="CV202" s="1893"/>
    </row>
    <row r="203" spans="10:100" ht="24" customHeight="1">
      <c r="J203" s="154"/>
      <c r="K203" s="1883"/>
      <c r="L203" s="1884"/>
      <c r="M203" s="1884"/>
      <c r="N203" s="1884"/>
      <c r="O203" s="1884"/>
      <c r="P203" s="1884"/>
      <c r="Q203" s="1884"/>
      <c r="R203" s="1884"/>
      <c r="S203" s="1884"/>
      <c r="T203" s="1884"/>
      <c r="U203" s="1884"/>
      <c r="V203" s="1885"/>
      <c r="W203" s="1893"/>
      <c r="AC203" s="154"/>
      <c r="AD203" s="1883"/>
      <c r="AE203" s="1884"/>
      <c r="AF203" s="1884"/>
      <c r="AG203" s="1884"/>
      <c r="AH203" s="1884"/>
      <c r="AI203" s="1884"/>
      <c r="AJ203" s="1884"/>
      <c r="AK203" s="1884"/>
      <c r="AL203" s="1884"/>
      <c r="AM203" s="1884"/>
      <c r="AN203" s="1884"/>
      <c r="AO203" s="1885"/>
      <c r="AP203" s="1893"/>
      <c r="AV203" s="154"/>
      <c r="AW203" s="1883"/>
      <c r="AX203" s="1884"/>
      <c r="AY203" s="1884"/>
      <c r="AZ203" s="1884"/>
      <c r="BA203" s="1884"/>
      <c r="BB203" s="1884"/>
      <c r="BC203" s="1884"/>
      <c r="BD203" s="1884"/>
      <c r="BE203" s="1884"/>
      <c r="BF203" s="1884"/>
      <c r="BG203" s="1884"/>
      <c r="BH203" s="1885"/>
      <c r="BI203" s="1893"/>
      <c r="BO203" s="154"/>
      <c r="BP203" s="1883"/>
      <c r="BQ203" s="1884"/>
      <c r="BR203" s="1884"/>
      <c r="BS203" s="1884"/>
      <c r="BT203" s="1884"/>
      <c r="BU203" s="1884"/>
      <c r="BV203" s="1884"/>
      <c r="BW203" s="1884"/>
      <c r="BX203" s="1884"/>
      <c r="BY203" s="1884"/>
      <c r="BZ203" s="1884"/>
      <c r="CA203" s="1885"/>
      <c r="CB203" s="1893"/>
      <c r="CI203" s="154"/>
      <c r="CJ203" s="1883"/>
      <c r="CK203" s="1884"/>
      <c r="CL203" s="1884"/>
      <c r="CM203" s="1884"/>
      <c r="CN203" s="1884"/>
      <c r="CO203" s="1884"/>
      <c r="CP203" s="1884"/>
      <c r="CQ203" s="1884"/>
      <c r="CR203" s="1884"/>
      <c r="CS203" s="1884"/>
      <c r="CT203" s="1884"/>
      <c r="CU203" s="1885"/>
      <c r="CV203" s="1893"/>
    </row>
    <row r="204" spans="10:100" ht="24" customHeight="1">
      <c r="J204" s="154"/>
      <c r="K204" s="1883"/>
      <c r="L204" s="1884"/>
      <c r="M204" s="1884"/>
      <c r="N204" s="1884"/>
      <c r="O204" s="1884"/>
      <c r="P204" s="1884"/>
      <c r="Q204" s="1884"/>
      <c r="R204" s="1884"/>
      <c r="S204" s="1884"/>
      <c r="T204" s="1884"/>
      <c r="U204" s="1884"/>
      <c r="V204" s="1885"/>
      <c r="W204" s="1893"/>
      <c r="AC204" s="154"/>
      <c r="AD204" s="1883"/>
      <c r="AE204" s="1884"/>
      <c r="AF204" s="1884"/>
      <c r="AG204" s="1884"/>
      <c r="AH204" s="1884"/>
      <c r="AI204" s="1884"/>
      <c r="AJ204" s="1884"/>
      <c r="AK204" s="1884"/>
      <c r="AL204" s="1884"/>
      <c r="AM204" s="1884"/>
      <c r="AN204" s="1884"/>
      <c r="AO204" s="1885"/>
      <c r="AP204" s="1893"/>
      <c r="AV204" s="154"/>
      <c r="AW204" s="1883"/>
      <c r="AX204" s="1884"/>
      <c r="AY204" s="1884"/>
      <c r="AZ204" s="1884"/>
      <c r="BA204" s="1884"/>
      <c r="BB204" s="1884"/>
      <c r="BC204" s="1884"/>
      <c r="BD204" s="1884"/>
      <c r="BE204" s="1884"/>
      <c r="BF204" s="1884"/>
      <c r="BG204" s="1884"/>
      <c r="BH204" s="1885"/>
      <c r="BI204" s="1893"/>
      <c r="BO204" s="154"/>
      <c r="BP204" s="1883"/>
      <c r="BQ204" s="1884"/>
      <c r="BR204" s="1884"/>
      <c r="BS204" s="1884"/>
      <c r="BT204" s="1884"/>
      <c r="BU204" s="1884"/>
      <c r="BV204" s="1884"/>
      <c r="BW204" s="1884"/>
      <c r="BX204" s="1884"/>
      <c r="BY204" s="1884"/>
      <c r="BZ204" s="1884"/>
      <c r="CA204" s="1885"/>
      <c r="CB204" s="1893"/>
      <c r="CI204" s="154"/>
      <c r="CJ204" s="1883"/>
      <c r="CK204" s="1884"/>
      <c r="CL204" s="1884"/>
      <c r="CM204" s="1884"/>
      <c r="CN204" s="1884"/>
      <c r="CO204" s="1884"/>
      <c r="CP204" s="1884"/>
      <c r="CQ204" s="1884"/>
      <c r="CR204" s="1884"/>
      <c r="CS204" s="1884"/>
      <c r="CT204" s="1884"/>
      <c r="CU204" s="1885"/>
      <c r="CV204" s="1893"/>
    </row>
    <row r="205" spans="10:100" ht="24" customHeight="1">
      <c r="J205" s="154"/>
      <c r="K205" s="1883"/>
      <c r="L205" s="1884"/>
      <c r="M205" s="1884"/>
      <c r="N205" s="1884"/>
      <c r="O205" s="1884"/>
      <c r="P205" s="1884"/>
      <c r="Q205" s="1884"/>
      <c r="R205" s="1884"/>
      <c r="S205" s="1884"/>
      <c r="T205" s="1884"/>
      <c r="U205" s="1884"/>
      <c r="V205" s="1885"/>
      <c r="W205" s="825"/>
      <c r="AC205" s="154"/>
      <c r="AD205" s="1883"/>
      <c r="AE205" s="1884"/>
      <c r="AF205" s="1884"/>
      <c r="AG205" s="1884"/>
      <c r="AH205" s="1884"/>
      <c r="AI205" s="1884"/>
      <c r="AJ205" s="1884"/>
      <c r="AK205" s="1884"/>
      <c r="AL205" s="1884"/>
      <c r="AM205" s="1884"/>
      <c r="AN205" s="1884"/>
      <c r="AO205" s="1885"/>
      <c r="AP205" s="825"/>
      <c r="AV205" s="154"/>
      <c r="AW205" s="1883"/>
      <c r="AX205" s="1884"/>
      <c r="AY205" s="1884"/>
      <c r="AZ205" s="1884"/>
      <c r="BA205" s="1884"/>
      <c r="BB205" s="1884"/>
      <c r="BC205" s="1884"/>
      <c r="BD205" s="1884"/>
      <c r="BE205" s="1884"/>
      <c r="BF205" s="1884"/>
      <c r="BG205" s="1884"/>
      <c r="BH205" s="1885"/>
      <c r="BI205" s="825"/>
      <c r="BO205" s="154"/>
      <c r="BP205" s="1883"/>
      <c r="BQ205" s="1884"/>
      <c r="BR205" s="1884"/>
      <c r="BS205" s="1884"/>
      <c r="BT205" s="1884"/>
      <c r="BU205" s="1884"/>
      <c r="BV205" s="1884"/>
      <c r="BW205" s="1884"/>
      <c r="BX205" s="1884"/>
      <c r="BY205" s="1884"/>
      <c r="BZ205" s="1884"/>
      <c r="CA205" s="1885"/>
      <c r="CB205" s="825"/>
      <c r="CI205" s="154"/>
      <c r="CJ205" s="1883"/>
      <c r="CK205" s="1884"/>
      <c r="CL205" s="1884"/>
      <c r="CM205" s="1884"/>
      <c r="CN205" s="1884"/>
      <c r="CO205" s="1884"/>
      <c r="CP205" s="1884"/>
      <c r="CQ205" s="1884"/>
      <c r="CR205" s="1884"/>
      <c r="CS205" s="1884"/>
      <c r="CT205" s="1884"/>
      <c r="CU205" s="1885"/>
      <c r="CV205" s="825"/>
    </row>
    <row r="206" spans="10:100" ht="24" customHeight="1">
      <c r="J206" s="154"/>
      <c r="K206" s="1886"/>
      <c r="L206" s="1887"/>
      <c r="M206" s="1887"/>
      <c r="N206" s="1887"/>
      <c r="O206" s="1887"/>
      <c r="P206" s="1887"/>
      <c r="Q206" s="1887"/>
      <c r="R206" s="1887"/>
      <c r="S206" s="1887"/>
      <c r="T206" s="1887"/>
      <c r="U206" s="1887"/>
      <c r="V206" s="1888"/>
      <c r="W206" s="826"/>
      <c r="AC206" s="154"/>
      <c r="AD206" s="1886"/>
      <c r="AE206" s="1887"/>
      <c r="AF206" s="1887"/>
      <c r="AG206" s="1887"/>
      <c r="AH206" s="1887"/>
      <c r="AI206" s="1887"/>
      <c r="AJ206" s="1887"/>
      <c r="AK206" s="1887"/>
      <c r="AL206" s="1887"/>
      <c r="AM206" s="1887"/>
      <c r="AN206" s="1887"/>
      <c r="AO206" s="1888"/>
      <c r="AP206" s="826"/>
      <c r="AV206" s="154"/>
      <c r="AW206" s="1886"/>
      <c r="AX206" s="1887"/>
      <c r="AY206" s="1887"/>
      <c r="AZ206" s="1887"/>
      <c r="BA206" s="1887"/>
      <c r="BB206" s="1887"/>
      <c r="BC206" s="1887"/>
      <c r="BD206" s="1887"/>
      <c r="BE206" s="1887"/>
      <c r="BF206" s="1887"/>
      <c r="BG206" s="1887"/>
      <c r="BH206" s="1888"/>
      <c r="BI206" s="826"/>
      <c r="BO206" s="154"/>
      <c r="BP206" s="1886"/>
      <c r="BQ206" s="1887"/>
      <c r="BR206" s="1887"/>
      <c r="BS206" s="1887"/>
      <c r="BT206" s="1887"/>
      <c r="BU206" s="1887"/>
      <c r="BV206" s="1887"/>
      <c r="BW206" s="1887"/>
      <c r="BX206" s="1887"/>
      <c r="BY206" s="1887"/>
      <c r="BZ206" s="1887"/>
      <c r="CA206" s="1888"/>
      <c r="CB206" s="826"/>
      <c r="CI206" s="154"/>
      <c r="CJ206" s="1886"/>
      <c r="CK206" s="1887"/>
      <c r="CL206" s="1887"/>
      <c r="CM206" s="1887"/>
      <c r="CN206" s="1887"/>
      <c r="CO206" s="1887"/>
      <c r="CP206" s="1887"/>
      <c r="CQ206" s="1887"/>
      <c r="CR206" s="1887"/>
      <c r="CS206" s="1887"/>
      <c r="CT206" s="1887"/>
      <c r="CU206" s="1888"/>
      <c r="CV206" s="826"/>
    </row>
    <row r="207" spans="10:100" ht="24" customHeight="1">
      <c r="J207" s="154"/>
      <c r="K207" s="1894"/>
      <c r="L207" s="1894"/>
      <c r="M207" s="1894"/>
      <c r="N207" s="1894"/>
      <c r="O207" s="1894"/>
      <c r="P207" s="1894"/>
      <c r="Q207" s="1894"/>
      <c r="R207" s="1894"/>
      <c r="S207" s="1894"/>
      <c r="T207" s="1894"/>
      <c r="U207" s="1894"/>
      <c r="V207" s="1894"/>
      <c r="W207" s="826"/>
      <c r="AC207" s="154"/>
      <c r="AD207" s="1894"/>
      <c r="AE207" s="1894"/>
      <c r="AF207" s="1894"/>
      <c r="AG207" s="1894"/>
      <c r="AH207" s="1894"/>
      <c r="AI207" s="1894"/>
      <c r="AJ207" s="1894"/>
      <c r="AK207" s="1894"/>
      <c r="AL207" s="1894"/>
      <c r="AM207" s="1894"/>
      <c r="AN207" s="1894"/>
      <c r="AO207" s="1894"/>
      <c r="AP207" s="826"/>
      <c r="AV207" s="154"/>
      <c r="AW207" s="1894"/>
      <c r="AX207" s="1894"/>
      <c r="AY207" s="1894"/>
      <c r="AZ207" s="1894"/>
      <c r="BA207" s="1894"/>
      <c r="BB207" s="1894"/>
      <c r="BC207" s="1894"/>
      <c r="BD207" s="1894"/>
      <c r="BE207" s="1894"/>
      <c r="BF207" s="1894"/>
      <c r="BG207" s="1894"/>
      <c r="BH207" s="1894"/>
      <c r="BI207" s="826"/>
      <c r="BO207" s="154"/>
      <c r="BP207" s="1894"/>
      <c r="BQ207" s="1894"/>
      <c r="BR207" s="1894"/>
      <c r="BS207" s="1894"/>
      <c r="BT207" s="1894"/>
      <c r="BU207" s="1894"/>
      <c r="BV207" s="1894"/>
      <c r="BW207" s="1894"/>
      <c r="BX207" s="1894"/>
      <c r="BY207" s="1894"/>
      <c r="BZ207" s="1894"/>
      <c r="CA207" s="1894"/>
      <c r="CB207" s="826"/>
      <c r="CI207" s="154"/>
      <c r="CJ207" s="1894"/>
      <c r="CK207" s="1894"/>
      <c r="CL207" s="1894"/>
      <c r="CM207" s="1894"/>
      <c r="CN207" s="1894"/>
      <c r="CO207" s="1894"/>
      <c r="CP207" s="1894"/>
      <c r="CQ207" s="1894"/>
      <c r="CR207" s="1894"/>
      <c r="CS207" s="1894"/>
      <c r="CT207" s="1894"/>
      <c r="CU207" s="1894"/>
      <c r="CV207" s="826"/>
    </row>
    <row r="208" spans="10:100" ht="24" customHeight="1" thickBot="1">
      <c r="J208" s="155"/>
      <c r="K208" s="1895"/>
      <c r="L208" s="1895"/>
      <c r="M208" s="1895"/>
      <c r="N208" s="1895"/>
      <c r="O208" s="1895"/>
      <c r="P208" s="1895"/>
      <c r="Q208" s="1895"/>
      <c r="R208" s="1895"/>
      <c r="S208" s="1895"/>
      <c r="T208" s="1895"/>
      <c r="U208" s="1895"/>
      <c r="V208" s="1895"/>
      <c r="W208" s="827"/>
      <c r="AC208" s="155"/>
      <c r="AD208" s="1895"/>
      <c r="AE208" s="1895"/>
      <c r="AF208" s="1895"/>
      <c r="AG208" s="1895"/>
      <c r="AH208" s="1895"/>
      <c r="AI208" s="1895"/>
      <c r="AJ208" s="1895"/>
      <c r="AK208" s="1895"/>
      <c r="AL208" s="1895"/>
      <c r="AM208" s="1895"/>
      <c r="AN208" s="1895"/>
      <c r="AO208" s="1895"/>
      <c r="AP208" s="827"/>
      <c r="AV208" s="155"/>
      <c r="AW208" s="1895"/>
      <c r="AX208" s="1895"/>
      <c r="AY208" s="1895"/>
      <c r="AZ208" s="1895"/>
      <c r="BA208" s="1895"/>
      <c r="BB208" s="1895"/>
      <c r="BC208" s="1895"/>
      <c r="BD208" s="1895"/>
      <c r="BE208" s="1895"/>
      <c r="BF208" s="1895"/>
      <c r="BG208" s="1895"/>
      <c r="BH208" s="1895"/>
      <c r="BI208" s="827"/>
      <c r="BO208" s="155"/>
      <c r="BP208" s="1895"/>
      <c r="BQ208" s="1895"/>
      <c r="BR208" s="1895"/>
      <c r="BS208" s="1895"/>
      <c r="BT208" s="1895"/>
      <c r="BU208" s="1895"/>
      <c r="BV208" s="1895"/>
      <c r="BW208" s="1895"/>
      <c r="BX208" s="1895"/>
      <c r="BY208" s="1895"/>
      <c r="BZ208" s="1895"/>
      <c r="CA208" s="1895"/>
      <c r="CB208" s="827"/>
      <c r="CI208" s="155"/>
      <c r="CJ208" s="1895"/>
      <c r="CK208" s="1895"/>
      <c r="CL208" s="1895"/>
      <c r="CM208" s="1895"/>
      <c r="CN208" s="1895"/>
      <c r="CO208" s="1895"/>
      <c r="CP208" s="1895"/>
      <c r="CQ208" s="1895"/>
      <c r="CR208" s="1895"/>
      <c r="CS208" s="1895"/>
      <c r="CT208" s="1895"/>
      <c r="CU208" s="1895"/>
      <c r="CV208" s="827"/>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X9" sqref="X9"/>
    </sheetView>
  </sheetViews>
  <sheetFormatPr defaultRowHeight="48" customHeight="1"/>
  <cols>
    <col min="1" max="1" width="9.140625" customWidth="1"/>
  </cols>
  <sheetData>
    <row r="6" spans="4:28" ht="48" customHeight="1">
      <c r="D6" s="1910" t="s">
        <v>1131</v>
      </c>
      <c r="E6" s="1910"/>
      <c r="F6" s="1910"/>
      <c r="G6" s="248">
        <v>1</v>
      </c>
      <c r="K6" s="229"/>
      <c r="L6" s="229"/>
      <c r="M6" s="229"/>
      <c r="N6" s="229"/>
      <c r="O6" s="229"/>
      <c r="P6" s="229"/>
      <c r="Q6" s="229"/>
      <c r="R6" s="229"/>
      <c r="S6" s="229"/>
      <c r="T6" s="229"/>
      <c r="U6" s="229">
        <f>S12</f>
        <v>5</v>
      </c>
      <c r="V6" s="229"/>
      <c r="W6" s="229"/>
      <c r="X6" s="229"/>
      <c r="Y6" s="229"/>
      <c r="Z6" s="229"/>
      <c r="AA6" s="229"/>
      <c r="AB6" s="229"/>
    </row>
    <row r="7" spans="4:28" ht="48" customHeight="1">
      <c r="D7" s="1910"/>
      <c r="E7" s="1910"/>
      <c r="F7" s="1910"/>
      <c r="G7" s="248">
        <v>3</v>
      </c>
      <c r="K7" s="229"/>
      <c r="L7" s="229"/>
      <c r="M7" s="229"/>
      <c r="N7" s="229"/>
      <c r="O7" s="229"/>
      <c r="P7" s="229"/>
      <c r="Q7" s="229"/>
      <c r="R7" s="229"/>
      <c r="S7" s="229"/>
      <c r="T7" s="229"/>
      <c r="U7" s="229"/>
      <c r="V7" s="229"/>
      <c r="W7" s="229"/>
      <c r="X7" s="229"/>
      <c r="Y7" s="229"/>
      <c r="Z7" s="229"/>
      <c r="AA7" s="229"/>
      <c r="AB7" s="229"/>
    </row>
    <row r="8" spans="4:28" ht="48" customHeight="1">
      <c r="D8" s="1910"/>
      <c r="E8" s="1910"/>
      <c r="F8" s="1910"/>
      <c r="G8" s="248">
        <v>2</v>
      </c>
      <c r="N8" s="229"/>
      <c r="O8" s="229"/>
      <c r="P8" s="229"/>
      <c r="Q8" s="229"/>
      <c r="R8" s="229"/>
      <c r="S8" s="229"/>
      <c r="T8" s="229">
        <f>S12</f>
        <v>5</v>
      </c>
      <c r="U8" s="229">
        <f>S12</f>
        <v>5</v>
      </c>
      <c r="V8" s="229"/>
      <c r="W8" s="229"/>
      <c r="X8" s="229"/>
      <c r="Y8" s="229"/>
      <c r="Z8" s="229"/>
      <c r="AA8" s="229"/>
      <c r="AB8" s="229"/>
    </row>
    <row r="9" spans="4:28" ht="48" customHeight="1">
      <c r="E9" s="229"/>
      <c r="F9" s="229"/>
      <c r="G9" s="229"/>
      <c r="N9" s="229"/>
      <c r="O9" s="229"/>
      <c r="P9" s="229"/>
      <c r="Q9" s="1"/>
      <c r="R9" s="229"/>
      <c r="S9" s="229"/>
      <c r="T9" s="229"/>
      <c r="U9" s="229"/>
      <c r="V9" s="229"/>
      <c r="W9" s="229">
        <f>S12</f>
        <v>5</v>
      </c>
      <c r="X9" s="229"/>
      <c r="Y9" s="229"/>
      <c r="Z9" s="229"/>
      <c r="AA9" s="229">
        <f>W9*G8</f>
        <v>10</v>
      </c>
      <c r="AB9" s="229"/>
    </row>
    <row r="10" spans="4:28" ht="48" customHeight="1">
      <c r="L10" s="1911" t="s">
        <v>1132</v>
      </c>
      <c r="M10" s="1912"/>
      <c r="N10" s="1912"/>
      <c r="O10" s="1912"/>
      <c r="P10" s="1913"/>
      <c r="Q10" s="229">
        <f>G7+G8</f>
        <v>5</v>
      </c>
      <c r="R10" s="229"/>
      <c r="S10" s="229"/>
      <c r="T10" s="229"/>
      <c r="U10" s="229"/>
      <c r="V10" s="229"/>
      <c r="W10" s="229">
        <f>$S$12</f>
        <v>5</v>
      </c>
      <c r="X10" s="229"/>
      <c r="Y10" s="229"/>
      <c r="Z10" s="229"/>
      <c r="AA10" s="229">
        <f>$W$10*G8</f>
        <v>10</v>
      </c>
      <c r="AB10" s="229"/>
    </row>
    <row r="11" spans="4:28" ht="48" customHeight="1">
      <c r="N11" s="229"/>
      <c r="O11" s="229"/>
      <c r="P11" s="229"/>
      <c r="Q11" s="1"/>
      <c r="R11" s="229"/>
      <c r="S11" s="229"/>
      <c r="T11" s="229"/>
      <c r="U11" s="229"/>
      <c r="V11" s="229"/>
      <c r="W11" s="229"/>
      <c r="X11" s="229"/>
      <c r="Y11" s="229"/>
      <c r="Z11" s="229"/>
      <c r="AA11" s="229"/>
      <c r="AB11" s="229"/>
    </row>
    <row r="12" spans="4:28" ht="48" customHeight="1">
      <c r="K12" s="229"/>
      <c r="L12" s="229"/>
      <c r="M12" s="229"/>
      <c r="N12" s="229"/>
      <c r="O12" s="1"/>
      <c r="P12" s="229"/>
      <c r="Q12" s="229"/>
      <c r="R12" s="237" t="s">
        <v>752</v>
      </c>
      <c r="S12" s="229">
        <f>Q10</f>
        <v>5</v>
      </c>
      <c r="U12" s="1909" t="s">
        <v>1130</v>
      </c>
      <c r="V12" s="1909"/>
      <c r="W12" s="1909"/>
      <c r="X12" s="1909"/>
      <c r="Y12" s="1909"/>
      <c r="Z12" s="229"/>
      <c r="AA12" s="229"/>
      <c r="AB12" s="229"/>
    </row>
    <row r="13" spans="4:28" ht="48" customHeight="1">
      <c r="K13" s="229"/>
      <c r="L13" s="229"/>
      <c r="M13" s="229"/>
      <c r="N13" s="229"/>
      <c r="O13" s="229"/>
      <c r="P13" s="229"/>
      <c r="Q13" s="229"/>
      <c r="R13" s="229"/>
      <c r="S13" s="1"/>
      <c r="U13" s="1909"/>
      <c r="V13" s="1909"/>
      <c r="W13" s="1909"/>
      <c r="X13" s="1909"/>
      <c r="Y13" s="1909"/>
      <c r="Z13" s="229"/>
      <c r="AA13" s="229"/>
      <c r="AB13" s="229"/>
    </row>
    <row r="14" spans="4:28" ht="48" customHeight="1">
      <c r="K14" s="229"/>
      <c r="L14" s="229"/>
      <c r="M14" s="229"/>
      <c r="N14" s="229"/>
      <c r="O14" s="229"/>
      <c r="P14" s="229"/>
      <c r="Q14" s="229">
        <f>Q10+6</f>
        <v>11</v>
      </c>
      <c r="R14" s="229"/>
      <c r="S14" s="229"/>
      <c r="T14" s="229"/>
      <c r="U14" s="229"/>
      <c r="V14" s="229"/>
      <c r="W14" s="229"/>
      <c r="X14" s="229"/>
      <c r="Y14" s="229"/>
      <c r="Z14" s="229"/>
      <c r="AA14" s="229"/>
      <c r="AB14" s="229"/>
    </row>
    <row r="15" spans="4:28" ht="48" customHeight="1">
      <c r="U15" s="1909" t="s">
        <v>1133</v>
      </c>
      <c r="V15" s="1909"/>
      <c r="W15" s="1909"/>
      <c r="X15" s="1909"/>
      <c r="Y15" s="1909"/>
    </row>
    <row r="16" spans="4:28" ht="48" customHeight="1">
      <c r="U16" s="1909"/>
      <c r="V16" s="1909"/>
      <c r="W16" s="1909"/>
      <c r="X16" s="1909"/>
      <c r="Y16" s="1909"/>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10" zoomScaleNormal="10" workbookViewId="0">
      <selection activeCell="IU127" sqref="IU127"/>
    </sheetView>
  </sheetViews>
  <sheetFormatPr defaultColWidth="4.5703125" defaultRowHeight="24" customHeight="1"/>
  <cols>
    <col min="1" max="16384" width="4.5703125" style="433"/>
  </cols>
  <sheetData>
    <row r="1" spans="1:100" ht="24" customHeight="1">
      <c r="A1" s="2003" t="s">
        <v>1230</v>
      </c>
      <c r="B1" s="2004"/>
      <c r="C1" s="2004"/>
      <c r="D1" s="2004"/>
      <c r="E1" s="2004"/>
      <c r="F1" s="2004"/>
      <c r="G1" s="2004"/>
      <c r="H1" s="2004"/>
      <c r="I1" s="2004"/>
      <c r="J1" s="2004"/>
      <c r="K1" s="2004"/>
      <c r="L1" s="2004"/>
      <c r="M1" s="2004"/>
      <c r="N1" s="2004"/>
      <c r="O1" s="2004"/>
      <c r="P1" s="2004"/>
      <c r="Q1" s="2004"/>
      <c r="R1" s="2004"/>
      <c r="S1" s="2004"/>
      <c r="T1" s="2004"/>
      <c r="U1" s="2004"/>
      <c r="V1" s="2004"/>
      <c r="W1" s="2004"/>
      <c r="X1" s="2004"/>
      <c r="Y1" s="2004"/>
      <c r="Z1" s="2004"/>
      <c r="AA1" s="2004"/>
      <c r="AB1" s="2004"/>
      <c r="AC1" s="2004"/>
      <c r="AD1" s="2004"/>
      <c r="AE1" s="2005"/>
      <c r="AF1" s="2020" t="s">
        <v>1230</v>
      </c>
      <c r="AG1" s="2021"/>
      <c r="AH1" s="2021"/>
      <c r="AI1" s="2021"/>
      <c r="AJ1" s="2021"/>
      <c r="AK1" s="2021"/>
      <c r="AL1" s="2021"/>
      <c r="AM1" s="2021"/>
      <c r="AN1" s="2021"/>
      <c r="AO1" s="2021"/>
      <c r="AP1" s="2021"/>
      <c r="AQ1" s="2021"/>
      <c r="AR1" s="2021"/>
      <c r="AS1" s="2021"/>
      <c r="AT1" s="2021"/>
      <c r="AU1" s="2021"/>
      <c r="AV1" s="2021"/>
      <c r="AW1" s="2021"/>
      <c r="AX1" s="2021"/>
      <c r="AY1" s="2021"/>
      <c r="AZ1" s="2021"/>
      <c r="BA1" s="2021"/>
      <c r="BB1" s="2021"/>
      <c r="BC1" s="2021"/>
      <c r="BD1" s="2021"/>
      <c r="BE1" s="2021"/>
      <c r="BF1" s="2021"/>
      <c r="BG1" s="2021"/>
      <c r="BH1" s="2021"/>
      <c r="BI1" s="2021"/>
      <c r="BJ1" s="2021"/>
    </row>
    <row r="2" spans="1:100" ht="24" customHeight="1">
      <c r="A2" s="1962" t="s">
        <v>0</v>
      </c>
      <c r="B2" s="1963"/>
      <c r="C2" s="1964"/>
      <c r="D2" s="1919"/>
      <c r="E2" s="1922" t="s">
        <v>1495</v>
      </c>
      <c r="F2" s="1923"/>
      <c r="G2" s="606"/>
      <c r="H2" s="609"/>
      <c r="I2" s="610"/>
      <c r="J2" s="610"/>
      <c r="K2" s="610"/>
      <c r="L2" s="610"/>
      <c r="M2" s="610"/>
      <c r="N2" s="610"/>
      <c r="O2" s="610"/>
      <c r="P2" s="610"/>
      <c r="Q2" s="610"/>
      <c r="R2" s="610"/>
      <c r="S2" s="610"/>
      <c r="T2" s="610"/>
      <c r="U2" s="610"/>
      <c r="V2" s="611"/>
      <c r="W2" s="606"/>
      <c r="X2" s="1924" t="s">
        <v>126</v>
      </c>
      <c r="Y2" s="1925"/>
      <c r="Z2" s="1953" t="s">
        <v>731</v>
      </c>
      <c r="AA2" s="1956"/>
      <c r="AB2" s="1987" t="s">
        <v>473</v>
      </c>
      <c r="AC2" s="1988"/>
      <c r="AD2" s="1988"/>
      <c r="AE2" s="1989"/>
      <c r="CK2" s="1952" t="s">
        <v>731</v>
      </c>
      <c r="CL2" s="1952"/>
    </row>
    <row r="3" spans="1:100" ht="24" customHeight="1">
      <c r="A3" s="1965"/>
      <c r="B3" s="1966"/>
      <c r="C3" s="1967"/>
      <c r="D3" s="1920"/>
      <c r="E3" s="2012" t="str">
        <f>'Вывод расчетов'!AK4</f>
        <v>Номинальная мощность</v>
      </c>
      <c r="F3" s="2013"/>
      <c r="G3" s="2013"/>
      <c r="H3" s="2013"/>
      <c r="I3" s="2013"/>
      <c r="J3" s="2013"/>
      <c r="K3" s="2013"/>
      <c r="L3" s="2013"/>
      <c r="M3" s="2013"/>
      <c r="N3" s="2013"/>
      <c r="O3" s="2013"/>
      <c r="P3" s="2013"/>
      <c r="Q3" s="2013"/>
      <c r="R3" s="2013"/>
      <c r="S3" s="2013"/>
      <c r="T3" s="2013"/>
      <c r="U3" s="2013"/>
      <c r="V3" s="2013"/>
      <c r="W3" s="2014"/>
      <c r="X3" s="1971">
        <f>'Вывод расчетов'!AQ4</f>
        <v>30000</v>
      </c>
      <c r="Y3" s="1972"/>
      <c r="Z3" s="1975" t="str">
        <f>'Вывод расчетов'!AS4</f>
        <v>Вт</v>
      </c>
      <c r="AA3" s="1976"/>
      <c r="AB3" s="1934"/>
      <c r="AC3" s="1993" t="s">
        <v>1494</v>
      </c>
      <c r="AD3" s="1490"/>
      <c r="AE3" s="1934"/>
      <c r="CK3" s="1952" t="s">
        <v>731</v>
      </c>
      <c r="CL3" s="1952"/>
    </row>
    <row r="4" spans="1:100" ht="24" customHeight="1">
      <c r="A4" s="1968"/>
      <c r="B4" s="1969"/>
      <c r="C4" s="1970"/>
      <c r="D4" s="1921"/>
      <c r="E4" s="2015"/>
      <c r="F4" s="2016"/>
      <c r="G4" s="2016"/>
      <c r="H4" s="2016"/>
      <c r="I4" s="2016"/>
      <c r="J4" s="2016"/>
      <c r="K4" s="2016"/>
      <c r="L4" s="2016"/>
      <c r="M4" s="2016"/>
      <c r="N4" s="2016"/>
      <c r="O4" s="2016"/>
      <c r="P4" s="2016"/>
      <c r="Q4" s="2016"/>
      <c r="R4" s="2016"/>
      <c r="S4" s="2016"/>
      <c r="T4" s="2016"/>
      <c r="U4" s="2016"/>
      <c r="V4" s="2016"/>
      <c r="W4" s="2017"/>
      <c r="X4" s="1973"/>
      <c r="Y4" s="1974"/>
      <c r="Z4" s="1977"/>
      <c r="AA4" s="1978"/>
      <c r="AB4" s="1982"/>
      <c r="AC4" s="1994"/>
      <c r="AD4" s="1995"/>
      <c r="AE4" s="1982"/>
      <c r="CP4" s="1952" t="s">
        <v>731</v>
      </c>
      <c r="CQ4" s="1952"/>
      <c r="CR4" s="624"/>
      <c r="CS4" s="624"/>
      <c r="CT4" s="624"/>
    </row>
    <row r="5" spans="1:100" ht="24" customHeight="1">
      <c r="A5" s="1962" t="s">
        <v>0</v>
      </c>
      <c r="B5" s="1963"/>
      <c r="C5" s="1964"/>
      <c r="D5" s="1919"/>
      <c r="E5" s="1922" t="s">
        <v>1496</v>
      </c>
      <c r="F5" s="1923"/>
      <c r="G5" s="606"/>
      <c r="H5" s="609"/>
      <c r="I5" s="610"/>
      <c r="J5" s="610"/>
      <c r="K5" s="610"/>
      <c r="L5" s="610"/>
      <c r="M5" s="610"/>
      <c r="N5" s="610"/>
      <c r="O5" s="610"/>
      <c r="P5" s="610"/>
      <c r="Q5" s="610"/>
      <c r="R5" s="610"/>
      <c r="S5" s="610"/>
      <c r="T5" s="610"/>
      <c r="U5" s="610"/>
      <c r="V5" s="611"/>
      <c r="W5" s="606"/>
      <c r="X5" s="1924" t="s">
        <v>126</v>
      </c>
      <c r="Y5" s="1925"/>
      <c r="Z5" s="1953" t="s">
        <v>731</v>
      </c>
      <c r="AA5" s="1956"/>
      <c r="AB5" s="1987" t="s">
        <v>473</v>
      </c>
      <c r="AC5" s="1988"/>
      <c r="AD5" s="1988"/>
      <c r="AE5" s="1989"/>
    </row>
    <row r="6" spans="1:100" ht="24" customHeight="1">
      <c r="A6" s="1965"/>
      <c r="B6" s="1966"/>
      <c r="C6" s="1967"/>
      <c r="D6" s="1920"/>
      <c r="E6" s="2012" t="str">
        <f>'Вывод расчетов'!AK5</f>
        <v>Частота вращения</v>
      </c>
      <c r="F6" s="2013"/>
      <c r="G6" s="2013"/>
      <c r="H6" s="2013"/>
      <c r="I6" s="2013"/>
      <c r="J6" s="2013"/>
      <c r="K6" s="2013"/>
      <c r="L6" s="2013"/>
      <c r="M6" s="2013"/>
      <c r="N6" s="2013"/>
      <c r="O6" s="2013"/>
      <c r="P6" s="2013"/>
      <c r="Q6" s="2013"/>
      <c r="R6" s="2013"/>
      <c r="S6" s="2013"/>
      <c r="T6" s="2013"/>
      <c r="U6" s="2013"/>
      <c r="V6" s="2013"/>
      <c r="W6" s="2014"/>
      <c r="X6" s="1971">
        <f>'Вывод расчетов'!AQ5</f>
        <v>3000</v>
      </c>
      <c r="Y6" s="1972"/>
      <c r="Z6" s="1975" t="str">
        <f>'Вывод расчетов'!AS5</f>
        <v>об/мин</v>
      </c>
      <c r="AA6" s="1976"/>
      <c r="AB6" s="1934"/>
      <c r="AC6" s="1993" t="s">
        <v>1493</v>
      </c>
      <c r="AD6" s="1490"/>
      <c r="AE6" s="1934"/>
      <c r="CV6" s="620"/>
    </row>
    <row r="7" spans="1:100" ht="24" customHeight="1">
      <c r="A7" s="1968"/>
      <c r="B7" s="1969"/>
      <c r="C7" s="1970"/>
      <c r="D7" s="1921"/>
      <c r="E7" s="2015"/>
      <c r="F7" s="2016"/>
      <c r="G7" s="2016"/>
      <c r="H7" s="2016"/>
      <c r="I7" s="2016"/>
      <c r="J7" s="2016"/>
      <c r="K7" s="2016"/>
      <c r="L7" s="2016"/>
      <c r="M7" s="2016"/>
      <c r="N7" s="2016"/>
      <c r="O7" s="2016"/>
      <c r="P7" s="2016"/>
      <c r="Q7" s="2016"/>
      <c r="R7" s="2016"/>
      <c r="S7" s="2016"/>
      <c r="T7" s="2016"/>
      <c r="U7" s="2016"/>
      <c r="V7" s="2016"/>
      <c r="W7" s="2017"/>
      <c r="X7" s="1973"/>
      <c r="Y7" s="1974"/>
      <c r="Z7" s="1977"/>
      <c r="AA7" s="1978"/>
      <c r="AB7" s="1982"/>
      <c r="AC7" s="1994"/>
      <c r="AD7" s="1995"/>
      <c r="AE7" s="1982"/>
      <c r="CV7" s="621"/>
    </row>
    <row r="8" spans="1:100" ht="24" customHeight="1">
      <c r="A8" s="1962" t="s">
        <v>0</v>
      </c>
      <c r="B8" s="1963"/>
      <c r="C8" s="1964"/>
      <c r="D8" s="1919"/>
      <c r="E8" s="1922" t="s">
        <v>1497</v>
      </c>
      <c r="F8" s="1923"/>
      <c r="G8" s="606"/>
      <c r="H8" s="609"/>
      <c r="I8" s="610"/>
      <c r="J8" s="610"/>
      <c r="K8" s="610"/>
      <c r="L8" s="610"/>
      <c r="M8" s="610"/>
      <c r="N8" s="610"/>
      <c r="O8" s="610"/>
      <c r="P8" s="610"/>
      <c r="Q8" s="610"/>
      <c r="R8" s="610"/>
      <c r="S8" s="610"/>
      <c r="T8" s="610"/>
      <c r="U8" s="610"/>
      <c r="V8" s="611"/>
      <c r="W8" s="606"/>
      <c r="X8" s="1924" t="s">
        <v>126</v>
      </c>
      <c r="Y8" s="1925"/>
      <c r="Z8" s="1953" t="s">
        <v>731</v>
      </c>
      <c r="AA8" s="1956"/>
      <c r="AB8" s="1987" t="s">
        <v>473</v>
      </c>
      <c r="AC8" s="1988"/>
      <c r="AD8" s="1988"/>
      <c r="AE8" s="1989"/>
      <c r="CV8" s="622"/>
    </row>
    <row r="9" spans="1:100" ht="24" customHeight="1">
      <c r="A9" s="1965"/>
      <c r="B9" s="1966"/>
      <c r="C9" s="1967"/>
      <c r="D9" s="1920"/>
      <c r="E9" s="2012" t="s">
        <v>2</v>
      </c>
      <c r="F9" s="2013"/>
      <c r="G9" s="2013"/>
      <c r="H9" s="2013"/>
      <c r="I9" s="2013"/>
      <c r="J9" s="2013"/>
      <c r="K9" s="2013"/>
      <c r="L9" s="2013"/>
      <c r="M9" s="2013"/>
      <c r="N9" s="2013"/>
      <c r="O9" s="2013"/>
      <c r="P9" s="2013"/>
      <c r="Q9" s="2013"/>
      <c r="R9" s="2013"/>
      <c r="S9" s="2013"/>
      <c r="T9" s="2013"/>
      <c r="U9" s="2013"/>
      <c r="V9" s="2013"/>
      <c r="W9" s="2014"/>
      <c r="X9" s="1971">
        <f>'Вывод расчетов'!AQ6</f>
        <v>380</v>
      </c>
      <c r="Y9" s="1972"/>
      <c r="Z9" s="1975" t="s">
        <v>737</v>
      </c>
      <c r="AA9" s="1976"/>
      <c r="AB9" s="1934"/>
      <c r="AC9" s="1993" t="s">
        <v>1494</v>
      </c>
      <c r="AD9" s="1490"/>
      <c r="AE9" s="1934"/>
      <c r="CM9" s="1952" t="s">
        <v>731</v>
      </c>
      <c r="CN9" s="1952"/>
    </row>
    <row r="10" spans="1:100" ht="24" customHeight="1" thickBot="1">
      <c r="A10" s="1968"/>
      <c r="B10" s="1969"/>
      <c r="C10" s="1970"/>
      <c r="D10" s="1921"/>
      <c r="E10" s="2015"/>
      <c r="F10" s="2016"/>
      <c r="G10" s="2016"/>
      <c r="H10" s="2016"/>
      <c r="I10" s="2016"/>
      <c r="J10" s="2016"/>
      <c r="K10" s="2016"/>
      <c r="L10" s="2016"/>
      <c r="M10" s="2016"/>
      <c r="N10" s="2016"/>
      <c r="O10" s="2016"/>
      <c r="P10" s="2016"/>
      <c r="Q10" s="2016"/>
      <c r="R10" s="2016"/>
      <c r="S10" s="2016"/>
      <c r="T10" s="2016"/>
      <c r="U10" s="2016"/>
      <c r="V10" s="2016"/>
      <c r="W10" s="2017"/>
      <c r="X10" s="1973"/>
      <c r="Y10" s="1974"/>
      <c r="Z10" s="1977"/>
      <c r="AA10" s="1978"/>
      <c r="AB10" s="1982"/>
      <c r="AC10" s="1994"/>
      <c r="AD10" s="1995"/>
      <c r="AE10" s="1982"/>
      <c r="AF10" s="623" t="s">
        <v>1237</v>
      </c>
      <c r="AG10" s="1922" t="s">
        <v>442</v>
      </c>
      <c r="AH10" s="2038"/>
      <c r="AI10" s="432"/>
      <c r="AJ10" s="434"/>
      <c r="AK10" s="434"/>
      <c r="AL10" s="442"/>
      <c r="AM10" s="442"/>
      <c r="AN10" s="442"/>
      <c r="AO10" s="442"/>
      <c r="AP10" s="442"/>
      <c r="AQ10" s="443"/>
      <c r="AR10" s="2034" t="s">
        <v>126</v>
      </c>
      <c r="AS10" s="2035"/>
      <c r="AT10" s="2039" t="s">
        <v>731</v>
      </c>
      <c r="AU10" s="2040"/>
      <c r="AV10" s="2036" t="s">
        <v>462</v>
      </c>
      <c r="AW10" s="2036"/>
      <c r="AX10" s="2036"/>
      <c r="AY10" s="2036"/>
      <c r="AZ10" s="2036"/>
      <c r="BA10" s="2036"/>
      <c r="BB10" s="2036"/>
      <c r="BC10" s="2036"/>
      <c r="BD10" s="2037"/>
    </row>
    <row r="11" spans="1:100" ht="24" customHeight="1">
      <c r="A11" s="1962" t="s">
        <v>0</v>
      </c>
      <c r="B11" s="1963"/>
      <c r="C11" s="1964"/>
      <c r="D11" s="1919"/>
      <c r="E11" s="1922" t="s">
        <v>1498</v>
      </c>
      <c r="F11" s="1923"/>
      <c r="G11" s="606"/>
      <c r="H11" s="122"/>
      <c r="I11" s="87"/>
      <c r="J11" s="87"/>
      <c r="K11" s="87"/>
      <c r="L11" s="87"/>
      <c r="M11" s="87"/>
      <c r="N11" s="87"/>
      <c r="O11" s="595"/>
      <c r="P11" s="1924" t="s">
        <v>126</v>
      </c>
      <c r="Q11" s="1925"/>
      <c r="R11" s="1919"/>
      <c r="S11" s="1922" t="s">
        <v>1498</v>
      </c>
      <c r="T11" s="1923"/>
      <c r="U11" s="606"/>
      <c r="V11" s="609"/>
      <c r="W11" s="610"/>
      <c r="X11" s="610"/>
      <c r="Y11" s="610"/>
      <c r="Z11" s="610"/>
      <c r="AA11" s="610"/>
      <c r="AB11" s="610"/>
      <c r="AC11" s="611"/>
      <c r="AD11" s="1924" t="s">
        <v>126</v>
      </c>
      <c r="AE11" s="1925"/>
      <c r="AF11" s="1983"/>
      <c r="AG11" s="1940" t="s">
        <v>1490</v>
      </c>
      <c r="AH11" s="1940"/>
      <c r="AI11" s="1941">
        <f>$IM$88</f>
        <v>0</v>
      </c>
      <c r="AJ11" s="1941"/>
      <c r="AK11" s="1952" t="s">
        <v>731</v>
      </c>
      <c r="AL11" s="1953"/>
      <c r="AM11" s="1949" t="s">
        <v>1231</v>
      </c>
      <c r="AN11" s="1949"/>
      <c r="AO11" s="1949"/>
      <c r="AP11" s="1949"/>
      <c r="AQ11" s="1950"/>
      <c r="AR11" s="1942">
        <f>'Вывод расчетов'!GT90</f>
        <v>4.293824372341704</v>
      </c>
      <c r="AS11" s="1943"/>
      <c r="AT11" s="1930" t="s">
        <v>50</v>
      </c>
      <c r="AU11" s="1931"/>
      <c r="AV11" s="1957"/>
      <c r="AW11" s="1957"/>
      <c r="AX11" s="1957"/>
      <c r="AY11" s="1957"/>
      <c r="AZ11" s="1957"/>
      <c r="BA11" s="1957"/>
      <c r="BB11" s="1957"/>
      <c r="BC11" s="1957"/>
      <c r="BD11" s="1958"/>
      <c r="BI11" s="612"/>
      <c r="BJ11" s="615"/>
      <c r="BK11" s="616"/>
      <c r="BL11" s="616"/>
      <c r="BM11" s="616"/>
      <c r="BN11" s="616"/>
      <c r="BO11" s="616"/>
      <c r="BP11" s="616"/>
      <c r="BQ11" s="616"/>
      <c r="BR11" s="616"/>
      <c r="BS11" s="616"/>
      <c r="BT11" s="616"/>
      <c r="BU11" s="616"/>
      <c r="BV11" s="616"/>
      <c r="BW11" s="616"/>
      <c r="BX11" s="616"/>
      <c r="BY11" s="616"/>
      <c r="BZ11" s="616"/>
      <c r="CA11" s="616"/>
      <c r="CB11" s="616"/>
      <c r="CC11" s="616"/>
      <c r="CD11" s="616"/>
      <c r="CE11" s="616"/>
      <c r="CF11" s="616"/>
      <c r="CG11" s="616"/>
    </row>
    <row r="12" spans="1:100" ht="24" customHeight="1" thickBot="1">
      <c r="A12" s="1965"/>
      <c r="B12" s="1966"/>
      <c r="C12" s="1967"/>
      <c r="D12" s="1920"/>
      <c r="E12" s="2006" t="str">
        <f>'Вывод расчетов'!D47</f>
        <v>Тип конструктивного исполнения корпуса асинхронного двигателя</v>
      </c>
      <c r="F12" s="2007"/>
      <c r="G12" s="2007"/>
      <c r="H12" s="2007"/>
      <c r="I12" s="2007"/>
      <c r="J12" s="2007"/>
      <c r="K12" s="2007"/>
      <c r="L12" s="2007"/>
      <c r="M12" s="2007"/>
      <c r="N12" s="2007"/>
      <c r="O12" s="2008"/>
      <c r="P12" s="1926" t="str">
        <f>'Вывод расчетов'!Q47</f>
        <v>IP44</v>
      </c>
      <c r="Q12" s="1927"/>
      <c r="R12" s="1920"/>
      <c r="S12" s="2006" t="str">
        <f>'Вывод расчетов'!D53</f>
        <v>Класс нагевостойкости пазовой изоляции и изоляции обмоток</v>
      </c>
      <c r="T12" s="2007"/>
      <c r="U12" s="2007"/>
      <c r="V12" s="2007"/>
      <c r="W12" s="2007"/>
      <c r="X12" s="2007"/>
      <c r="Y12" s="2007"/>
      <c r="Z12" s="2007"/>
      <c r="AA12" s="2007"/>
      <c r="AB12" s="2007"/>
      <c r="AC12" s="2008"/>
      <c r="AD12" s="1926" t="str">
        <f>'Вывод расчетов'!Q53</f>
        <v>F</v>
      </c>
      <c r="AE12" s="1927"/>
      <c r="AF12" s="1984"/>
      <c r="AG12" s="1936" t="s">
        <v>1488</v>
      </c>
      <c r="AH12" s="1936"/>
      <c r="AI12" s="1937">
        <f>$HB$24</f>
        <v>0</v>
      </c>
      <c r="AJ12" s="1937"/>
      <c r="AK12" s="1952" t="s">
        <v>731</v>
      </c>
      <c r="AL12" s="1953"/>
      <c r="AM12" s="1949"/>
      <c r="AN12" s="1949"/>
      <c r="AO12" s="1949"/>
      <c r="AP12" s="1949"/>
      <c r="AQ12" s="1950"/>
      <c r="AR12" s="1944"/>
      <c r="AS12" s="1945"/>
      <c r="AT12" s="1932"/>
      <c r="AU12" s="1933"/>
      <c r="AV12" s="1957"/>
      <c r="AW12" s="1957"/>
      <c r="AX12" s="1957"/>
      <c r="AY12" s="1957"/>
      <c r="AZ12" s="1957"/>
      <c r="BA12" s="1957"/>
      <c r="BB12" s="1957"/>
      <c r="BC12" s="1957"/>
      <c r="BD12" s="1958"/>
      <c r="BI12" s="613"/>
    </row>
    <row r="13" spans="1:100" ht="24" customHeight="1">
      <c r="A13" s="1968"/>
      <c r="B13" s="1969"/>
      <c r="C13" s="1970"/>
      <c r="D13" s="1921"/>
      <c r="E13" s="2009"/>
      <c r="F13" s="2010"/>
      <c r="G13" s="2010"/>
      <c r="H13" s="2010"/>
      <c r="I13" s="2010"/>
      <c r="J13" s="2010"/>
      <c r="K13" s="2010"/>
      <c r="L13" s="2010"/>
      <c r="M13" s="2010"/>
      <c r="N13" s="2010"/>
      <c r="O13" s="2011"/>
      <c r="P13" s="1928"/>
      <c r="Q13" s="1929"/>
      <c r="R13" s="1921"/>
      <c r="S13" s="2009"/>
      <c r="T13" s="2010"/>
      <c r="U13" s="2010"/>
      <c r="V13" s="2010"/>
      <c r="W13" s="2010"/>
      <c r="X13" s="2010"/>
      <c r="Y13" s="2010"/>
      <c r="Z13" s="2010"/>
      <c r="AA13" s="2010"/>
      <c r="AB13" s="2010"/>
      <c r="AC13" s="2011"/>
      <c r="AD13" s="1928"/>
      <c r="AE13" s="1929"/>
      <c r="AF13" s="1984"/>
      <c r="AG13" s="1938" t="s">
        <v>1491</v>
      </c>
      <c r="AH13" s="1938"/>
      <c r="AI13" s="1939">
        <f>$GY$60</f>
        <v>0</v>
      </c>
      <c r="AJ13" s="1939"/>
      <c r="AK13" s="1954" t="s">
        <v>731</v>
      </c>
      <c r="AL13" s="1955"/>
      <c r="AM13" s="1949"/>
      <c r="AN13" s="1949"/>
      <c r="AO13" s="1949"/>
      <c r="AP13" s="1949"/>
      <c r="AQ13" s="1949"/>
      <c r="AR13" s="1946" t="s">
        <v>473</v>
      </c>
      <c r="AS13" s="1947"/>
      <c r="AT13" s="1947"/>
      <c r="AU13" s="1948"/>
      <c r="AV13" s="1957"/>
      <c r="AW13" s="1957"/>
      <c r="AX13" s="1957"/>
      <c r="AY13" s="1957"/>
      <c r="AZ13" s="1957"/>
      <c r="BA13" s="1957"/>
      <c r="BB13" s="1957"/>
      <c r="BC13" s="1957"/>
      <c r="BD13" s="1958"/>
    </row>
    <row r="14" spans="1:100" ht="24" customHeight="1">
      <c r="A14" s="1919"/>
      <c r="B14" s="1922" t="s">
        <v>1500</v>
      </c>
      <c r="C14" s="1923"/>
      <c r="D14" s="606"/>
      <c r="E14" s="609"/>
      <c r="F14" s="610"/>
      <c r="G14" s="610"/>
      <c r="H14" s="610"/>
      <c r="I14" s="610"/>
      <c r="J14" s="610"/>
      <c r="K14" s="610"/>
      <c r="L14" s="610"/>
      <c r="M14" s="610"/>
      <c r="N14" s="610"/>
      <c r="O14" s="610"/>
      <c r="P14" s="610"/>
      <c r="Q14" s="610"/>
      <c r="R14" s="610"/>
      <c r="S14" s="610"/>
      <c r="T14" s="610"/>
      <c r="U14" s="610"/>
      <c r="V14" s="611"/>
      <c r="W14" s="606"/>
      <c r="X14" s="1924" t="s">
        <v>126</v>
      </c>
      <c r="Y14" s="1925"/>
      <c r="Z14" s="1953" t="s">
        <v>731</v>
      </c>
      <c r="AA14" s="1956"/>
      <c r="AB14" s="1987" t="s">
        <v>473</v>
      </c>
      <c r="AC14" s="1988"/>
      <c r="AD14" s="1988"/>
      <c r="AE14" s="1989"/>
      <c r="AF14" s="1984"/>
      <c r="AG14" s="1200"/>
      <c r="AH14" s="1201"/>
      <c r="AI14" s="1201"/>
      <c r="AJ14" s="1201"/>
      <c r="AK14" s="1201"/>
      <c r="AL14" s="1201"/>
      <c r="AM14" s="1949"/>
      <c r="AN14" s="1949"/>
      <c r="AO14" s="1949"/>
      <c r="AP14" s="1949"/>
      <c r="AQ14" s="1949"/>
      <c r="AR14" s="1934"/>
      <c r="AS14" s="2041" t="s">
        <v>1484</v>
      </c>
      <c r="AT14" s="2042"/>
      <c r="AU14" s="1934"/>
      <c r="AV14" s="1957"/>
      <c r="AW14" s="1957"/>
      <c r="AX14" s="1957"/>
      <c r="AY14" s="1957"/>
      <c r="AZ14" s="1957"/>
      <c r="BA14" s="1957"/>
      <c r="BB14" s="1957"/>
      <c r="BC14" s="1957"/>
      <c r="BD14" s="1958"/>
    </row>
    <row r="15" spans="1:100" ht="24" customHeight="1" thickBot="1">
      <c r="A15" s="1920"/>
      <c r="B15" s="2006" t="str">
        <f>'Вывод расчетов'!AK7</f>
        <v>Частота тока</v>
      </c>
      <c r="C15" s="2007"/>
      <c r="D15" s="2007"/>
      <c r="E15" s="2007"/>
      <c r="F15" s="2007"/>
      <c r="G15" s="2007"/>
      <c r="H15" s="2007"/>
      <c r="I15" s="2007"/>
      <c r="J15" s="2007"/>
      <c r="K15" s="2007"/>
      <c r="L15" s="2007"/>
      <c r="M15" s="2007"/>
      <c r="N15" s="2007"/>
      <c r="O15" s="2007"/>
      <c r="P15" s="2007"/>
      <c r="Q15" s="2007"/>
      <c r="R15" s="2007"/>
      <c r="S15" s="2007"/>
      <c r="T15" s="2007"/>
      <c r="U15" s="2007"/>
      <c r="V15" s="2007"/>
      <c r="W15" s="2008"/>
      <c r="X15" s="1926">
        <f>'Вывод расчетов'!AQ7</f>
        <v>50</v>
      </c>
      <c r="Y15" s="1927"/>
      <c r="Z15" s="1975" t="s">
        <v>758</v>
      </c>
      <c r="AA15" s="1976"/>
      <c r="AB15" s="1934"/>
      <c r="AC15" s="1239" t="s">
        <v>1501</v>
      </c>
      <c r="AD15" s="1979"/>
      <c r="AE15" s="1934"/>
      <c r="AF15" s="1985"/>
      <c r="AG15" s="1153"/>
      <c r="AH15" s="1154"/>
      <c r="AI15" s="1154"/>
      <c r="AJ15" s="1154"/>
      <c r="AK15" s="1154"/>
      <c r="AL15" s="1154"/>
      <c r="AM15" s="1951"/>
      <c r="AN15" s="1951"/>
      <c r="AO15" s="1951"/>
      <c r="AP15" s="1951"/>
      <c r="AQ15" s="1951"/>
      <c r="AR15" s="1935"/>
      <c r="AS15" s="2043"/>
      <c r="AT15" s="2044"/>
      <c r="AU15" s="1935"/>
      <c r="AV15" s="1959"/>
      <c r="AW15" s="1959"/>
      <c r="AX15" s="1959"/>
      <c r="AY15" s="1959"/>
      <c r="AZ15" s="1959"/>
      <c r="BA15" s="1959"/>
      <c r="BB15" s="1959"/>
      <c r="BC15" s="1959"/>
      <c r="BD15" s="1960"/>
    </row>
    <row r="16" spans="1:100" ht="24" customHeight="1">
      <c r="A16" s="1921"/>
      <c r="B16" s="2009"/>
      <c r="C16" s="2010"/>
      <c r="D16" s="2010"/>
      <c r="E16" s="2010"/>
      <c r="F16" s="2010"/>
      <c r="G16" s="2010"/>
      <c r="H16" s="2010"/>
      <c r="I16" s="2010"/>
      <c r="J16" s="2010"/>
      <c r="K16" s="2010"/>
      <c r="L16" s="2010"/>
      <c r="M16" s="2010"/>
      <c r="N16" s="2010"/>
      <c r="O16" s="2010"/>
      <c r="P16" s="2010"/>
      <c r="Q16" s="2010"/>
      <c r="R16" s="2010"/>
      <c r="S16" s="2010"/>
      <c r="T16" s="2010"/>
      <c r="U16" s="2010"/>
      <c r="V16" s="2010"/>
      <c r="W16" s="2011"/>
      <c r="X16" s="1928"/>
      <c r="Y16" s="1929"/>
      <c r="Z16" s="1977"/>
      <c r="AA16" s="1978"/>
      <c r="AB16" s="1982"/>
      <c r="AC16" s="1980"/>
      <c r="AD16" s="1981"/>
      <c r="AE16" s="1982"/>
      <c r="AF16" s="436"/>
      <c r="AG16" s="436"/>
      <c r="AH16" s="436"/>
      <c r="AI16" s="436"/>
      <c r="AJ16" s="436"/>
      <c r="AK16" s="436"/>
      <c r="AL16" s="436"/>
      <c r="AM16" s="436"/>
      <c r="AN16" s="436"/>
      <c r="AO16" s="436"/>
      <c r="AP16" s="436"/>
      <c r="AQ16" s="436"/>
      <c r="AR16" s="436"/>
      <c r="AS16" s="436"/>
      <c r="AT16" s="436"/>
      <c r="AU16" s="436"/>
      <c r="AV16" s="436"/>
      <c r="AW16" s="436"/>
      <c r="AX16" s="436"/>
      <c r="AY16" s="436"/>
      <c r="AZ16" s="436"/>
      <c r="BA16" s="436"/>
      <c r="BB16" s="436"/>
      <c r="BC16" s="436"/>
      <c r="BD16" s="440"/>
    </row>
    <row r="17" spans="1:231" ht="24" customHeight="1">
      <c r="A17" s="298" t="s">
        <v>1237</v>
      </c>
      <c r="B17" s="2018" t="s">
        <v>442</v>
      </c>
      <c r="C17" s="2018"/>
      <c r="D17" s="606"/>
      <c r="E17" s="1986" t="s">
        <v>1488</v>
      </c>
      <c r="F17" s="1986"/>
      <c r="G17" s="1986"/>
      <c r="H17" s="1996">
        <f>$HB$24</f>
        <v>0</v>
      </c>
      <c r="I17" s="1996"/>
      <c r="J17" s="1986" t="s">
        <v>1487</v>
      </c>
      <c r="K17" s="1986"/>
      <c r="L17" s="1986"/>
      <c r="M17" s="1996">
        <f>$HB$76</f>
        <v>0</v>
      </c>
      <c r="N17" s="1996"/>
      <c r="O17" s="609"/>
      <c r="P17" s="610"/>
      <c r="Q17" s="610"/>
      <c r="R17" s="610"/>
      <c r="S17" s="610"/>
      <c r="T17" s="610"/>
      <c r="U17" s="610"/>
      <c r="V17" s="611"/>
      <c r="W17" s="2019" t="s">
        <v>126</v>
      </c>
      <c r="X17" s="2019"/>
      <c r="Y17" s="1952" t="s">
        <v>731</v>
      </c>
      <c r="Z17" s="1952"/>
      <c r="AA17" s="2033" t="s">
        <v>473</v>
      </c>
      <c r="AB17" s="2033"/>
      <c r="AC17" s="2033"/>
      <c r="AD17" s="2033"/>
      <c r="AE17" s="2033"/>
      <c r="AF17" s="436"/>
      <c r="AG17" s="436"/>
      <c r="AH17" s="436"/>
      <c r="AI17" s="436"/>
      <c r="AJ17" s="436"/>
      <c r="AK17" s="436"/>
      <c r="AL17" s="436"/>
      <c r="AM17" s="436"/>
      <c r="AN17" s="436"/>
      <c r="AO17" s="436"/>
      <c r="AP17" s="436"/>
      <c r="AQ17" s="436"/>
      <c r="AR17" s="436"/>
      <c r="AS17" s="436"/>
      <c r="AT17" s="436"/>
      <c r="AU17" s="436"/>
      <c r="AV17" s="436"/>
      <c r="AW17" s="436"/>
      <c r="AX17" s="436"/>
      <c r="AY17" s="436"/>
      <c r="AZ17" s="436"/>
      <c r="BA17" s="436"/>
      <c r="BB17" s="436"/>
      <c r="BC17" s="436"/>
      <c r="BD17" s="440"/>
      <c r="BM17" s="617"/>
      <c r="BN17" s="618"/>
      <c r="BO17" s="618"/>
      <c r="BP17" s="618"/>
      <c r="BQ17" s="618"/>
      <c r="BR17" s="618"/>
      <c r="BS17" s="618"/>
      <c r="BT17" s="618"/>
      <c r="BU17" s="618"/>
      <c r="BV17" s="618"/>
      <c r="BW17" s="618"/>
      <c r="BX17" s="618"/>
      <c r="BY17" s="618"/>
      <c r="BZ17" s="618"/>
      <c r="CA17" s="618"/>
      <c r="CB17" s="618"/>
      <c r="CC17" s="619"/>
    </row>
    <row r="18" spans="1:231" ht="24" customHeight="1" thickBot="1">
      <c r="A18" s="1957"/>
      <c r="B18" s="1936" t="s">
        <v>1485</v>
      </c>
      <c r="C18" s="1936"/>
      <c r="D18" s="1936"/>
      <c r="E18" s="1996">
        <f>$GY$80</f>
        <v>0</v>
      </c>
      <c r="F18" s="1996"/>
      <c r="G18" s="2024" t="s">
        <v>1232</v>
      </c>
      <c r="H18" s="2025"/>
      <c r="I18" s="2025"/>
      <c r="J18" s="2025"/>
      <c r="K18" s="2025"/>
      <c r="L18" s="2025"/>
      <c r="M18" s="2025"/>
      <c r="N18" s="2025"/>
      <c r="O18" s="2025"/>
      <c r="P18" s="2025"/>
      <c r="Q18" s="2025"/>
      <c r="R18" s="2025"/>
      <c r="S18" s="2025"/>
      <c r="T18" s="2025"/>
      <c r="U18" s="2025"/>
      <c r="V18" s="2026"/>
      <c r="W18" s="1949" t="e">
        <f>(3.14*(#REF!*1000-2*#REF!-2*#REF!)-#REF!*AW34)/(3.14+#REF!)</f>
        <v>#REF!</v>
      </c>
      <c r="X18" s="1949"/>
      <c r="Y18" s="1949" t="s">
        <v>50</v>
      </c>
      <c r="Z18" s="1949"/>
      <c r="AA18" s="2023"/>
      <c r="AB18" s="2022" t="s">
        <v>1813</v>
      </c>
      <c r="AC18" s="2022"/>
      <c r="AD18" s="2022"/>
      <c r="AE18" s="2023"/>
      <c r="AF18" s="436"/>
      <c r="AG18" s="436"/>
      <c r="AH18" s="436"/>
      <c r="AI18" s="436"/>
      <c r="AJ18" s="436"/>
      <c r="AK18" s="436"/>
      <c r="AL18" s="436"/>
      <c r="AM18" s="436"/>
      <c r="AN18" s="436"/>
      <c r="AO18" s="436"/>
      <c r="AP18" s="436"/>
      <c r="AQ18" s="436"/>
      <c r="AR18" s="436"/>
      <c r="AS18" s="436"/>
      <c r="AT18" s="436"/>
      <c r="AU18" s="436"/>
      <c r="AV18" s="436"/>
      <c r="AW18" s="436"/>
      <c r="AX18" s="436"/>
      <c r="AY18" s="436"/>
      <c r="AZ18" s="436"/>
      <c r="BA18" s="436"/>
      <c r="BB18" s="436"/>
      <c r="BC18" s="436"/>
      <c r="BD18" s="440"/>
    </row>
    <row r="19" spans="1:231" ht="24" customHeight="1" thickBot="1">
      <c r="A19" s="1957"/>
      <c r="B19" s="1936" t="s">
        <v>1486</v>
      </c>
      <c r="C19" s="1936"/>
      <c r="D19" s="1936"/>
      <c r="E19" s="1996">
        <f>$HB$72</f>
        <v>0</v>
      </c>
      <c r="F19" s="1996"/>
      <c r="G19" s="2027"/>
      <c r="H19" s="2028"/>
      <c r="I19" s="2028"/>
      <c r="J19" s="2028"/>
      <c r="K19" s="2028"/>
      <c r="L19" s="2028"/>
      <c r="M19" s="2028"/>
      <c r="N19" s="2028"/>
      <c r="O19" s="2028"/>
      <c r="P19" s="2028"/>
      <c r="Q19" s="2028"/>
      <c r="R19" s="2028"/>
      <c r="S19" s="2028"/>
      <c r="T19" s="2028"/>
      <c r="U19" s="2028"/>
      <c r="V19" s="2029"/>
      <c r="W19" s="1949"/>
      <c r="X19" s="1949"/>
      <c r="Y19" s="1949"/>
      <c r="Z19" s="1949"/>
      <c r="AA19" s="2023"/>
      <c r="AB19" s="2022"/>
      <c r="AC19" s="2022"/>
      <c r="AD19" s="2022"/>
      <c r="AE19" s="2023"/>
      <c r="AF19" s="614"/>
      <c r="AG19" s="1917" t="str">
        <f>'Вывод расчетов'!$CC$9</f>
        <v>Раздел 3</v>
      </c>
      <c r="AH19" s="1915"/>
      <c r="AI19" s="1915"/>
      <c r="AJ19" s="445"/>
      <c r="AK19" s="1917" t="str">
        <f>'Вывод расчетов'!$CF$9</f>
        <v>Расчет обмотки статора</v>
      </c>
      <c r="AL19" s="1915"/>
      <c r="AM19" s="1915"/>
      <c r="AN19" s="1915"/>
      <c r="AO19" s="1915"/>
      <c r="AP19" s="1915"/>
      <c r="AQ19" s="1915"/>
      <c r="AR19" s="1915"/>
      <c r="AS19" s="1915"/>
      <c r="AT19" s="1915"/>
      <c r="AU19" s="1915"/>
      <c r="AV19" s="1918"/>
      <c r="AW19" s="445"/>
      <c r="AX19" s="1917" t="s">
        <v>1502</v>
      </c>
      <c r="AY19" s="1915"/>
      <c r="AZ19" s="1918"/>
      <c r="BA19" s="445"/>
      <c r="BB19" s="1917">
        <v>8</v>
      </c>
      <c r="BC19" s="1918"/>
      <c r="BD19" s="446"/>
    </row>
    <row r="20" spans="1:231" ht="24" customHeight="1" thickBot="1">
      <c r="A20" s="1957"/>
      <c r="B20" s="1986" t="s">
        <v>1489</v>
      </c>
      <c r="C20" s="1986"/>
      <c r="D20" s="1986"/>
      <c r="E20" s="1996">
        <f>$GY$28</f>
        <v>0</v>
      </c>
      <c r="F20" s="1996"/>
      <c r="G20" s="2030"/>
      <c r="H20" s="2031"/>
      <c r="I20" s="2031"/>
      <c r="J20" s="2031"/>
      <c r="K20" s="2031"/>
      <c r="L20" s="2031"/>
      <c r="M20" s="2031"/>
      <c r="N20" s="2031"/>
      <c r="O20" s="2031"/>
      <c r="P20" s="2031"/>
      <c r="Q20" s="2031"/>
      <c r="R20" s="2031"/>
      <c r="S20" s="2031"/>
      <c r="T20" s="2031"/>
      <c r="U20" s="2031"/>
      <c r="V20" s="2032"/>
      <c r="W20" s="1949"/>
      <c r="X20" s="1949"/>
      <c r="Y20" s="1949"/>
      <c r="Z20" s="1949"/>
      <c r="AA20" s="2023"/>
      <c r="AB20" s="2022"/>
      <c r="AC20" s="2022"/>
      <c r="AD20" s="2022"/>
      <c r="AE20" s="2023"/>
      <c r="AF20" s="1914" t="s">
        <v>1230</v>
      </c>
      <c r="AG20" s="1915"/>
      <c r="AH20" s="1915"/>
      <c r="AI20" s="1915"/>
      <c r="AJ20" s="1915"/>
      <c r="AK20" s="1915"/>
      <c r="AL20" s="1915"/>
      <c r="AM20" s="1915"/>
      <c r="AN20" s="1915"/>
      <c r="AO20" s="1915"/>
      <c r="AP20" s="1915"/>
      <c r="AQ20" s="1915"/>
      <c r="AR20" s="1915"/>
      <c r="AS20" s="1915"/>
      <c r="AT20" s="1915"/>
      <c r="AU20" s="1915"/>
      <c r="AV20" s="1915"/>
      <c r="AW20" s="1915"/>
      <c r="AX20" s="1915"/>
      <c r="AY20" s="1915"/>
      <c r="AZ20" s="1915"/>
      <c r="BA20" s="1915"/>
      <c r="BB20" s="1915"/>
      <c r="BC20" s="1915"/>
      <c r="BD20" s="1915"/>
      <c r="BE20" s="1914" t="s">
        <v>1230</v>
      </c>
      <c r="BF20" s="1915"/>
      <c r="BG20" s="1915"/>
      <c r="BH20" s="1915"/>
      <c r="BI20" s="1915"/>
      <c r="BJ20" s="1915"/>
      <c r="BK20" s="1915"/>
      <c r="BL20" s="1915"/>
      <c r="BM20" s="1915"/>
      <c r="BN20" s="1915"/>
      <c r="BO20" s="1915"/>
      <c r="BP20" s="1915"/>
      <c r="BQ20" s="1915"/>
      <c r="BR20" s="1915"/>
      <c r="BS20" s="1915"/>
      <c r="BT20" s="1915"/>
      <c r="BU20" s="1915"/>
      <c r="BV20" s="1915"/>
      <c r="BW20" s="1915"/>
      <c r="BX20" s="1915"/>
      <c r="BY20" s="1915"/>
      <c r="BZ20" s="1915"/>
      <c r="CA20" s="1915"/>
      <c r="CB20" s="1915"/>
      <c r="CC20" s="1915"/>
      <c r="CD20" s="1914" t="s">
        <v>1230</v>
      </c>
      <c r="CE20" s="1915"/>
      <c r="CF20" s="1915"/>
      <c r="CG20" s="1915"/>
      <c r="CH20" s="1915"/>
      <c r="CI20" s="1915"/>
      <c r="CJ20" s="1915"/>
      <c r="CK20" s="1915"/>
      <c r="CL20" s="1915"/>
      <c r="CM20" s="1915"/>
      <c r="CN20" s="1915"/>
      <c r="CO20" s="1915"/>
      <c r="CP20" s="1915"/>
      <c r="CQ20" s="1915"/>
      <c r="CR20" s="1915"/>
      <c r="CS20" s="1915"/>
      <c r="CT20" s="1915"/>
      <c r="CU20" s="1915"/>
      <c r="CV20" s="1915"/>
      <c r="CW20" s="1915"/>
      <c r="CX20" s="1915"/>
      <c r="CY20" s="1915"/>
      <c r="CZ20" s="1915"/>
      <c r="DA20" s="1915"/>
      <c r="DB20" s="1916"/>
      <c r="DC20" s="1914" t="s">
        <v>1230</v>
      </c>
      <c r="DD20" s="1915"/>
      <c r="DE20" s="1915"/>
      <c r="DF20" s="1915"/>
      <c r="DG20" s="1915"/>
      <c r="DH20" s="1915"/>
      <c r="DI20" s="1915"/>
      <c r="DJ20" s="1915"/>
      <c r="DK20" s="1915"/>
      <c r="DL20" s="1915"/>
      <c r="DM20" s="1915"/>
      <c r="DN20" s="1915"/>
      <c r="DO20" s="1915"/>
      <c r="DP20" s="1915"/>
      <c r="DQ20" s="1915"/>
      <c r="DR20" s="1915"/>
      <c r="DS20" s="1915"/>
      <c r="DT20" s="1915"/>
      <c r="DU20" s="1915"/>
      <c r="DV20" s="1915"/>
      <c r="DW20" s="1915"/>
      <c r="DX20" s="1915"/>
      <c r="DY20" s="1915"/>
      <c r="DZ20" s="1915"/>
      <c r="EA20" s="1916"/>
      <c r="EB20" s="1914" t="s">
        <v>1230</v>
      </c>
      <c r="EC20" s="1915"/>
      <c r="ED20" s="1915"/>
      <c r="EE20" s="1915"/>
      <c r="EF20" s="1915"/>
      <c r="EG20" s="1915"/>
      <c r="EH20" s="1915"/>
      <c r="EI20" s="1915"/>
      <c r="EJ20" s="1915"/>
      <c r="EK20" s="1915"/>
      <c r="EL20" s="1915"/>
      <c r="EM20" s="1915"/>
      <c r="EN20" s="1915"/>
      <c r="EO20" s="1915"/>
      <c r="EP20" s="1915"/>
      <c r="EQ20" s="1915"/>
      <c r="ER20" s="1915"/>
      <c r="ES20" s="1915"/>
      <c r="ET20" s="1915"/>
      <c r="EU20" s="1915"/>
      <c r="EV20" s="1915"/>
      <c r="EW20" s="1915"/>
      <c r="EX20" s="1915"/>
      <c r="EY20" s="1915"/>
      <c r="EZ20" s="1916"/>
      <c r="FA20" s="1914" t="s">
        <v>1230</v>
      </c>
      <c r="FB20" s="1915"/>
      <c r="FC20" s="1915"/>
      <c r="FD20" s="1915"/>
      <c r="FE20" s="1915"/>
      <c r="FF20" s="1915"/>
      <c r="FG20" s="1915"/>
      <c r="FH20" s="1915"/>
      <c r="FI20" s="1915"/>
      <c r="FJ20" s="1915"/>
      <c r="FK20" s="1915"/>
      <c r="FL20" s="1915"/>
      <c r="FM20" s="1915"/>
      <c r="FN20" s="1915"/>
      <c r="FO20" s="1915"/>
      <c r="FP20" s="1915"/>
      <c r="FQ20" s="1915"/>
      <c r="FR20" s="1915"/>
      <c r="FS20" s="1915"/>
      <c r="FT20" s="1915"/>
      <c r="FU20" s="1915"/>
      <c r="FV20" s="1915"/>
      <c r="FW20" s="1915"/>
      <c r="FX20" s="1915"/>
      <c r="FY20" s="1916"/>
      <c r="FZ20" s="1914" t="s">
        <v>1230</v>
      </c>
      <c r="GA20" s="1915"/>
      <c r="GB20" s="1915"/>
      <c r="GC20" s="1915"/>
      <c r="GD20" s="1915"/>
      <c r="GE20" s="1915"/>
      <c r="GF20" s="1915"/>
      <c r="GG20" s="1915"/>
      <c r="GH20" s="1915"/>
      <c r="GI20" s="1915"/>
      <c r="GJ20" s="1915"/>
      <c r="GK20" s="1915"/>
      <c r="GL20" s="1915"/>
      <c r="GM20" s="1915"/>
      <c r="GN20" s="1915"/>
      <c r="GO20" s="1915"/>
      <c r="GP20" s="1915"/>
      <c r="GQ20" s="1915"/>
      <c r="GR20" s="1915"/>
      <c r="GS20" s="1915"/>
      <c r="GT20" s="1915"/>
      <c r="GU20" s="1915"/>
      <c r="GV20" s="1915"/>
      <c r="GW20" s="1915"/>
      <c r="GX20" s="1916"/>
      <c r="GY20" s="1914" t="s">
        <v>1230</v>
      </c>
      <c r="GZ20" s="1915"/>
      <c r="HA20" s="1915"/>
      <c r="HB20" s="1915"/>
      <c r="HC20" s="1915"/>
      <c r="HD20" s="1915"/>
      <c r="HE20" s="1915"/>
      <c r="HF20" s="1915"/>
      <c r="HG20" s="1915"/>
      <c r="HH20" s="1915"/>
      <c r="HI20" s="1915"/>
      <c r="HJ20" s="1915"/>
      <c r="HK20" s="1915"/>
      <c r="HL20" s="1915"/>
      <c r="HM20" s="1915"/>
      <c r="HN20" s="1915"/>
      <c r="HO20" s="1915"/>
      <c r="HP20" s="1915"/>
      <c r="HQ20" s="1915"/>
      <c r="HR20" s="1915"/>
      <c r="HS20" s="1915"/>
      <c r="HT20" s="1915"/>
      <c r="HU20" s="1915"/>
      <c r="HV20" s="1915"/>
      <c r="HW20" s="1916"/>
    </row>
    <row r="21" spans="1:231" ht="24" customHeight="1">
      <c r="A21" s="2033" t="s">
        <v>462</v>
      </c>
      <c r="B21" s="2033"/>
      <c r="C21" s="2033"/>
      <c r="D21" s="2033"/>
      <c r="E21" s="2033"/>
      <c r="F21" s="2033"/>
      <c r="G21" s="2033"/>
      <c r="H21" s="2033"/>
      <c r="I21" s="2033"/>
      <c r="J21" s="2033"/>
      <c r="K21" s="2033"/>
      <c r="L21" s="2033"/>
      <c r="M21" s="2033"/>
      <c r="N21" s="2033"/>
      <c r="O21" s="2033"/>
      <c r="P21" s="2033"/>
      <c r="Q21" s="2033"/>
      <c r="R21" s="2033"/>
      <c r="S21" s="2033"/>
      <c r="T21" s="2033"/>
      <c r="U21" s="2033"/>
      <c r="V21" s="2033"/>
      <c r="W21" s="2033"/>
      <c r="X21" s="2033"/>
      <c r="Y21" s="2033"/>
      <c r="Z21" s="2033"/>
      <c r="AA21" s="2033"/>
      <c r="AB21" s="2033"/>
      <c r="AC21" s="2033"/>
      <c r="AD21" s="2033"/>
      <c r="AE21" s="2033"/>
      <c r="AF21" s="438"/>
      <c r="AG21" s="438"/>
      <c r="AH21" s="438"/>
      <c r="AI21" s="438"/>
      <c r="AJ21" s="438"/>
      <c r="AK21" s="438"/>
      <c r="AL21" s="438"/>
      <c r="AM21" s="438"/>
      <c r="AN21" s="438"/>
      <c r="AO21" s="438"/>
      <c r="AP21" s="438"/>
      <c r="AQ21" s="438"/>
      <c r="AR21" s="438"/>
      <c r="AS21" s="438"/>
      <c r="AT21" s="438"/>
      <c r="AU21" s="438"/>
      <c r="AV21" s="438"/>
      <c r="AW21" s="438"/>
      <c r="AX21" s="438"/>
      <c r="AY21" s="438"/>
      <c r="AZ21" s="438"/>
      <c r="BA21" s="438"/>
      <c r="BB21" s="438"/>
      <c r="BC21" s="438"/>
      <c r="BD21" s="447"/>
      <c r="BE21" s="437"/>
      <c r="BF21" s="438"/>
      <c r="BG21" s="438"/>
      <c r="BH21" s="438"/>
      <c r="BI21" s="438"/>
      <c r="BJ21" s="438"/>
      <c r="BK21" s="438"/>
      <c r="BL21" s="438"/>
      <c r="BM21" s="438"/>
      <c r="BN21" s="438"/>
      <c r="BO21" s="438"/>
      <c r="BP21" s="438"/>
      <c r="BQ21" s="438"/>
      <c r="BR21" s="438"/>
      <c r="BS21" s="438"/>
      <c r="BT21" s="438"/>
      <c r="BU21" s="438"/>
      <c r="BV21" s="438"/>
      <c r="BW21" s="438"/>
      <c r="BX21" s="438"/>
      <c r="BY21" s="438"/>
      <c r="BZ21" s="438"/>
      <c r="CA21" s="438"/>
      <c r="CB21" s="438"/>
      <c r="CC21" s="447"/>
      <c r="CD21" s="437"/>
      <c r="CE21" s="438"/>
      <c r="CF21" s="438"/>
      <c r="CG21" s="438"/>
      <c r="CH21" s="438"/>
      <c r="CI21" s="438"/>
      <c r="CJ21" s="438"/>
      <c r="CK21" s="438"/>
      <c r="CL21" s="438"/>
      <c r="CM21" s="438"/>
      <c r="CN21" s="438"/>
      <c r="CO21" s="438"/>
      <c r="CP21" s="438"/>
      <c r="CQ21" s="438"/>
      <c r="CR21" s="438"/>
      <c r="CS21" s="438"/>
      <c r="CT21" s="438"/>
      <c r="CU21" s="438"/>
      <c r="CV21" s="438"/>
      <c r="CW21" s="438"/>
      <c r="CX21" s="438"/>
      <c r="CY21" s="438"/>
      <c r="CZ21" s="438"/>
      <c r="DA21" s="438"/>
      <c r="DB21" s="447"/>
      <c r="DC21" s="437"/>
      <c r="DD21" s="438"/>
      <c r="DE21" s="438"/>
      <c r="DF21" s="438"/>
      <c r="DG21" s="438"/>
      <c r="DH21" s="438"/>
      <c r="DI21" s="438"/>
      <c r="DJ21" s="438"/>
      <c r="DK21" s="438"/>
      <c r="DL21" s="438"/>
      <c r="DM21" s="438"/>
      <c r="DN21" s="438"/>
      <c r="DO21" s="438"/>
      <c r="DP21" s="438"/>
      <c r="DQ21" s="438"/>
      <c r="DR21" s="438"/>
      <c r="DS21" s="438"/>
      <c r="DT21" s="438"/>
      <c r="DU21" s="438"/>
      <c r="DV21" s="438"/>
      <c r="DW21" s="438"/>
      <c r="DX21" s="438"/>
      <c r="DY21" s="438"/>
      <c r="DZ21" s="438"/>
      <c r="EA21" s="447"/>
      <c r="EB21" s="437"/>
      <c r="EC21" s="438"/>
      <c r="ED21" s="438"/>
      <c r="EE21" s="438"/>
      <c r="EF21" s="438"/>
      <c r="EG21" s="438"/>
      <c r="EH21" s="438"/>
      <c r="EI21" s="438"/>
      <c r="EJ21" s="438"/>
      <c r="EK21" s="438"/>
      <c r="EL21" s="438"/>
      <c r="EM21" s="438"/>
      <c r="EN21" s="438"/>
      <c r="EO21" s="438"/>
      <c r="EP21" s="438"/>
      <c r="EQ21" s="438"/>
      <c r="ER21" s="438"/>
      <c r="ES21" s="438"/>
      <c r="ET21" s="438"/>
      <c r="EU21" s="438"/>
      <c r="EV21" s="438"/>
      <c r="EW21" s="438"/>
      <c r="EX21" s="438"/>
      <c r="EY21" s="438"/>
      <c r="EZ21" s="447"/>
      <c r="FA21" s="437"/>
      <c r="FB21" s="438"/>
      <c r="FC21" s="438"/>
      <c r="FD21" s="438"/>
      <c r="FE21" s="438"/>
      <c r="FF21" s="438"/>
      <c r="FG21" s="438"/>
      <c r="FH21" s="438"/>
      <c r="FI21" s="438"/>
      <c r="FJ21" s="438"/>
      <c r="FK21" s="438"/>
      <c r="FL21" s="438"/>
      <c r="FM21" s="438"/>
      <c r="FN21" s="438"/>
      <c r="FO21" s="438"/>
      <c r="FP21" s="438"/>
      <c r="FQ21" s="438"/>
      <c r="FR21" s="438"/>
      <c r="FS21" s="438"/>
      <c r="FT21" s="438"/>
      <c r="FU21" s="438"/>
      <c r="FV21" s="438"/>
      <c r="FW21" s="438"/>
      <c r="FX21" s="438"/>
      <c r="FY21" s="447"/>
      <c r="FZ21" s="437"/>
      <c r="GA21" s="438"/>
      <c r="GB21" s="438"/>
      <c r="GC21" s="438"/>
      <c r="GD21" s="438"/>
      <c r="GE21" s="438"/>
      <c r="GF21" s="438"/>
      <c r="GG21" s="438"/>
      <c r="GH21" s="438"/>
      <c r="GI21" s="438"/>
      <c r="GJ21" s="438"/>
      <c r="GK21" s="438"/>
      <c r="GL21" s="438"/>
      <c r="GM21" s="438"/>
      <c r="GN21" s="438"/>
      <c r="GO21" s="438"/>
      <c r="GP21" s="438"/>
      <c r="GQ21" s="438"/>
      <c r="GR21" s="438"/>
      <c r="GS21" s="438"/>
      <c r="GT21" s="438"/>
      <c r="GU21" s="438"/>
      <c r="GV21" s="438"/>
      <c r="GW21" s="438"/>
      <c r="GX21" s="447"/>
      <c r="GY21" s="437"/>
      <c r="GZ21" s="438"/>
      <c r="HA21" s="438"/>
      <c r="HB21" s="438"/>
      <c r="HC21" s="438"/>
      <c r="HD21" s="438"/>
      <c r="HE21" s="438"/>
      <c r="HF21" s="438"/>
      <c r="HG21" s="438"/>
      <c r="HH21" s="438"/>
      <c r="HI21" s="438"/>
      <c r="HJ21" s="438"/>
      <c r="HK21" s="438"/>
      <c r="HL21" s="438"/>
      <c r="HM21" s="438"/>
      <c r="HN21" s="438"/>
      <c r="HO21" s="438"/>
      <c r="HP21" s="438"/>
      <c r="HQ21" s="438"/>
      <c r="HR21" s="438"/>
      <c r="HS21" s="438"/>
      <c r="HT21" s="438"/>
      <c r="HU21" s="438"/>
      <c r="HV21" s="438"/>
      <c r="HW21" s="447"/>
    </row>
    <row r="22" spans="1:231" ht="24" customHeight="1">
      <c r="A22" s="1997"/>
      <c r="B22" s="1998"/>
      <c r="C22" s="1998"/>
      <c r="D22" s="1998"/>
      <c r="E22" s="1998"/>
      <c r="F22" s="1998"/>
      <c r="G22" s="1998"/>
      <c r="H22" s="1998"/>
      <c r="I22" s="1998"/>
      <c r="J22" s="1998"/>
      <c r="K22" s="1998"/>
      <c r="L22" s="1998"/>
      <c r="M22" s="1998"/>
      <c r="N22" s="1998"/>
      <c r="O22" s="1998"/>
      <c r="P22" s="1998"/>
      <c r="Q22" s="1998"/>
      <c r="R22" s="1998"/>
      <c r="S22" s="1998"/>
      <c r="T22" s="1998"/>
      <c r="U22" s="1998"/>
      <c r="V22" s="1998"/>
      <c r="W22" s="1998"/>
      <c r="X22" s="1998"/>
      <c r="Y22" s="1998"/>
      <c r="Z22" s="1998"/>
      <c r="AA22" s="1998"/>
      <c r="AB22" s="1998"/>
      <c r="AC22" s="1998"/>
      <c r="AD22" s="1998"/>
      <c r="AE22" s="1999"/>
      <c r="AF22" s="439"/>
      <c r="AG22" s="436"/>
      <c r="AH22" s="436"/>
      <c r="AI22" s="436"/>
      <c r="AJ22" s="436"/>
      <c r="AK22" s="436"/>
      <c r="AL22" s="436"/>
      <c r="AM22" s="436"/>
      <c r="AN22" s="436"/>
      <c r="AO22" s="436"/>
      <c r="AP22" s="436"/>
      <c r="AQ22" s="436"/>
      <c r="AR22" s="436"/>
      <c r="AS22" s="436"/>
      <c r="AT22" s="436"/>
      <c r="AU22" s="436"/>
      <c r="AV22" s="436"/>
      <c r="AW22" s="436"/>
      <c r="AX22" s="436"/>
      <c r="AY22" s="436"/>
      <c r="AZ22" s="436"/>
      <c r="BA22" s="436"/>
      <c r="BB22" s="436"/>
      <c r="BC22" s="436"/>
      <c r="BD22" s="440"/>
      <c r="BE22" s="439"/>
      <c r="BF22" s="436"/>
      <c r="BG22" s="436"/>
      <c r="BH22" s="436"/>
      <c r="BI22" s="436"/>
      <c r="BJ22" s="436"/>
      <c r="BK22" s="436"/>
      <c r="BL22" s="436"/>
      <c r="BM22" s="436"/>
      <c r="BN22" s="436"/>
      <c r="BO22" s="436"/>
      <c r="BP22" s="436"/>
      <c r="BQ22" s="436"/>
      <c r="BR22" s="436"/>
      <c r="BS22" s="436"/>
      <c r="BT22" s="436"/>
      <c r="BU22" s="436"/>
      <c r="BV22" s="436"/>
      <c r="BW22" s="436"/>
      <c r="BX22" s="436"/>
      <c r="BY22" s="436"/>
      <c r="BZ22" s="436"/>
      <c r="CA22" s="436"/>
      <c r="CB22" s="436"/>
      <c r="CC22" s="440"/>
      <c r="CD22" s="439"/>
      <c r="CE22" s="436"/>
      <c r="CF22" s="436"/>
      <c r="CG22" s="436"/>
      <c r="CH22" s="436"/>
      <c r="CI22" s="436"/>
      <c r="CJ22" s="436"/>
      <c r="CK22" s="436"/>
      <c r="CL22" s="436"/>
      <c r="CM22" s="436"/>
      <c r="CN22" s="436"/>
      <c r="CO22" s="436"/>
      <c r="CP22" s="436"/>
      <c r="CQ22" s="436"/>
      <c r="CR22" s="436"/>
      <c r="CS22" s="436"/>
      <c r="CT22" s="436"/>
      <c r="CU22" s="436"/>
      <c r="CV22" s="436"/>
      <c r="CW22" s="436"/>
      <c r="CX22" s="436"/>
      <c r="CY22" s="436"/>
      <c r="CZ22" s="436"/>
      <c r="DA22" s="436"/>
      <c r="DB22" s="440"/>
      <c r="DC22" s="439"/>
      <c r="DD22" s="436"/>
      <c r="DE22" s="436"/>
      <c r="DF22" s="436"/>
      <c r="DG22" s="436"/>
      <c r="DH22" s="436"/>
      <c r="DI22" s="436"/>
      <c r="DJ22" s="436"/>
      <c r="DK22" s="436"/>
      <c r="DL22" s="436"/>
      <c r="DM22" s="436"/>
      <c r="DN22" s="436"/>
      <c r="DO22" s="436"/>
      <c r="DP22" s="436"/>
      <c r="DQ22" s="436"/>
      <c r="DR22" s="436"/>
      <c r="DS22" s="436"/>
      <c r="DT22" s="436"/>
      <c r="DU22" s="436"/>
      <c r="DV22" s="436"/>
      <c r="DW22" s="436"/>
      <c r="DX22" s="436"/>
      <c r="DY22" s="436"/>
      <c r="DZ22" s="436"/>
      <c r="EA22" s="440"/>
      <c r="EB22" s="439"/>
      <c r="EC22" s="436"/>
      <c r="ED22" s="436"/>
      <c r="EE22" s="436"/>
      <c r="EF22" s="436"/>
      <c r="EG22" s="436"/>
      <c r="EH22" s="436"/>
      <c r="EI22" s="436"/>
      <c r="EJ22" s="436"/>
      <c r="EK22" s="436"/>
      <c r="EL22" s="436"/>
      <c r="EM22" s="436"/>
      <c r="EN22" s="436"/>
      <c r="EO22" s="436"/>
      <c r="EP22" s="436"/>
      <c r="EQ22" s="436"/>
      <c r="ER22" s="436"/>
      <c r="ES22" s="436"/>
      <c r="ET22" s="436"/>
      <c r="EU22" s="436"/>
      <c r="EV22" s="436"/>
      <c r="EW22" s="436"/>
      <c r="EX22" s="436"/>
      <c r="EY22" s="436"/>
      <c r="EZ22" s="440"/>
      <c r="FA22" s="439"/>
      <c r="FB22" s="436"/>
      <c r="FC22" s="436"/>
      <c r="FD22" s="436"/>
      <c r="FE22" s="436"/>
      <c r="FF22" s="436"/>
      <c r="FG22" s="436"/>
      <c r="FH22" s="436"/>
      <c r="FI22" s="436"/>
      <c r="FJ22" s="436"/>
      <c r="FK22" s="436"/>
      <c r="FL22" s="436"/>
      <c r="FM22" s="436"/>
      <c r="FN22" s="436"/>
      <c r="FO22" s="436"/>
      <c r="FP22" s="436"/>
      <c r="FQ22" s="436"/>
      <c r="FR22" s="436"/>
      <c r="FS22" s="436"/>
      <c r="FT22" s="436"/>
      <c r="FU22" s="436"/>
      <c r="FV22" s="436"/>
      <c r="FW22" s="436"/>
      <c r="FX22" s="436"/>
      <c r="FY22" s="440"/>
      <c r="FZ22" s="439"/>
      <c r="GA22" s="436"/>
      <c r="GB22" s="436"/>
      <c r="GC22" s="436"/>
      <c r="GD22" s="436"/>
      <c r="GE22" s="436"/>
      <c r="GF22" s="436"/>
      <c r="GG22" s="436"/>
      <c r="GH22" s="436"/>
      <c r="GI22" s="436"/>
      <c r="GJ22" s="436"/>
      <c r="GK22" s="436"/>
      <c r="GL22" s="436"/>
      <c r="GM22" s="436"/>
      <c r="GN22" s="436"/>
      <c r="GO22" s="436"/>
      <c r="GP22" s="436"/>
      <c r="GQ22" s="436"/>
      <c r="GR22" s="436"/>
      <c r="GS22" s="436"/>
      <c r="GT22" s="436"/>
      <c r="GU22" s="436"/>
      <c r="GV22" s="436"/>
      <c r="GW22" s="436"/>
      <c r="GX22" s="440"/>
      <c r="GY22" s="439"/>
      <c r="GZ22" s="436"/>
      <c r="HA22" s="436"/>
      <c r="HB22" s="436"/>
      <c r="HC22" s="436"/>
      <c r="HD22" s="436"/>
      <c r="HE22" s="436"/>
      <c r="HF22" s="436"/>
      <c r="HG22" s="436"/>
      <c r="HH22" s="436"/>
      <c r="HI22" s="436"/>
      <c r="HJ22" s="436"/>
      <c r="HK22" s="436"/>
      <c r="HL22" s="436"/>
      <c r="HM22" s="436"/>
      <c r="HN22" s="436"/>
      <c r="HO22" s="436"/>
      <c r="HP22" s="436"/>
      <c r="HQ22" s="436"/>
      <c r="HR22" s="436"/>
      <c r="HS22" s="436"/>
      <c r="HT22" s="436"/>
      <c r="HU22" s="436"/>
      <c r="HV22" s="436"/>
      <c r="HW22" s="440"/>
    </row>
    <row r="23" spans="1:231" ht="24" customHeight="1">
      <c r="A23" s="2000"/>
      <c r="B23" s="2001"/>
      <c r="C23" s="2001"/>
      <c r="D23" s="2001"/>
      <c r="E23" s="2001"/>
      <c r="F23" s="2001"/>
      <c r="G23" s="2001"/>
      <c r="H23" s="2001"/>
      <c r="I23" s="2001"/>
      <c r="J23" s="2001"/>
      <c r="K23" s="2001"/>
      <c r="L23" s="2001"/>
      <c r="M23" s="2001"/>
      <c r="N23" s="2001"/>
      <c r="O23" s="2001"/>
      <c r="P23" s="2001"/>
      <c r="Q23" s="2001"/>
      <c r="R23" s="2001"/>
      <c r="S23" s="2001"/>
      <c r="T23" s="2001"/>
      <c r="U23" s="2001"/>
      <c r="V23" s="2001"/>
      <c r="W23" s="2001"/>
      <c r="X23" s="2001"/>
      <c r="Y23" s="2001"/>
      <c r="Z23" s="2001"/>
      <c r="AA23" s="2001"/>
      <c r="AB23" s="2001"/>
      <c r="AC23" s="2001"/>
      <c r="AD23" s="2001"/>
      <c r="AE23" s="2002"/>
      <c r="AF23" s="439"/>
      <c r="AG23" s="436"/>
      <c r="AH23" s="436"/>
      <c r="AI23" s="436"/>
      <c r="AJ23" s="436"/>
      <c r="AK23" s="436"/>
      <c r="AL23" s="436"/>
      <c r="AM23" s="436"/>
      <c r="AN23" s="436"/>
      <c r="AO23" s="436"/>
      <c r="AP23" s="436"/>
      <c r="AQ23" s="436"/>
      <c r="AR23" s="436"/>
      <c r="AS23" s="436"/>
      <c r="AT23" s="436"/>
      <c r="AU23" s="436"/>
      <c r="AV23" s="436"/>
      <c r="AW23" s="436"/>
      <c r="AX23" s="436"/>
      <c r="AY23" s="436"/>
      <c r="AZ23" s="436"/>
      <c r="BA23" s="436"/>
      <c r="BB23" s="436"/>
      <c r="BC23" s="436"/>
      <c r="BD23" s="440"/>
      <c r="BE23" s="439"/>
      <c r="BF23" s="436"/>
      <c r="BG23" s="436"/>
      <c r="BH23" s="436"/>
      <c r="BI23" s="436"/>
      <c r="BJ23" s="436"/>
      <c r="BK23" s="436"/>
      <c r="BL23" s="436"/>
      <c r="BM23" s="436"/>
      <c r="BN23" s="436"/>
      <c r="BO23" s="436"/>
      <c r="BP23" s="436"/>
      <c r="BQ23" s="436"/>
      <c r="BR23" s="436"/>
      <c r="BS23" s="436"/>
      <c r="BT23" s="436"/>
      <c r="BU23" s="436"/>
      <c r="BV23" s="436"/>
      <c r="BW23" s="436"/>
      <c r="BX23" s="436"/>
      <c r="BY23" s="436"/>
      <c r="BZ23" s="436"/>
      <c r="CA23" s="436"/>
      <c r="CB23" s="436"/>
      <c r="CC23" s="440"/>
      <c r="CD23" s="439"/>
      <c r="CE23" s="436"/>
      <c r="CF23" s="436"/>
      <c r="CG23" s="436"/>
      <c r="CH23" s="436"/>
      <c r="CI23" s="436"/>
      <c r="CJ23" s="436"/>
      <c r="CK23" s="436"/>
      <c r="CL23" s="436"/>
      <c r="CM23" s="436"/>
      <c r="CN23" s="436"/>
      <c r="CO23" s="436"/>
      <c r="CP23" s="436"/>
      <c r="CQ23" s="436"/>
      <c r="CR23" s="436"/>
      <c r="CS23" s="436"/>
      <c r="CT23" s="436"/>
      <c r="CU23" s="436"/>
      <c r="CV23" s="436"/>
      <c r="CW23" s="436"/>
      <c r="CX23" s="436"/>
      <c r="CY23" s="436"/>
      <c r="CZ23" s="436"/>
      <c r="DA23" s="436"/>
      <c r="DB23" s="440"/>
      <c r="DC23" s="439"/>
      <c r="DD23" s="436"/>
      <c r="DE23" s="436"/>
      <c r="DF23" s="436"/>
      <c r="DG23" s="436"/>
      <c r="DH23" s="436"/>
      <c r="DI23" s="436"/>
      <c r="DJ23" s="436"/>
      <c r="DK23" s="436"/>
      <c r="DL23" s="436"/>
      <c r="DM23" s="436"/>
      <c r="DN23" s="436"/>
      <c r="DO23" s="436"/>
      <c r="DP23" s="436"/>
      <c r="DQ23" s="436"/>
      <c r="DR23" s="436"/>
      <c r="DS23" s="436"/>
      <c r="DT23" s="436"/>
      <c r="DU23" s="436"/>
      <c r="DV23" s="436"/>
      <c r="DW23" s="436"/>
      <c r="DX23" s="436"/>
      <c r="DY23" s="436"/>
      <c r="DZ23" s="436"/>
      <c r="EA23" s="440"/>
      <c r="EB23" s="439"/>
      <c r="EC23" s="436"/>
      <c r="ED23" s="436"/>
      <c r="EE23" s="436"/>
      <c r="EF23" s="436"/>
      <c r="EG23" s="436"/>
      <c r="EH23" s="436"/>
      <c r="EI23" s="436"/>
      <c r="EJ23" s="436"/>
      <c r="EK23" s="436"/>
      <c r="EL23" s="436"/>
      <c r="EM23" s="436"/>
      <c r="EN23" s="436"/>
      <c r="EO23" s="436"/>
      <c r="EP23" s="436"/>
      <c r="EQ23" s="436"/>
      <c r="ER23" s="436"/>
      <c r="ES23" s="436"/>
      <c r="ET23" s="436"/>
      <c r="EU23" s="436"/>
      <c r="EV23" s="436"/>
      <c r="EW23" s="436"/>
      <c r="EX23" s="436"/>
      <c r="EY23" s="436"/>
      <c r="EZ23" s="440"/>
      <c r="FA23" s="439"/>
      <c r="FB23" s="436"/>
      <c r="FC23" s="436"/>
      <c r="FD23" s="436"/>
      <c r="FE23" s="436"/>
      <c r="FF23" s="436"/>
      <c r="FG23" s="436"/>
      <c r="FH23" s="436"/>
      <c r="FI23" s="436"/>
      <c r="FJ23" s="436"/>
      <c r="FK23" s="436"/>
      <c r="FL23" s="436"/>
      <c r="FM23" s="436"/>
      <c r="FN23" s="436"/>
      <c r="FO23" s="436"/>
      <c r="FP23" s="436"/>
      <c r="FQ23" s="436"/>
      <c r="FR23" s="436"/>
      <c r="FS23" s="436"/>
      <c r="FT23" s="436"/>
      <c r="FU23" s="436"/>
      <c r="FV23" s="436"/>
      <c r="FW23" s="436"/>
      <c r="FX23" s="436"/>
      <c r="FY23" s="440"/>
      <c r="FZ23" s="439"/>
      <c r="GA23" s="436"/>
      <c r="GB23" s="436"/>
      <c r="GC23" s="436"/>
      <c r="GD23" s="436"/>
      <c r="GE23" s="436"/>
      <c r="GF23" s="436"/>
      <c r="GG23" s="436"/>
      <c r="GH23" s="436"/>
      <c r="GI23" s="436"/>
      <c r="GJ23" s="436"/>
      <c r="GK23" s="436"/>
      <c r="GL23" s="436"/>
      <c r="GM23" s="436"/>
      <c r="GN23" s="436"/>
      <c r="GO23" s="436"/>
      <c r="GP23" s="436"/>
      <c r="GQ23" s="436"/>
      <c r="GR23" s="436"/>
      <c r="GS23" s="436"/>
      <c r="GT23" s="436"/>
      <c r="GU23" s="436"/>
      <c r="GV23" s="436"/>
      <c r="GW23" s="436"/>
      <c r="GX23" s="440"/>
      <c r="GY23" s="439"/>
      <c r="GZ23" s="436"/>
      <c r="HA23" s="436"/>
      <c r="HB23" s="436"/>
      <c r="HC23" s="436"/>
      <c r="HD23" s="436"/>
      <c r="HE23" s="436"/>
      <c r="HF23" s="436"/>
      <c r="HG23" s="436"/>
      <c r="HH23" s="436"/>
      <c r="HI23" s="436"/>
      <c r="HJ23" s="436"/>
      <c r="HK23" s="436"/>
      <c r="HL23" s="436"/>
      <c r="HM23" s="436"/>
      <c r="HN23" s="436"/>
      <c r="HO23" s="436"/>
      <c r="HP23" s="436"/>
      <c r="HQ23" s="436"/>
      <c r="HR23" s="436"/>
      <c r="HS23" s="436"/>
      <c r="HT23" s="436"/>
      <c r="HU23" s="436"/>
      <c r="HV23" s="436"/>
      <c r="HW23" s="440"/>
    </row>
    <row r="24" spans="1:231" ht="24" customHeight="1">
      <c r="A24" s="606"/>
      <c r="B24" s="1961" t="str">
        <f>'Вывод расчетов'!$AK$9</f>
        <v>Раздел 1</v>
      </c>
      <c r="C24" s="1961"/>
      <c r="D24" s="1961"/>
      <c r="E24" s="606"/>
      <c r="F24" s="1961" t="str">
        <f>'Вывод расчетов'!$AN$9</f>
        <v>Определение главных размеров асинхронного двигателя</v>
      </c>
      <c r="G24" s="1961"/>
      <c r="H24" s="1961"/>
      <c r="I24" s="1961"/>
      <c r="J24" s="1961"/>
      <c r="K24" s="1961"/>
      <c r="L24" s="1961"/>
      <c r="M24" s="1961"/>
      <c r="N24" s="1961"/>
      <c r="O24" s="1961"/>
      <c r="P24" s="1961"/>
      <c r="Q24" s="1961"/>
      <c r="R24" s="1961"/>
      <c r="S24" s="1961"/>
      <c r="T24" s="1961"/>
      <c r="U24" s="1961"/>
      <c r="V24" s="1961"/>
      <c r="W24" s="1961"/>
      <c r="X24" s="606"/>
      <c r="Y24" s="1961" t="s">
        <v>1502</v>
      </c>
      <c r="Z24" s="1961"/>
      <c r="AA24" s="1961"/>
      <c r="AB24" s="606"/>
      <c r="AC24" s="1961">
        <v>1</v>
      </c>
      <c r="AD24" s="1961"/>
      <c r="AE24" s="606"/>
      <c r="AF24" s="439"/>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40"/>
      <c r="BE24" s="439"/>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40"/>
      <c r="CD24" s="439"/>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40"/>
      <c r="DC24" s="439"/>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40"/>
      <c r="EB24" s="439"/>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40"/>
      <c r="FA24" s="439"/>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40"/>
      <c r="FZ24" s="439"/>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40"/>
      <c r="GY24" s="439"/>
      <c r="GZ24" s="436"/>
      <c r="HA24" s="436"/>
      <c r="HB24" s="436"/>
      <c r="HC24" s="436"/>
      <c r="HD24" s="436"/>
      <c r="HE24" s="436"/>
      <c r="HF24" s="436"/>
      <c r="HG24" s="436"/>
      <c r="HH24" s="436"/>
      <c r="HI24" s="436"/>
      <c r="HJ24" s="436"/>
      <c r="HK24" s="436"/>
      <c r="HL24" s="436"/>
      <c r="HM24" s="436"/>
      <c r="HN24" s="436"/>
      <c r="HO24" s="436"/>
      <c r="HP24" s="436"/>
      <c r="HQ24" s="436"/>
      <c r="HR24" s="436"/>
      <c r="HS24" s="436"/>
      <c r="HT24" s="436"/>
      <c r="HU24" s="436"/>
      <c r="HV24" s="436"/>
      <c r="HW24" s="440"/>
    </row>
    <row r="25" spans="1:231" ht="24" customHeight="1" thickBot="1">
      <c r="A25" s="1990" t="s">
        <v>1230</v>
      </c>
      <c r="B25" s="1991"/>
      <c r="C25" s="1991"/>
      <c r="D25" s="1991"/>
      <c r="E25" s="1991"/>
      <c r="F25" s="1991"/>
      <c r="G25" s="1991"/>
      <c r="H25" s="1991"/>
      <c r="I25" s="1991"/>
      <c r="J25" s="1991"/>
      <c r="K25" s="1991"/>
      <c r="L25" s="1991"/>
      <c r="M25" s="1991"/>
      <c r="N25" s="1991"/>
      <c r="O25" s="1991"/>
      <c r="P25" s="1991"/>
      <c r="Q25" s="1991"/>
      <c r="R25" s="1991"/>
      <c r="S25" s="1991"/>
      <c r="T25" s="1991"/>
      <c r="U25" s="1991"/>
      <c r="V25" s="1991"/>
      <c r="W25" s="1991"/>
      <c r="X25" s="1991"/>
      <c r="Y25" s="1991"/>
      <c r="Z25" s="1992"/>
      <c r="AA25" s="436"/>
      <c r="AB25" s="436"/>
      <c r="AC25" s="436"/>
      <c r="AD25" s="436"/>
      <c r="AE25" s="436"/>
      <c r="AF25" s="439"/>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40"/>
      <c r="BE25" s="439"/>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40"/>
      <c r="CD25" s="439"/>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40"/>
      <c r="DC25" s="439"/>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40"/>
      <c r="EB25" s="439"/>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40"/>
      <c r="FA25" s="439"/>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40"/>
      <c r="FZ25" s="439"/>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40"/>
      <c r="GY25" s="439"/>
      <c r="GZ25" s="436"/>
      <c r="HA25" s="436"/>
      <c r="HB25" s="436"/>
      <c r="HC25" s="436"/>
      <c r="HD25" s="436"/>
      <c r="HE25" s="436"/>
      <c r="HF25" s="436"/>
      <c r="HG25" s="436"/>
      <c r="HH25" s="436"/>
      <c r="HI25" s="436"/>
      <c r="HJ25" s="436"/>
      <c r="HK25" s="436"/>
      <c r="HL25" s="436"/>
      <c r="HM25" s="436"/>
      <c r="HN25" s="436"/>
      <c r="HO25" s="436"/>
      <c r="HP25" s="436"/>
      <c r="HQ25" s="436"/>
      <c r="HR25" s="436"/>
      <c r="HS25" s="436"/>
      <c r="HT25" s="436"/>
      <c r="HU25" s="436"/>
      <c r="HV25" s="436"/>
      <c r="HW25" s="440"/>
    </row>
    <row r="26" spans="1:231" ht="24" customHeight="1">
      <c r="A26" s="439"/>
      <c r="B26" s="436"/>
      <c r="C26" s="436"/>
      <c r="D26" s="436"/>
      <c r="E26" s="436"/>
      <c r="F26" s="436"/>
      <c r="G26" s="436"/>
      <c r="H26" s="436"/>
      <c r="I26" s="436"/>
      <c r="J26" s="436"/>
      <c r="K26" s="436"/>
      <c r="L26" s="436"/>
      <c r="M26" s="436"/>
      <c r="N26" s="436"/>
      <c r="O26" s="436"/>
      <c r="P26" s="436"/>
      <c r="Q26" s="436"/>
      <c r="R26" s="436"/>
      <c r="S26" s="436"/>
      <c r="T26" s="436"/>
      <c r="U26" s="436"/>
      <c r="V26" s="436"/>
      <c r="W26" s="436"/>
      <c r="X26" s="436"/>
      <c r="Y26" s="436"/>
      <c r="Z26" s="440"/>
      <c r="AA26" s="436"/>
      <c r="AB26" s="436"/>
      <c r="AC26" s="436"/>
      <c r="AD26" s="436"/>
      <c r="AE26" s="436"/>
      <c r="AF26" s="439"/>
      <c r="AG26" s="436"/>
      <c r="AH26" s="436"/>
      <c r="AI26" s="436"/>
      <c r="AJ26" s="436"/>
      <c r="AK26" s="436"/>
      <c r="AL26" s="436"/>
      <c r="AM26" s="436"/>
      <c r="AN26" s="436"/>
      <c r="AO26" s="436"/>
      <c r="AP26" s="436"/>
      <c r="AQ26" s="436"/>
      <c r="AR26" s="436"/>
      <c r="AS26" s="436"/>
      <c r="AT26" s="436"/>
      <c r="AU26" s="436"/>
      <c r="AV26" s="436"/>
      <c r="AW26" s="436"/>
      <c r="AX26" s="436"/>
      <c r="AY26" s="436"/>
      <c r="AZ26" s="436"/>
      <c r="BA26" s="436"/>
      <c r="BB26" s="436"/>
      <c r="BC26" s="436"/>
      <c r="BD26" s="440"/>
      <c r="BE26" s="439"/>
      <c r="BF26" s="436"/>
      <c r="BG26" s="436"/>
      <c r="BH26" s="436"/>
      <c r="BI26" s="436"/>
      <c r="BJ26" s="436"/>
      <c r="BK26" s="436"/>
      <c r="BL26" s="436"/>
      <c r="BM26" s="436"/>
      <c r="BN26" s="436"/>
      <c r="BO26" s="436"/>
      <c r="BP26" s="436"/>
      <c r="BQ26" s="436"/>
      <c r="BR26" s="436"/>
      <c r="BS26" s="436"/>
      <c r="BT26" s="436"/>
      <c r="BU26" s="436"/>
      <c r="BV26" s="436"/>
      <c r="BW26" s="436"/>
      <c r="BX26" s="436"/>
      <c r="BY26" s="436"/>
      <c r="BZ26" s="436"/>
      <c r="CA26" s="436"/>
      <c r="CB26" s="436"/>
      <c r="CC26" s="440"/>
      <c r="CD26" s="439"/>
      <c r="CE26" s="436"/>
      <c r="CF26" s="436"/>
      <c r="CG26" s="436"/>
      <c r="CH26" s="436"/>
      <c r="CI26" s="436"/>
      <c r="CJ26" s="436"/>
      <c r="CK26" s="436"/>
      <c r="CL26" s="436"/>
      <c r="CM26" s="436"/>
      <c r="CN26" s="436"/>
      <c r="CO26" s="436"/>
      <c r="CP26" s="436"/>
      <c r="CQ26" s="436"/>
      <c r="CR26" s="436"/>
      <c r="CS26" s="436"/>
      <c r="CT26" s="436"/>
      <c r="CU26" s="436"/>
      <c r="CV26" s="436"/>
      <c r="CW26" s="436"/>
      <c r="CX26" s="436"/>
      <c r="CY26" s="436"/>
      <c r="CZ26" s="436"/>
      <c r="DA26" s="436"/>
      <c r="DB26" s="440"/>
      <c r="DC26" s="439"/>
      <c r="DD26" s="436"/>
      <c r="DE26" s="436"/>
      <c r="DF26" s="436"/>
      <c r="DG26" s="436"/>
      <c r="DH26" s="436"/>
      <c r="DI26" s="436"/>
      <c r="DJ26" s="436"/>
      <c r="DK26" s="436"/>
      <c r="DL26" s="436"/>
      <c r="DM26" s="436"/>
      <c r="DN26" s="436"/>
      <c r="DO26" s="436"/>
      <c r="DP26" s="436"/>
      <c r="DQ26" s="436"/>
      <c r="DR26" s="436"/>
      <c r="DS26" s="436"/>
      <c r="DT26" s="436"/>
      <c r="DU26" s="436"/>
      <c r="DV26" s="436"/>
      <c r="DW26" s="436"/>
      <c r="DX26" s="436"/>
      <c r="DY26" s="436"/>
      <c r="DZ26" s="436"/>
      <c r="EA26" s="440"/>
      <c r="EB26" s="439"/>
      <c r="EC26" s="436"/>
      <c r="ED26" s="436"/>
      <c r="EE26" s="436"/>
      <c r="EF26" s="436"/>
      <c r="EG26" s="436"/>
      <c r="EH26" s="436"/>
      <c r="EI26" s="436"/>
      <c r="EJ26" s="436"/>
      <c r="EK26" s="436"/>
      <c r="EL26" s="436"/>
      <c r="EM26" s="436"/>
      <c r="EN26" s="436"/>
      <c r="EO26" s="436"/>
      <c r="EP26" s="436"/>
      <c r="EQ26" s="436"/>
      <c r="ER26" s="436"/>
      <c r="ES26" s="436"/>
      <c r="ET26" s="436"/>
      <c r="EU26" s="436"/>
      <c r="EV26" s="436"/>
      <c r="EW26" s="436"/>
      <c r="EX26" s="436"/>
      <c r="EY26" s="436"/>
      <c r="EZ26" s="440"/>
      <c r="FA26" s="439"/>
      <c r="FB26" s="436"/>
      <c r="FC26" s="436"/>
      <c r="FD26" s="436"/>
      <c r="FE26" s="436"/>
      <c r="FF26" s="436"/>
      <c r="FG26" s="436"/>
      <c r="FH26" s="436"/>
      <c r="FI26" s="436"/>
      <c r="FJ26" s="436"/>
      <c r="FK26" s="436"/>
      <c r="FL26" s="436"/>
      <c r="FM26" s="436"/>
      <c r="FN26" s="436"/>
      <c r="FO26" s="436"/>
      <c r="FP26" s="436"/>
      <c r="FQ26" s="436"/>
      <c r="FR26" s="436"/>
      <c r="FS26" s="436"/>
      <c r="FT26" s="436"/>
      <c r="FU26" s="436"/>
      <c r="FV26" s="436"/>
      <c r="FW26" s="436"/>
      <c r="FX26" s="436"/>
      <c r="FY26" s="440"/>
      <c r="FZ26" s="439"/>
      <c r="GA26" s="436"/>
      <c r="GB26" s="436"/>
      <c r="GC26" s="436"/>
      <c r="GD26" s="436"/>
      <c r="GE26" s="436"/>
      <c r="GF26" s="436"/>
      <c r="GG26" s="436"/>
      <c r="GH26" s="436"/>
      <c r="GI26" s="436"/>
      <c r="GJ26" s="436"/>
      <c r="GK26" s="436"/>
      <c r="GL26" s="436"/>
      <c r="GM26" s="436"/>
      <c r="GN26" s="436"/>
      <c r="GO26" s="436"/>
      <c r="GP26" s="436"/>
      <c r="GQ26" s="436"/>
      <c r="GR26" s="436"/>
      <c r="GS26" s="436"/>
      <c r="GT26" s="436"/>
      <c r="GU26" s="436"/>
      <c r="GV26" s="436"/>
      <c r="GW26" s="436"/>
      <c r="GX26" s="440"/>
      <c r="GY26" s="439"/>
      <c r="GZ26" s="436"/>
      <c r="HA26" s="436"/>
      <c r="HB26" s="436"/>
      <c r="HC26" s="436"/>
      <c r="HD26" s="436"/>
      <c r="HE26" s="436"/>
      <c r="HF26" s="436"/>
      <c r="HG26" s="436"/>
      <c r="HH26" s="436"/>
      <c r="HI26" s="436"/>
      <c r="HJ26" s="436"/>
      <c r="HK26" s="436"/>
      <c r="HL26" s="436"/>
      <c r="HM26" s="436"/>
      <c r="HN26" s="436"/>
      <c r="HO26" s="436"/>
      <c r="HP26" s="436"/>
      <c r="HQ26" s="436"/>
      <c r="HR26" s="436"/>
      <c r="HS26" s="436"/>
      <c r="HT26" s="436"/>
      <c r="HU26" s="436"/>
      <c r="HV26" s="436"/>
      <c r="HW26" s="440"/>
    </row>
    <row r="27" spans="1:231" ht="24" customHeight="1">
      <c r="A27" s="439"/>
      <c r="B27" s="436"/>
      <c r="C27" s="436"/>
      <c r="D27" s="436"/>
      <c r="E27" s="436"/>
      <c r="F27" s="436"/>
      <c r="G27" s="436"/>
      <c r="H27" s="436"/>
      <c r="I27" s="436"/>
      <c r="J27" s="436"/>
      <c r="K27" s="436"/>
      <c r="L27" s="436"/>
      <c r="M27" s="436"/>
      <c r="N27" s="436"/>
      <c r="O27" s="436"/>
      <c r="P27" s="436"/>
      <c r="Q27" s="436"/>
      <c r="R27" s="436"/>
      <c r="S27" s="436"/>
      <c r="T27" s="436"/>
      <c r="U27" s="436"/>
      <c r="V27" s="436"/>
      <c r="W27" s="436"/>
      <c r="X27" s="436"/>
      <c r="Y27" s="436"/>
      <c r="Z27" s="440"/>
      <c r="AA27" s="436"/>
      <c r="AB27" s="436"/>
      <c r="AC27" s="436"/>
      <c r="AD27" s="436"/>
      <c r="AE27" s="436"/>
      <c r="AF27" s="439"/>
      <c r="AG27" s="436"/>
      <c r="AH27" s="436"/>
      <c r="AI27" s="436"/>
      <c r="AJ27" s="436"/>
      <c r="AK27" s="436"/>
      <c r="AL27" s="436"/>
      <c r="AM27" s="436"/>
      <c r="AN27" s="436"/>
      <c r="AO27" s="436"/>
      <c r="AP27" s="436"/>
      <c r="AQ27" s="436"/>
      <c r="AR27" s="436"/>
      <c r="AS27" s="436"/>
      <c r="AT27" s="436"/>
      <c r="AU27" s="436"/>
      <c r="AV27" s="436"/>
      <c r="AW27" s="436"/>
      <c r="AX27" s="436"/>
      <c r="AY27" s="436"/>
      <c r="AZ27" s="436"/>
      <c r="BA27" s="436"/>
      <c r="BB27" s="436"/>
      <c r="BC27" s="436"/>
      <c r="BD27" s="440"/>
      <c r="BE27" s="439"/>
      <c r="BF27" s="436"/>
      <c r="BG27" s="436"/>
      <c r="BH27" s="436"/>
      <c r="BI27" s="436"/>
      <c r="BJ27" s="436"/>
      <c r="BK27" s="436"/>
      <c r="BL27" s="436"/>
      <c r="BM27" s="436"/>
      <c r="BN27" s="436"/>
      <c r="BO27" s="436"/>
      <c r="BP27" s="436"/>
      <c r="BQ27" s="436"/>
      <c r="BR27" s="436"/>
      <c r="BS27" s="436"/>
      <c r="BT27" s="436"/>
      <c r="BU27" s="436"/>
      <c r="BV27" s="436"/>
      <c r="BW27" s="436"/>
      <c r="BX27" s="436"/>
      <c r="BY27" s="436"/>
      <c r="BZ27" s="436"/>
      <c r="CA27" s="436"/>
      <c r="CB27" s="436"/>
      <c r="CC27" s="440"/>
      <c r="CD27" s="439"/>
      <c r="CE27" s="436"/>
      <c r="CF27" s="436"/>
      <c r="CG27" s="436"/>
      <c r="CH27" s="436"/>
      <c r="CI27" s="436"/>
      <c r="CJ27" s="436"/>
      <c r="CK27" s="436"/>
      <c r="CL27" s="436"/>
      <c r="CM27" s="436"/>
      <c r="CN27" s="436"/>
      <c r="CO27" s="436"/>
      <c r="CP27" s="436"/>
      <c r="CQ27" s="436"/>
      <c r="CR27" s="436"/>
      <c r="CS27" s="436"/>
      <c r="CT27" s="436"/>
      <c r="CU27" s="436"/>
      <c r="CV27" s="436"/>
      <c r="CW27" s="436"/>
      <c r="CX27" s="436"/>
      <c r="CY27" s="436"/>
      <c r="CZ27" s="436"/>
      <c r="DA27" s="436"/>
      <c r="DB27" s="440"/>
      <c r="DC27" s="439"/>
      <c r="DD27" s="436"/>
      <c r="DE27" s="436"/>
      <c r="DF27" s="436"/>
      <c r="DG27" s="436"/>
      <c r="DH27" s="436"/>
      <c r="DI27" s="436"/>
      <c r="DJ27" s="436"/>
      <c r="DK27" s="436"/>
      <c r="DL27" s="436"/>
      <c r="DM27" s="436"/>
      <c r="DN27" s="436"/>
      <c r="DO27" s="436"/>
      <c r="DP27" s="436"/>
      <c r="DQ27" s="436"/>
      <c r="DR27" s="436"/>
      <c r="DS27" s="436"/>
      <c r="DT27" s="436"/>
      <c r="DU27" s="436"/>
      <c r="DV27" s="436"/>
      <c r="DW27" s="436"/>
      <c r="DX27" s="436"/>
      <c r="DY27" s="436"/>
      <c r="DZ27" s="436"/>
      <c r="EA27" s="440"/>
      <c r="EB27" s="439"/>
      <c r="EC27" s="436"/>
      <c r="ED27" s="436"/>
      <c r="EE27" s="436"/>
      <c r="EF27" s="436"/>
      <c r="EG27" s="436"/>
      <c r="EH27" s="436"/>
      <c r="EI27" s="436"/>
      <c r="EJ27" s="436"/>
      <c r="EK27" s="436"/>
      <c r="EL27" s="436"/>
      <c r="EM27" s="436"/>
      <c r="EN27" s="436"/>
      <c r="EO27" s="436"/>
      <c r="EP27" s="436"/>
      <c r="EQ27" s="436"/>
      <c r="ER27" s="436"/>
      <c r="ES27" s="436"/>
      <c r="ET27" s="436"/>
      <c r="EU27" s="436"/>
      <c r="EV27" s="436"/>
      <c r="EW27" s="436"/>
      <c r="EX27" s="436"/>
      <c r="EY27" s="436"/>
      <c r="EZ27" s="440"/>
      <c r="FA27" s="439"/>
      <c r="FB27" s="436"/>
      <c r="FC27" s="436"/>
      <c r="FD27" s="436"/>
      <c r="FE27" s="436"/>
      <c r="FF27" s="436"/>
      <c r="FG27" s="436"/>
      <c r="FH27" s="436"/>
      <c r="FI27" s="436"/>
      <c r="FJ27" s="436"/>
      <c r="FK27" s="436"/>
      <c r="FL27" s="436"/>
      <c r="FM27" s="436"/>
      <c r="FN27" s="436"/>
      <c r="FO27" s="436"/>
      <c r="FP27" s="436"/>
      <c r="FQ27" s="436"/>
      <c r="FR27" s="436"/>
      <c r="FS27" s="436"/>
      <c r="FT27" s="436"/>
      <c r="FU27" s="436"/>
      <c r="FV27" s="436"/>
      <c r="FW27" s="436"/>
      <c r="FX27" s="436"/>
      <c r="FY27" s="440"/>
      <c r="FZ27" s="439"/>
      <c r="GA27" s="436"/>
      <c r="GB27" s="436"/>
      <c r="GC27" s="436"/>
      <c r="GD27" s="436"/>
      <c r="GE27" s="436"/>
      <c r="GF27" s="436"/>
      <c r="GG27" s="436"/>
      <c r="GH27" s="436"/>
      <c r="GI27" s="436"/>
      <c r="GJ27" s="436"/>
      <c r="GK27" s="436"/>
      <c r="GL27" s="436"/>
      <c r="GM27" s="436"/>
      <c r="GN27" s="436"/>
      <c r="GO27" s="436"/>
      <c r="GP27" s="436"/>
      <c r="GQ27" s="436"/>
      <c r="GR27" s="436"/>
      <c r="GS27" s="436"/>
      <c r="GT27" s="436"/>
      <c r="GU27" s="436"/>
      <c r="GV27" s="436"/>
      <c r="GW27" s="436"/>
      <c r="GX27" s="440"/>
      <c r="GY27" s="439"/>
      <c r="GZ27" s="436"/>
      <c r="HA27" s="436"/>
      <c r="HB27" s="436"/>
      <c r="HC27" s="436"/>
      <c r="HD27" s="436"/>
      <c r="HE27" s="436"/>
      <c r="HF27" s="436"/>
      <c r="HG27" s="436"/>
      <c r="HH27" s="436"/>
      <c r="HI27" s="436"/>
      <c r="HJ27" s="436"/>
      <c r="HK27" s="436"/>
      <c r="HL27" s="436"/>
      <c r="HM27" s="436"/>
      <c r="HN27" s="436"/>
      <c r="HO27" s="436"/>
      <c r="HP27" s="436"/>
      <c r="HQ27" s="436"/>
      <c r="HR27" s="436"/>
      <c r="HS27" s="436"/>
      <c r="HT27" s="436"/>
      <c r="HU27" s="436"/>
      <c r="HV27" s="436"/>
      <c r="HW27" s="440"/>
    </row>
    <row r="28" spans="1:231" ht="24" customHeight="1">
      <c r="A28" s="439"/>
      <c r="B28" s="436"/>
      <c r="C28" s="436"/>
      <c r="D28" s="436"/>
      <c r="E28" s="436"/>
      <c r="F28" s="436"/>
      <c r="G28" s="436"/>
      <c r="H28" s="436"/>
      <c r="I28" s="436"/>
      <c r="J28" s="436"/>
      <c r="K28" s="436"/>
      <c r="L28" s="436"/>
      <c r="M28" s="436"/>
      <c r="N28" s="436"/>
      <c r="O28" s="436"/>
      <c r="P28" s="436"/>
      <c r="Q28" s="436"/>
      <c r="R28" s="436"/>
      <c r="S28" s="436"/>
      <c r="T28" s="436"/>
      <c r="U28" s="436"/>
      <c r="V28" s="436"/>
      <c r="W28" s="436"/>
      <c r="X28" s="436"/>
      <c r="Y28" s="436"/>
      <c r="Z28" s="440"/>
      <c r="AA28" s="436"/>
      <c r="AB28" s="436"/>
      <c r="AC28" s="436"/>
      <c r="AD28" s="436"/>
      <c r="AE28" s="436"/>
      <c r="AF28" s="439"/>
      <c r="AG28" s="436"/>
      <c r="AH28" s="436"/>
      <c r="AI28" s="436"/>
      <c r="AJ28" s="436"/>
      <c r="AK28" s="436"/>
      <c r="AL28" s="436"/>
      <c r="AM28" s="436"/>
      <c r="AN28" s="436"/>
      <c r="AO28" s="436"/>
      <c r="AP28" s="436"/>
      <c r="AQ28" s="436"/>
      <c r="AR28" s="436"/>
      <c r="AS28" s="436"/>
      <c r="AT28" s="436"/>
      <c r="AU28" s="436"/>
      <c r="AV28" s="436"/>
      <c r="AW28" s="436"/>
      <c r="AX28" s="436"/>
      <c r="AY28" s="436"/>
      <c r="AZ28" s="436"/>
      <c r="BA28" s="436"/>
      <c r="BB28" s="436"/>
      <c r="BC28" s="436"/>
      <c r="BD28" s="440"/>
      <c r="BE28" s="439"/>
      <c r="BF28" s="436"/>
      <c r="BG28" s="436"/>
      <c r="BH28" s="436"/>
      <c r="BI28" s="436"/>
      <c r="BJ28" s="436"/>
      <c r="BK28" s="436"/>
      <c r="BL28" s="436"/>
      <c r="BM28" s="436"/>
      <c r="BN28" s="436"/>
      <c r="BO28" s="436"/>
      <c r="BP28" s="436"/>
      <c r="BQ28" s="436"/>
      <c r="BR28" s="436"/>
      <c r="BS28" s="436"/>
      <c r="BT28" s="436"/>
      <c r="BU28" s="436"/>
      <c r="BV28" s="436"/>
      <c r="BW28" s="436"/>
      <c r="BX28" s="436"/>
      <c r="BY28" s="436"/>
      <c r="BZ28" s="436"/>
      <c r="CA28" s="436"/>
      <c r="CB28" s="436"/>
      <c r="CC28" s="440"/>
      <c r="CD28" s="439"/>
      <c r="CE28" s="436"/>
      <c r="CF28" s="436"/>
      <c r="CG28" s="436"/>
      <c r="CH28" s="436"/>
      <c r="CI28" s="436"/>
      <c r="CJ28" s="436"/>
      <c r="CK28" s="436"/>
      <c r="CL28" s="436"/>
      <c r="CM28" s="436"/>
      <c r="CN28" s="436"/>
      <c r="CO28" s="436"/>
      <c r="CP28" s="436"/>
      <c r="CQ28" s="436"/>
      <c r="CR28" s="436"/>
      <c r="CS28" s="436"/>
      <c r="CT28" s="436"/>
      <c r="CU28" s="436"/>
      <c r="CV28" s="436"/>
      <c r="CW28" s="436"/>
      <c r="CX28" s="436"/>
      <c r="CY28" s="436"/>
      <c r="CZ28" s="436"/>
      <c r="DA28" s="436"/>
      <c r="DB28" s="440"/>
      <c r="DC28" s="439"/>
      <c r="DD28" s="436"/>
      <c r="DE28" s="436"/>
      <c r="DF28" s="436"/>
      <c r="DG28" s="436"/>
      <c r="DH28" s="436"/>
      <c r="DI28" s="436"/>
      <c r="DJ28" s="436"/>
      <c r="DK28" s="436"/>
      <c r="DL28" s="436"/>
      <c r="DM28" s="436"/>
      <c r="DN28" s="436"/>
      <c r="DO28" s="436"/>
      <c r="DP28" s="436"/>
      <c r="DQ28" s="436"/>
      <c r="DR28" s="436"/>
      <c r="DS28" s="436"/>
      <c r="DT28" s="436"/>
      <c r="DU28" s="436"/>
      <c r="DV28" s="436"/>
      <c r="DW28" s="436"/>
      <c r="DX28" s="436"/>
      <c r="DY28" s="436"/>
      <c r="DZ28" s="436"/>
      <c r="EA28" s="440"/>
      <c r="EB28" s="439"/>
      <c r="EC28" s="436"/>
      <c r="ED28" s="436"/>
      <c r="EE28" s="436"/>
      <c r="EF28" s="436"/>
      <c r="EG28" s="436"/>
      <c r="EH28" s="436"/>
      <c r="EI28" s="436"/>
      <c r="EJ28" s="436"/>
      <c r="EK28" s="436"/>
      <c r="EL28" s="436"/>
      <c r="EM28" s="436"/>
      <c r="EN28" s="436"/>
      <c r="EO28" s="436"/>
      <c r="EP28" s="436"/>
      <c r="EQ28" s="436"/>
      <c r="ER28" s="436"/>
      <c r="ES28" s="436"/>
      <c r="ET28" s="436"/>
      <c r="EU28" s="436"/>
      <c r="EV28" s="436"/>
      <c r="EW28" s="436"/>
      <c r="EX28" s="436"/>
      <c r="EY28" s="436"/>
      <c r="EZ28" s="440"/>
      <c r="FA28" s="439"/>
      <c r="FB28" s="436"/>
      <c r="FC28" s="436"/>
      <c r="FD28" s="436"/>
      <c r="FE28" s="436"/>
      <c r="FF28" s="436"/>
      <c r="FG28" s="436"/>
      <c r="FH28" s="436"/>
      <c r="FI28" s="436"/>
      <c r="FJ28" s="436"/>
      <c r="FK28" s="436"/>
      <c r="FL28" s="436"/>
      <c r="FM28" s="436"/>
      <c r="FN28" s="436"/>
      <c r="FO28" s="436"/>
      <c r="FP28" s="436"/>
      <c r="FQ28" s="436"/>
      <c r="FR28" s="436"/>
      <c r="FS28" s="436"/>
      <c r="FT28" s="436"/>
      <c r="FU28" s="436"/>
      <c r="FV28" s="436"/>
      <c r="FW28" s="436"/>
      <c r="FX28" s="436"/>
      <c r="FY28" s="440"/>
      <c r="FZ28" s="439"/>
      <c r="GA28" s="436"/>
      <c r="GB28" s="436"/>
      <c r="GC28" s="436"/>
      <c r="GD28" s="436"/>
      <c r="GE28" s="436"/>
      <c r="GF28" s="436"/>
      <c r="GG28" s="436"/>
      <c r="GH28" s="436"/>
      <c r="GI28" s="436"/>
      <c r="GJ28" s="436"/>
      <c r="GK28" s="436"/>
      <c r="GL28" s="436"/>
      <c r="GM28" s="436"/>
      <c r="GN28" s="436"/>
      <c r="GO28" s="436"/>
      <c r="GP28" s="436"/>
      <c r="GQ28" s="436"/>
      <c r="GR28" s="436"/>
      <c r="GS28" s="436"/>
      <c r="GT28" s="436"/>
      <c r="GU28" s="436"/>
      <c r="GV28" s="436"/>
      <c r="GW28" s="436"/>
      <c r="GX28" s="440"/>
      <c r="GY28" s="439"/>
      <c r="GZ28" s="436"/>
      <c r="HA28" s="436"/>
      <c r="HB28" s="436"/>
      <c r="HC28" s="436"/>
      <c r="HD28" s="436"/>
      <c r="HE28" s="436"/>
      <c r="HF28" s="436"/>
      <c r="HG28" s="436"/>
      <c r="HH28" s="436"/>
      <c r="HI28" s="436"/>
      <c r="HJ28" s="436"/>
      <c r="HK28" s="436"/>
      <c r="HL28" s="436"/>
      <c r="HM28" s="436"/>
      <c r="HN28" s="436"/>
      <c r="HO28" s="436"/>
      <c r="HP28" s="436"/>
      <c r="HQ28" s="436"/>
      <c r="HR28" s="436"/>
      <c r="HS28" s="436"/>
      <c r="HT28" s="436"/>
      <c r="HU28" s="436"/>
      <c r="HV28" s="436"/>
      <c r="HW28" s="440"/>
    </row>
    <row r="29" spans="1:231" ht="24" customHeight="1">
      <c r="A29" s="439"/>
      <c r="B29" s="436"/>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40"/>
      <c r="AA29" s="436"/>
      <c r="AB29" s="436"/>
      <c r="AC29" s="436"/>
      <c r="AD29" s="436"/>
      <c r="AE29" s="436"/>
      <c r="AF29" s="439"/>
      <c r="AG29" s="436"/>
      <c r="AH29" s="436"/>
      <c r="AI29" s="436"/>
      <c r="AJ29" s="436"/>
      <c r="AK29" s="436"/>
      <c r="AL29" s="436"/>
      <c r="AM29" s="436"/>
      <c r="AN29" s="436"/>
      <c r="AO29" s="436"/>
      <c r="AP29" s="436"/>
      <c r="AQ29" s="436"/>
      <c r="AR29" s="436"/>
      <c r="AS29" s="436"/>
      <c r="AT29" s="436"/>
      <c r="AU29" s="436"/>
      <c r="AV29" s="436"/>
      <c r="AW29" s="436"/>
      <c r="AX29" s="436"/>
      <c r="AY29" s="436"/>
      <c r="AZ29" s="436"/>
      <c r="BA29" s="436"/>
      <c r="BB29" s="436"/>
      <c r="BC29" s="436"/>
      <c r="BD29" s="440"/>
      <c r="BE29" s="439"/>
      <c r="BF29" s="436"/>
      <c r="BG29" s="436"/>
      <c r="BH29" s="436"/>
      <c r="BI29" s="436"/>
      <c r="BJ29" s="436"/>
      <c r="BK29" s="436"/>
      <c r="BL29" s="436"/>
      <c r="BM29" s="436"/>
      <c r="BN29" s="436"/>
      <c r="BO29" s="436"/>
      <c r="BP29" s="436"/>
      <c r="BQ29" s="436"/>
      <c r="BR29" s="436"/>
      <c r="BS29" s="436"/>
      <c r="BT29" s="436"/>
      <c r="BU29" s="436"/>
      <c r="BV29" s="436"/>
      <c r="BW29" s="436"/>
      <c r="BX29" s="436"/>
      <c r="BY29" s="436"/>
      <c r="BZ29" s="436"/>
      <c r="CA29" s="436"/>
      <c r="CB29" s="436"/>
      <c r="CC29" s="440"/>
      <c r="CD29" s="439"/>
      <c r="CE29" s="436"/>
      <c r="CF29" s="436"/>
      <c r="CG29" s="436"/>
      <c r="CH29" s="436"/>
      <c r="CI29" s="436"/>
      <c r="CJ29" s="436"/>
      <c r="CK29" s="436"/>
      <c r="CL29" s="436"/>
      <c r="CM29" s="436"/>
      <c r="CN29" s="436"/>
      <c r="CO29" s="436"/>
      <c r="CP29" s="436"/>
      <c r="CQ29" s="436"/>
      <c r="CR29" s="436"/>
      <c r="CS29" s="436"/>
      <c r="CT29" s="436"/>
      <c r="CU29" s="436"/>
      <c r="CV29" s="436"/>
      <c r="CW29" s="436"/>
      <c r="CX29" s="436"/>
      <c r="CY29" s="436"/>
      <c r="CZ29" s="436"/>
      <c r="DA29" s="436"/>
      <c r="DB29" s="440"/>
      <c r="DC29" s="439"/>
      <c r="DD29" s="436"/>
      <c r="DE29" s="436"/>
      <c r="DF29" s="436"/>
      <c r="DG29" s="436"/>
      <c r="DH29" s="436"/>
      <c r="DI29" s="436"/>
      <c r="DJ29" s="436"/>
      <c r="DK29" s="436"/>
      <c r="DL29" s="436"/>
      <c r="DM29" s="436"/>
      <c r="DN29" s="436"/>
      <c r="DO29" s="436"/>
      <c r="DP29" s="436"/>
      <c r="DQ29" s="436"/>
      <c r="DR29" s="436"/>
      <c r="DS29" s="436"/>
      <c r="DT29" s="436"/>
      <c r="DU29" s="436"/>
      <c r="DV29" s="436"/>
      <c r="DW29" s="436"/>
      <c r="DX29" s="436"/>
      <c r="DY29" s="436"/>
      <c r="DZ29" s="436"/>
      <c r="EA29" s="440"/>
      <c r="EB29" s="439"/>
      <c r="EC29" s="436"/>
      <c r="ED29" s="436"/>
      <c r="EE29" s="436"/>
      <c r="EF29" s="436"/>
      <c r="EG29" s="436"/>
      <c r="EH29" s="436"/>
      <c r="EI29" s="436"/>
      <c r="EJ29" s="436"/>
      <c r="EK29" s="436"/>
      <c r="EL29" s="436"/>
      <c r="EM29" s="436"/>
      <c r="EN29" s="436"/>
      <c r="EO29" s="436"/>
      <c r="EP29" s="436"/>
      <c r="EQ29" s="436"/>
      <c r="ER29" s="436"/>
      <c r="ES29" s="436"/>
      <c r="ET29" s="436"/>
      <c r="EU29" s="436"/>
      <c r="EV29" s="436"/>
      <c r="EW29" s="436"/>
      <c r="EX29" s="436"/>
      <c r="EY29" s="436"/>
      <c r="EZ29" s="440"/>
      <c r="FA29" s="439"/>
      <c r="FB29" s="436"/>
      <c r="FC29" s="436"/>
      <c r="FD29" s="436"/>
      <c r="FE29" s="436"/>
      <c r="FF29" s="436"/>
      <c r="FG29" s="436"/>
      <c r="FH29" s="436"/>
      <c r="FI29" s="436"/>
      <c r="FJ29" s="436"/>
      <c r="FK29" s="436"/>
      <c r="FL29" s="436"/>
      <c r="FM29" s="436"/>
      <c r="FN29" s="436"/>
      <c r="FO29" s="436"/>
      <c r="FP29" s="436"/>
      <c r="FQ29" s="436"/>
      <c r="FR29" s="436"/>
      <c r="FS29" s="436"/>
      <c r="FT29" s="436"/>
      <c r="FU29" s="436"/>
      <c r="FV29" s="436"/>
      <c r="FW29" s="436"/>
      <c r="FX29" s="436"/>
      <c r="FY29" s="440"/>
      <c r="FZ29" s="439"/>
      <c r="GA29" s="436"/>
      <c r="GB29" s="436"/>
      <c r="GC29" s="436"/>
      <c r="GD29" s="436"/>
      <c r="GE29" s="436"/>
      <c r="GF29" s="436"/>
      <c r="GG29" s="436"/>
      <c r="GH29" s="436"/>
      <c r="GI29" s="436"/>
      <c r="GJ29" s="436"/>
      <c r="GK29" s="436"/>
      <c r="GL29" s="436"/>
      <c r="GM29" s="436"/>
      <c r="GN29" s="436"/>
      <c r="GO29" s="436"/>
      <c r="GP29" s="436"/>
      <c r="GQ29" s="436"/>
      <c r="GR29" s="436"/>
      <c r="GS29" s="436"/>
      <c r="GT29" s="436"/>
      <c r="GU29" s="436"/>
      <c r="GV29" s="436"/>
      <c r="GW29" s="436"/>
      <c r="GX29" s="440"/>
      <c r="GY29" s="439"/>
      <c r="GZ29" s="436"/>
      <c r="HA29" s="436"/>
      <c r="HB29" s="436"/>
      <c r="HC29" s="436"/>
      <c r="HD29" s="436"/>
      <c r="HE29" s="436"/>
      <c r="HF29" s="436"/>
      <c r="HG29" s="436"/>
      <c r="HH29" s="436"/>
      <c r="HI29" s="436"/>
      <c r="HJ29" s="436"/>
      <c r="HK29" s="436"/>
      <c r="HL29" s="436"/>
      <c r="HM29" s="436"/>
      <c r="HN29" s="436"/>
      <c r="HO29" s="436"/>
      <c r="HP29" s="436"/>
      <c r="HQ29" s="436"/>
      <c r="HR29" s="436"/>
      <c r="HS29" s="436"/>
      <c r="HT29" s="436"/>
      <c r="HU29" s="436"/>
      <c r="HV29" s="436"/>
      <c r="HW29" s="440"/>
    </row>
    <row r="30" spans="1:231" ht="24" customHeight="1">
      <c r="A30" s="439"/>
      <c r="B30" s="436"/>
      <c r="C30" s="436"/>
      <c r="D30" s="436"/>
      <c r="E30" s="436"/>
      <c r="F30" s="436"/>
      <c r="G30" s="436"/>
      <c r="H30" s="436"/>
      <c r="I30" s="436"/>
      <c r="J30" s="436"/>
      <c r="K30" s="436"/>
      <c r="L30" s="436"/>
      <c r="M30" s="436"/>
      <c r="N30" s="436"/>
      <c r="O30" s="436"/>
      <c r="P30" s="436"/>
      <c r="Q30" s="436"/>
      <c r="R30" s="436"/>
      <c r="S30" s="436"/>
      <c r="T30" s="436"/>
      <c r="U30" s="436"/>
      <c r="V30" s="436"/>
      <c r="W30" s="436"/>
      <c r="X30" s="436"/>
      <c r="Y30" s="436"/>
      <c r="Z30" s="440"/>
      <c r="AA30" s="436"/>
      <c r="AB30" s="436"/>
      <c r="AC30" s="436"/>
      <c r="AD30" s="436"/>
      <c r="AE30" s="436"/>
      <c r="AF30" s="439"/>
      <c r="AG30" s="436"/>
      <c r="AH30" s="436"/>
      <c r="AI30" s="436"/>
      <c r="AJ30" s="436"/>
      <c r="AK30" s="436"/>
      <c r="AL30" s="436"/>
      <c r="AM30" s="436"/>
      <c r="AN30" s="436"/>
      <c r="AO30" s="436"/>
      <c r="AP30" s="436"/>
      <c r="AQ30" s="436"/>
      <c r="AR30" s="436"/>
      <c r="AS30" s="436"/>
      <c r="AT30" s="436"/>
      <c r="AU30" s="436"/>
      <c r="AV30" s="436"/>
      <c r="AW30" s="436"/>
      <c r="AX30" s="436"/>
      <c r="AY30" s="436"/>
      <c r="AZ30" s="436"/>
      <c r="BA30" s="436"/>
      <c r="BB30" s="436"/>
      <c r="BC30" s="436"/>
      <c r="BD30" s="440"/>
      <c r="BE30" s="439"/>
      <c r="BF30" s="436"/>
      <c r="BG30" s="436"/>
      <c r="BH30" s="436"/>
      <c r="BI30" s="436"/>
      <c r="BJ30" s="436"/>
      <c r="BK30" s="436"/>
      <c r="BL30" s="436"/>
      <c r="BM30" s="436"/>
      <c r="BN30" s="436"/>
      <c r="BO30" s="436"/>
      <c r="BP30" s="436"/>
      <c r="BQ30" s="436"/>
      <c r="BR30" s="436"/>
      <c r="BS30" s="436"/>
      <c r="BT30" s="436"/>
      <c r="BU30" s="436"/>
      <c r="BV30" s="436"/>
      <c r="BW30" s="436"/>
      <c r="BX30" s="436"/>
      <c r="BY30" s="436"/>
      <c r="BZ30" s="436"/>
      <c r="CA30" s="436"/>
      <c r="CB30" s="436"/>
      <c r="CC30" s="440"/>
      <c r="CD30" s="439"/>
      <c r="CE30" s="436"/>
      <c r="CF30" s="436"/>
      <c r="CG30" s="436"/>
      <c r="CH30" s="436"/>
      <c r="CI30" s="436"/>
      <c r="CJ30" s="436"/>
      <c r="CK30" s="436"/>
      <c r="CL30" s="436"/>
      <c r="CM30" s="436"/>
      <c r="CN30" s="436"/>
      <c r="CO30" s="436"/>
      <c r="CP30" s="436"/>
      <c r="CQ30" s="436"/>
      <c r="CR30" s="436"/>
      <c r="CS30" s="436"/>
      <c r="CT30" s="436"/>
      <c r="CU30" s="436"/>
      <c r="CV30" s="436"/>
      <c r="CW30" s="436"/>
      <c r="CX30" s="436"/>
      <c r="CY30" s="436"/>
      <c r="CZ30" s="436"/>
      <c r="DA30" s="436"/>
      <c r="DB30" s="440"/>
      <c r="DC30" s="439"/>
      <c r="DD30" s="436"/>
      <c r="DE30" s="436"/>
      <c r="DF30" s="436"/>
      <c r="DG30" s="436"/>
      <c r="DH30" s="436"/>
      <c r="DI30" s="436"/>
      <c r="DJ30" s="436"/>
      <c r="DK30" s="436"/>
      <c r="DL30" s="436"/>
      <c r="DM30" s="436"/>
      <c r="DN30" s="436"/>
      <c r="DO30" s="436"/>
      <c r="DP30" s="436"/>
      <c r="DQ30" s="436"/>
      <c r="DR30" s="436"/>
      <c r="DS30" s="436"/>
      <c r="DT30" s="436"/>
      <c r="DU30" s="436"/>
      <c r="DV30" s="436"/>
      <c r="DW30" s="436"/>
      <c r="DX30" s="436"/>
      <c r="DY30" s="436"/>
      <c r="DZ30" s="436"/>
      <c r="EA30" s="440"/>
      <c r="EB30" s="439"/>
      <c r="EC30" s="436"/>
      <c r="ED30" s="436"/>
      <c r="EE30" s="436"/>
      <c r="EF30" s="436"/>
      <c r="EG30" s="436"/>
      <c r="EH30" s="436"/>
      <c r="EI30" s="436"/>
      <c r="EJ30" s="436"/>
      <c r="EK30" s="436"/>
      <c r="EL30" s="436"/>
      <c r="EM30" s="436"/>
      <c r="EN30" s="436"/>
      <c r="EO30" s="436"/>
      <c r="EP30" s="436"/>
      <c r="EQ30" s="436"/>
      <c r="ER30" s="436"/>
      <c r="ES30" s="436"/>
      <c r="ET30" s="436"/>
      <c r="EU30" s="436"/>
      <c r="EV30" s="436"/>
      <c r="EW30" s="436"/>
      <c r="EX30" s="436"/>
      <c r="EY30" s="436"/>
      <c r="EZ30" s="440"/>
      <c r="FA30" s="439"/>
      <c r="FB30" s="436"/>
      <c r="FC30" s="436"/>
      <c r="FD30" s="436"/>
      <c r="FE30" s="436"/>
      <c r="FF30" s="436"/>
      <c r="FG30" s="436"/>
      <c r="FH30" s="436"/>
      <c r="FI30" s="436"/>
      <c r="FJ30" s="436"/>
      <c r="FK30" s="436"/>
      <c r="FL30" s="436"/>
      <c r="FM30" s="436"/>
      <c r="FN30" s="436"/>
      <c r="FO30" s="436"/>
      <c r="FP30" s="436"/>
      <c r="FQ30" s="436"/>
      <c r="FR30" s="436"/>
      <c r="FS30" s="436"/>
      <c r="FT30" s="436"/>
      <c r="FU30" s="436"/>
      <c r="FV30" s="436"/>
      <c r="FW30" s="436"/>
      <c r="FX30" s="436"/>
      <c r="FY30" s="440"/>
      <c r="FZ30" s="439"/>
      <c r="GA30" s="436"/>
      <c r="GB30" s="436"/>
      <c r="GC30" s="436"/>
      <c r="GD30" s="436"/>
      <c r="GE30" s="436"/>
      <c r="GF30" s="436"/>
      <c r="GG30" s="436"/>
      <c r="GH30" s="436"/>
      <c r="GI30" s="436"/>
      <c r="GJ30" s="436"/>
      <c r="GK30" s="436"/>
      <c r="GL30" s="436"/>
      <c r="GM30" s="436"/>
      <c r="GN30" s="436"/>
      <c r="GO30" s="436"/>
      <c r="GP30" s="436"/>
      <c r="GQ30" s="436"/>
      <c r="GR30" s="436"/>
      <c r="GS30" s="436"/>
      <c r="GT30" s="436"/>
      <c r="GU30" s="436"/>
      <c r="GV30" s="436"/>
      <c r="GW30" s="436"/>
      <c r="GX30" s="440"/>
      <c r="GY30" s="439"/>
      <c r="GZ30" s="436"/>
      <c r="HA30" s="436"/>
      <c r="HB30" s="436"/>
      <c r="HC30" s="436"/>
      <c r="HD30" s="436"/>
      <c r="HE30" s="436"/>
      <c r="HF30" s="436"/>
      <c r="HG30" s="436"/>
      <c r="HH30" s="436"/>
      <c r="HI30" s="436"/>
      <c r="HJ30" s="436"/>
      <c r="HK30" s="436"/>
      <c r="HL30" s="436"/>
      <c r="HM30" s="436"/>
      <c r="HN30" s="436"/>
      <c r="HO30" s="436"/>
      <c r="HP30" s="436"/>
      <c r="HQ30" s="436"/>
      <c r="HR30" s="436"/>
      <c r="HS30" s="436"/>
      <c r="HT30" s="436"/>
      <c r="HU30" s="436"/>
      <c r="HV30" s="436"/>
      <c r="HW30" s="440"/>
    </row>
    <row r="31" spans="1:231" ht="24" customHeight="1">
      <c r="A31" s="439"/>
      <c r="B31" s="436"/>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40"/>
      <c r="AA31" s="436"/>
      <c r="AB31" s="436"/>
      <c r="AC31" s="436"/>
      <c r="AD31" s="436"/>
      <c r="AE31" s="436"/>
      <c r="AF31" s="439"/>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40"/>
      <c r="BE31" s="439"/>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40"/>
      <c r="CD31" s="439"/>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40"/>
      <c r="DC31" s="439"/>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40"/>
      <c r="EB31" s="439"/>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40"/>
      <c r="FA31" s="439"/>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40"/>
      <c r="FZ31" s="439"/>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40"/>
      <c r="GY31" s="439"/>
      <c r="GZ31" s="436"/>
      <c r="HA31" s="436"/>
      <c r="HB31" s="436"/>
      <c r="HC31" s="436"/>
      <c r="HD31" s="436"/>
      <c r="HE31" s="436"/>
      <c r="HF31" s="436"/>
      <c r="HG31" s="436"/>
      <c r="HH31" s="436"/>
      <c r="HI31" s="436"/>
      <c r="HJ31" s="436"/>
      <c r="HK31" s="436"/>
      <c r="HL31" s="436"/>
      <c r="HM31" s="436"/>
      <c r="HN31" s="436"/>
      <c r="HO31" s="436"/>
      <c r="HP31" s="436"/>
      <c r="HQ31" s="436"/>
      <c r="HR31" s="436"/>
      <c r="HS31" s="436"/>
      <c r="HT31" s="436"/>
      <c r="HU31" s="436"/>
      <c r="HV31" s="436"/>
      <c r="HW31" s="440"/>
    </row>
    <row r="32" spans="1:231" ht="24" customHeight="1">
      <c r="A32" s="439"/>
      <c r="B32" s="436"/>
      <c r="C32" s="436"/>
      <c r="D32" s="436"/>
      <c r="E32" s="436"/>
      <c r="F32" s="436"/>
      <c r="G32" s="436"/>
      <c r="H32" s="436"/>
      <c r="I32" s="436"/>
      <c r="J32" s="436"/>
      <c r="K32" s="436"/>
      <c r="L32" s="436"/>
      <c r="M32" s="436"/>
      <c r="N32" s="436"/>
      <c r="O32" s="436"/>
      <c r="P32" s="436"/>
      <c r="Q32" s="436"/>
      <c r="R32" s="436"/>
      <c r="S32" s="436"/>
      <c r="T32" s="436"/>
      <c r="U32" s="436"/>
      <c r="V32" s="436"/>
      <c r="W32" s="436"/>
      <c r="X32" s="436"/>
      <c r="Y32" s="436"/>
      <c r="Z32" s="440"/>
      <c r="AA32" s="436"/>
      <c r="AB32" s="436"/>
      <c r="AC32" s="436"/>
      <c r="AD32" s="436"/>
      <c r="AE32" s="436"/>
      <c r="AF32" s="439"/>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40"/>
      <c r="BE32" s="439"/>
      <c r="BF32" s="436"/>
      <c r="BG32" s="436"/>
      <c r="BH32" s="436"/>
      <c r="BI32" s="436"/>
      <c r="BJ32" s="436"/>
      <c r="BK32" s="436"/>
      <c r="BL32" s="436"/>
      <c r="BM32" s="436"/>
      <c r="BN32" s="436"/>
      <c r="BO32" s="436"/>
      <c r="BP32" s="436"/>
      <c r="BQ32" s="436"/>
      <c r="BR32" s="436"/>
      <c r="BS32" s="436"/>
      <c r="BT32" s="436"/>
      <c r="BU32" s="436"/>
      <c r="BV32" s="436"/>
      <c r="BW32" s="436"/>
      <c r="BX32" s="436"/>
      <c r="BY32" s="436"/>
      <c r="BZ32" s="436"/>
      <c r="CA32" s="436"/>
      <c r="CB32" s="436"/>
      <c r="CC32" s="440"/>
      <c r="CD32" s="439"/>
      <c r="CE32" s="436"/>
      <c r="CF32" s="436"/>
      <c r="CG32" s="436"/>
      <c r="CH32" s="436"/>
      <c r="CI32" s="436"/>
      <c r="CJ32" s="436"/>
      <c r="CK32" s="436"/>
      <c r="CL32" s="436"/>
      <c r="CM32" s="436"/>
      <c r="CN32" s="436"/>
      <c r="CO32" s="436"/>
      <c r="CP32" s="436"/>
      <c r="CQ32" s="436"/>
      <c r="CR32" s="436"/>
      <c r="CS32" s="436"/>
      <c r="CT32" s="436"/>
      <c r="CU32" s="436"/>
      <c r="CV32" s="436"/>
      <c r="CW32" s="436"/>
      <c r="CX32" s="436"/>
      <c r="CY32" s="436"/>
      <c r="CZ32" s="436"/>
      <c r="DA32" s="436"/>
      <c r="DB32" s="440"/>
      <c r="DC32" s="439"/>
      <c r="DD32" s="436"/>
      <c r="DE32" s="436"/>
      <c r="DF32" s="436"/>
      <c r="DG32" s="436"/>
      <c r="DH32" s="436"/>
      <c r="DI32" s="436"/>
      <c r="DJ32" s="436"/>
      <c r="DK32" s="436"/>
      <c r="DL32" s="436"/>
      <c r="DM32" s="436"/>
      <c r="DN32" s="436"/>
      <c r="DO32" s="436"/>
      <c r="DP32" s="436"/>
      <c r="DQ32" s="436"/>
      <c r="DR32" s="436"/>
      <c r="DS32" s="436"/>
      <c r="DT32" s="436"/>
      <c r="DU32" s="436"/>
      <c r="DV32" s="436"/>
      <c r="DW32" s="436"/>
      <c r="DX32" s="436"/>
      <c r="DY32" s="436"/>
      <c r="DZ32" s="436"/>
      <c r="EA32" s="440"/>
      <c r="EB32" s="439"/>
      <c r="EC32" s="436"/>
      <c r="ED32" s="436"/>
      <c r="EE32" s="436"/>
      <c r="EF32" s="436"/>
      <c r="EG32" s="436"/>
      <c r="EH32" s="436"/>
      <c r="EI32" s="436"/>
      <c r="EJ32" s="436"/>
      <c r="EK32" s="436"/>
      <c r="EL32" s="436"/>
      <c r="EM32" s="436"/>
      <c r="EN32" s="436"/>
      <c r="EO32" s="436"/>
      <c r="EP32" s="436"/>
      <c r="EQ32" s="436"/>
      <c r="ER32" s="436"/>
      <c r="ES32" s="436"/>
      <c r="ET32" s="436"/>
      <c r="EU32" s="436"/>
      <c r="EV32" s="436"/>
      <c r="EW32" s="436"/>
      <c r="EX32" s="436"/>
      <c r="EY32" s="436"/>
      <c r="EZ32" s="440"/>
      <c r="FA32" s="439"/>
      <c r="FB32" s="436"/>
      <c r="FC32" s="436"/>
      <c r="FD32" s="436"/>
      <c r="FE32" s="436"/>
      <c r="FF32" s="436"/>
      <c r="FG32" s="436"/>
      <c r="FH32" s="436"/>
      <c r="FI32" s="436"/>
      <c r="FJ32" s="436"/>
      <c r="FK32" s="436"/>
      <c r="FL32" s="436"/>
      <c r="FM32" s="436"/>
      <c r="FN32" s="436"/>
      <c r="FO32" s="436"/>
      <c r="FP32" s="436"/>
      <c r="FQ32" s="436"/>
      <c r="FR32" s="436"/>
      <c r="FS32" s="436"/>
      <c r="FT32" s="436"/>
      <c r="FU32" s="436"/>
      <c r="FV32" s="436"/>
      <c r="FW32" s="436"/>
      <c r="FX32" s="436"/>
      <c r="FY32" s="440"/>
      <c r="FZ32" s="439"/>
      <c r="GA32" s="436"/>
      <c r="GB32" s="436"/>
      <c r="GC32" s="436"/>
      <c r="GD32" s="436"/>
      <c r="GE32" s="436"/>
      <c r="GF32" s="436"/>
      <c r="GG32" s="436"/>
      <c r="GH32" s="436"/>
      <c r="GI32" s="436"/>
      <c r="GJ32" s="436"/>
      <c r="GK32" s="436"/>
      <c r="GL32" s="436"/>
      <c r="GM32" s="436"/>
      <c r="GN32" s="436"/>
      <c r="GO32" s="436"/>
      <c r="GP32" s="436"/>
      <c r="GQ32" s="436"/>
      <c r="GR32" s="436"/>
      <c r="GS32" s="436"/>
      <c r="GT32" s="436"/>
      <c r="GU32" s="436"/>
      <c r="GV32" s="436"/>
      <c r="GW32" s="436"/>
      <c r="GX32" s="440"/>
      <c r="GY32" s="439"/>
      <c r="GZ32" s="436"/>
      <c r="HA32" s="436"/>
      <c r="HB32" s="436"/>
      <c r="HC32" s="436"/>
      <c r="HD32" s="436"/>
      <c r="HE32" s="436"/>
      <c r="HF32" s="436"/>
      <c r="HG32" s="436"/>
      <c r="HH32" s="436"/>
      <c r="HI32" s="436"/>
      <c r="HJ32" s="436"/>
      <c r="HK32" s="436"/>
      <c r="HL32" s="436"/>
      <c r="HM32" s="436"/>
      <c r="HN32" s="436"/>
      <c r="HO32" s="436"/>
      <c r="HP32" s="436"/>
      <c r="HQ32" s="436"/>
      <c r="HR32" s="436"/>
      <c r="HS32" s="436"/>
      <c r="HT32" s="436"/>
      <c r="HU32" s="436"/>
      <c r="HV32" s="436"/>
      <c r="HW32" s="440"/>
    </row>
    <row r="33" spans="1:463" ht="24" customHeight="1">
      <c r="A33" s="439"/>
      <c r="B33" s="436"/>
      <c r="C33" s="436"/>
      <c r="D33" s="436"/>
      <c r="E33" s="436"/>
      <c r="F33" s="436"/>
      <c r="G33" s="436"/>
      <c r="H33" s="436"/>
      <c r="I33" s="436"/>
      <c r="J33" s="436"/>
      <c r="K33" s="436"/>
      <c r="L33" s="436"/>
      <c r="M33" s="436"/>
      <c r="N33" s="436"/>
      <c r="O33" s="436"/>
      <c r="P33" s="436"/>
      <c r="Q33" s="436"/>
      <c r="R33" s="436"/>
      <c r="S33" s="436"/>
      <c r="T33" s="436"/>
      <c r="U33" s="436"/>
      <c r="V33" s="436"/>
      <c r="W33" s="436"/>
      <c r="X33" s="436"/>
      <c r="Y33" s="436"/>
      <c r="Z33" s="440"/>
      <c r="AA33" s="436"/>
      <c r="AB33" s="436"/>
      <c r="AC33" s="436"/>
      <c r="AD33" s="436"/>
      <c r="AE33" s="436"/>
      <c r="AF33" s="439"/>
      <c r="AG33" s="436"/>
      <c r="AH33" s="436"/>
      <c r="AI33" s="436"/>
      <c r="AJ33" s="436"/>
      <c r="AK33" s="436"/>
      <c r="AL33" s="436"/>
      <c r="AM33" s="436"/>
      <c r="AN33" s="436"/>
      <c r="AO33" s="436"/>
      <c r="AP33" s="436"/>
      <c r="AQ33" s="436"/>
      <c r="AR33" s="436"/>
      <c r="AS33" s="436"/>
      <c r="AT33" s="436"/>
      <c r="AU33" s="436"/>
      <c r="AV33" s="436"/>
      <c r="AW33" s="436"/>
      <c r="AX33" s="436"/>
      <c r="AY33" s="436"/>
      <c r="AZ33" s="436"/>
      <c r="BA33" s="436"/>
      <c r="BB33" s="436"/>
      <c r="BC33" s="436"/>
      <c r="BD33" s="440"/>
      <c r="BE33" s="439"/>
      <c r="BF33" s="436"/>
      <c r="BG33" s="436"/>
      <c r="BH33" s="436"/>
      <c r="BI33" s="436"/>
      <c r="BJ33" s="436"/>
      <c r="BK33" s="436"/>
      <c r="BL33" s="436"/>
      <c r="BM33" s="436"/>
      <c r="BN33" s="436"/>
      <c r="BO33" s="436"/>
      <c r="BP33" s="436"/>
      <c r="BQ33" s="436"/>
      <c r="BR33" s="436"/>
      <c r="BS33" s="436"/>
      <c r="BT33" s="436"/>
      <c r="BU33" s="436"/>
      <c r="BV33" s="436"/>
      <c r="BW33" s="436"/>
      <c r="BX33" s="436"/>
      <c r="BY33" s="436"/>
      <c r="BZ33" s="436"/>
      <c r="CA33" s="436"/>
      <c r="CB33" s="436"/>
      <c r="CC33" s="440"/>
      <c r="CD33" s="439"/>
      <c r="CE33" s="436"/>
      <c r="CF33" s="436"/>
      <c r="CG33" s="436"/>
      <c r="CH33" s="436"/>
      <c r="CI33" s="436"/>
      <c r="CJ33" s="436"/>
      <c r="CK33" s="436"/>
      <c r="CL33" s="436"/>
      <c r="CM33" s="436"/>
      <c r="CN33" s="436"/>
      <c r="CO33" s="436"/>
      <c r="CP33" s="436"/>
      <c r="CQ33" s="436"/>
      <c r="CR33" s="436"/>
      <c r="CS33" s="436"/>
      <c r="CT33" s="436"/>
      <c r="CU33" s="436"/>
      <c r="CV33" s="436"/>
      <c r="CW33" s="436"/>
      <c r="CX33" s="436"/>
      <c r="CY33" s="436"/>
      <c r="CZ33" s="436"/>
      <c r="DA33" s="436"/>
      <c r="DB33" s="440"/>
      <c r="DC33" s="439"/>
      <c r="DD33" s="436"/>
      <c r="DE33" s="436"/>
      <c r="DF33" s="436"/>
      <c r="DG33" s="436"/>
      <c r="DH33" s="436"/>
      <c r="DI33" s="436"/>
      <c r="DJ33" s="436"/>
      <c r="DK33" s="436"/>
      <c r="DL33" s="436"/>
      <c r="DM33" s="436"/>
      <c r="DN33" s="436"/>
      <c r="DO33" s="436"/>
      <c r="DP33" s="436"/>
      <c r="DQ33" s="436"/>
      <c r="DR33" s="436"/>
      <c r="DS33" s="436"/>
      <c r="DT33" s="436"/>
      <c r="DU33" s="436"/>
      <c r="DV33" s="436"/>
      <c r="DW33" s="436"/>
      <c r="DX33" s="436"/>
      <c r="DY33" s="436"/>
      <c r="DZ33" s="436"/>
      <c r="EA33" s="440"/>
      <c r="EB33" s="439"/>
      <c r="EC33" s="436"/>
      <c r="ED33" s="436"/>
      <c r="EE33" s="436"/>
      <c r="EF33" s="436"/>
      <c r="EG33" s="436"/>
      <c r="EH33" s="436"/>
      <c r="EI33" s="436"/>
      <c r="EJ33" s="436"/>
      <c r="EK33" s="436"/>
      <c r="EL33" s="436"/>
      <c r="EM33" s="436"/>
      <c r="EN33" s="436"/>
      <c r="EO33" s="436"/>
      <c r="EP33" s="436"/>
      <c r="EQ33" s="436"/>
      <c r="ER33" s="436"/>
      <c r="ES33" s="436"/>
      <c r="ET33" s="436"/>
      <c r="EU33" s="436"/>
      <c r="EV33" s="436"/>
      <c r="EW33" s="436"/>
      <c r="EX33" s="436"/>
      <c r="EY33" s="436"/>
      <c r="EZ33" s="440"/>
      <c r="FA33" s="439"/>
      <c r="FB33" s="436"/>
      <c r="FC33" s="436"/>
      <c r="FD33" s="436"/>
      <c r="FE33" s="436"/>
      <c r="FF33" s="436"/>
      <c r="FG33" s="436"/>
      <c r="FH33" s="436"/>
      <c r="FI33" s="436"/>
      <c r="FJ33" s="436"/>
      <c r="FK33" s="436"/>
      <c r="FL33" s="436"/>
      <c r="FM33" s="436"/>
      <c r="FN33" s="436"/>
      <c r="FO33" s="436"/>
      <c r="FP33" s="436"/>
      <c r="FQ33" s="436"/>
      <c r="FR33" s="436"/>
      <c r="FS33" s="436"/>
      <c r="FT33" s="436"/>
      <c r="FU33" s="436"/>
      <c r="FV33" s="436"/>
      <c r="FW33" s="436"/>
      <c r="FX33" s="436"/>
      <c r="FY33" s="440"/>
      <c r="FZ33" s="439"/>
      <c r="GA33" s="436"/>
      <c r="GB33" s="436"/>
      <c r="GC33" s="436"/>
      <c r="GD33" s="436"/>
      <c r="GE33" s="436"/>
      <c r="GF33" s="436"/>
      <c r="GG33" s="436"/>
      <c r="GH33" s="436"/>
      <c r="GI33" s="436"/>
      <c r="GJ33" s="436"/>
      <c r="GK33" s="436"/>
      <c r="GL33" s="436"/>
      <c r="GM33" s="436"/>
      <c r="GN33" s="436"/>
      <c r="GO33" s="436"/>
      <c r="GP33" s="436"/>
      <c r="GQ33" s="436"/>
      <c r="GR33" s="436"/>
      <c r="GS33" s="436"/>
      <c r="GT33" s="436"/>
      <c r="GU33" s="436"/>
      <c r="GV33" s="436"/>
      <c r="GW33" s="436"/>
      <c r="GX33" s="440"/>
      <c r="GY33" s="439"/>
      <c r="GZ33" s="436"/>
      <c r="HA33" s="436"/>
      <c r="HB33" s="436"/>
      <c r="HC33" s="436"/>
      <c r="HD33" s="436"/>
      <c r="HE33" s="436"/>
      <c r="HF33" s="436"/>
      <c r="HG33" s="436"/>
      <c r="HH33" s="436"/>
      <c r="HI33" s="436"/>
      <c r="HJ33" s="436"/>
      <c r="HK33" s="436"/>
      <c r="HL33" s="436"/>
      <c r="HM33" s="436"/>
      <c r="HN33" s="436"/>
      <c r="HO33" s="436"/>
      <c r="HP33" s="436"/>
      <c r="HQ33" s="436"/>
      <c r="HR33" s="436"/>
      <c r="HS33" s="436"/>
      <c r="HT33" s="436"/>
      <c r="HU33" s="436"/>
      <c r="HV33" s="436"/>
      <c r="HW33" s="440"/>
    </row>
    <row r="34" spans="1:463" ht="24" customHeight="1">
      <c r="A34" s="439"/>
      <c r="B34" s="436"/>
      <c r="C34" s="436"/>
      <c r="D34" s="436"/>
      <c r="E34" s="436"/>
      <c r="F34" s="436"/>
      <c r="G34" s="436"/>
      <c r="H34" s="436"/>
      <c r="I34" s="436"/>
      <c r="J34" s="436"/>
      <c r="K34" s="436"/>
      <c r="L34" s="436"/>
      <c r="M34" s="436"/>
      <c r="N34" s="436"/>
      <c r="O34" s="436"/>
      <c r="P34" s="436"/>
      <c r="Q34" s="436"/>
      <c r="R34" s="436"/>
      <c r="S34" s="436"/>
      <c r="T34" s="436"/>
      <c r="U34" s="436"/>
      <c r="V34" s="436"/>
      <c r="W34" s="436"/>
      <c r="X34" s="436"/>
      <c r="Y34" s="436"/>
      <c r="Z34" s="440"/>
      <c r="AA34" s="436"/>
      <c r="AB34" s="436"/>
      <c r="AC34" s="436"/>
      <c r="AD34" s="436"/>
      <c r="AE34" s="436"/>
      <c r="AF34" s="439"/>
      <c r="AG34" s="436"/>
      <c r="AH34" s="436"/>
      <c r="AI34" s="436"/>
      <c r="AJ34" s="436"/>
      <c r="AK34" s="436"/>
      <c r="AL34" s="436"/>
      <c r="AM34" s="436"/>
      <c r="AN34" s="436"/>
      <c r="AO34" s="436"/>
      <c r="AP34" s="436"/>
      <c r="AQ34" s="436"/>
      <c r="AR34" s="436"/>
      <c r="AS34" s="436"/>
      <c r="AT34" s="436"/>
      <c r="AU34" s="436"/>
      <c r="AV34" s="436"/>
      <c r="AW34" s="436"/>
      <c r="AX34" s="436"/>
      <c r="AY34" s="436"/>
      <c r="AZ34" s="436"/>
      <c r="BA34" s="436"/>
      <c r="BB34" s="436"/>
      <c r="BC34" s="436"/>
      <c r="BD34" s="440"/>
      <c r="BE34" s="439"/>
      <c r="BF34" s="436"/>
      <c r="BG34" s="436"/>
      <c r="BH34" s="436"/>
      <c r="BI34" s="436"/>
      <c r="BJ34" s="436"/>
      <c r="BK34" s="436"/>
      <c r="BL34" s="436"/>
      <c r="BM34" s="436"/>
      <c r="BN34" s="436"/>
      <c r="BO34" s="436"/>
      <c r="BP34" s="436"/>
      <c r="BQ34" s="436"/>
      <c r="BR34" s="436"/>
      <c r="BS34" s="436"/>
      <c r="BT34" s="436"/>
      <c r="BU34" s="436"/>
      <c r="BV34" s="436"/>
      <c r="BW34" s="436"/>
      <c r="BX34" s="436"/>
      <c r="BY34" s="436"/>
      <c r="BZ34" s="436"/>
      <c r="CA34" s="436"/>
      <c r="CB34" s="436"/>
      <c r="CC34" s="440"/>
      <c r="CD34" s="439"/>
      <c r="CE34" s="436"/>
      <c r="CF34" s="436"/>
      <c r="CG34" s="436"/>
      <c r="CH34" s="436"/>
      <c r="CI34" s="436"/>
      <c r="CJ34" s="436"/>
      <c r="CK34" s="436"/>
      <c r="CL34" s="436"/>
      <c r="CM34" s="436"/>
      <c r="CN34" s="436"/>
      <c r="CO34" s="436"/>
      <c r="CP34" s="436"/>
      <c r="CQ34" s="436"/>
      <c r="CR34" s="436"/>
      <c r="CS34" s="436"/>
      <c r="CT34" s="436"/>
      <c r="CU34" s="436"/>
      <c r="CV34" s="436"/>
      <c r="CW34" s="436"/>
      <c r="CX34" s="436"/>
      <c r="CY34" s="436"/>
      <c r="CZ34" s="436"/>
      <c r="DA34" s="436"/>
      <c r="DB34" s="440"/>
      <c r="DC34" s="439"/>
      <c r="DD34" s="436"/>
      <c r="DE34" s="436"/>
      <c r="DF34" s="436"/>
      <c r="DG34" s="436"/>
      <c r="DH34" s="436"/>
      <c r="DI34" s="436"/>
      <c r="DJ34" s="436"/>
      <c r="DK34" s="436"/>
      <c r="DL34" s="436"/>
      <c r="DM34" s="436"/>
      <c r="DN34" s="436"/>
      <c r="DO34" s="436"/>
      <c r="DP34" s="436"/>
      <c r="DQ34" s="436"/>
      <c r="DR34" s="436"/>
      <c r="DS34" s="436"/>
      <c r="DT34" s="436"/>
      <c r="DU34" s="436"/>
      <c r="DV34" s="436"/>
      <c r="DW34" s="436"/>
      <c r="DX34" s="436"/>
      <c r="DY34" s="436"/>
      <c r="DZ34" s="436"/>
      <c r="EA34" s="440"/>
      <c r="EB34" s="439"/>
      <c r="EC34" s="436"/>
      <c r="ED34" s="436"/>
      <c r="EE34" s="436"/>
      <c r="EF34" s="436"/>
      <c r="EG34" s="436"/>
      <c r="EH34" s="436"/>
      <c r="EI34" s="436"/>
      <c r="EJ34" s="436"/>
      <c r="EK34" s="436"/>
      <c r="EL34" s="436"/>
      <c r="EM34" s="436"/>
      <c r="EN34" s="436"/>
      <c r="EO34" s="436"/>
      <c r="EP34" s="436"/>
      <c r="EQ34" s="436"/>
      <c r="ER34" s="436"/>
      <c r="ES34" s="436"/>
      <c r="ET34" s="436"/>
      <c r="EU34" s="436"/>
      <c r="EV34" s="436"/>
      <c r="EW34" s="436"/>
      <c r="EX34" s="436"/>
      <c r="EY34" s="436"/>
      <c r="EZ34" s="440"/>
      <c r="FA34" s="439"/>
      <c r="FB34" s="436"/>
      <c r="FC34" s="436"/>
      <c r="FD34" s="436"/>
      <c r="FE34" s="436"/>
      <c r="FF34" s="436"/>
      <c r="FG34" s="436"/>
      <c r="FH34" s="436"/>
      <c r="FI34" s="436"/>
      <c r="FJ34" s="436"/>
      <c r="FK34" s="436"/>
      <c r="FL34" s="436"/>
      <c r="FM34" s="436"/>
      <c r="FN34" s="436"/>
      <c r="FO34" s="436"/>
      <c r="FP34" s="436"/>
      <c r="FQ34" s="436"/>
      <c r="FR34" s="436"/>
      <c r="FS34" s="436"/>
      <c r="FT34" s="436"/>
      <c r="FU34" s="436"/>
      <c r="FV34" s="436"/>
      <c r="FW34" s="436"/>
      <c r="FX34" s="436"/>
      <c r="FY34" s="440"/>
      <c r="FZ34" s="439"/>
      <c r="GA34" s="436"/>
      <c r="GB34" s="436"/>
      <c r="GC34" s="436"/>
      <c r="GD34" s="436"/>
      <c r="GE34" s="436"/>
      <c r="GF34" s="436"/>
      <c r="GG34" s="436"/>
      <c r="GH34" s="436"/>
      <c r="GI34" s="436"/>
      <c r="GJ34" s="436"/>
      <c r="GK34" s="436"/>
      <c r="GL34" s="436"/>
      <c r="GM34" s="436"/>
      <c r="GN34" s="436"/>
      <c r="GO34" s="436"/>
      <c r="GP34" s="436"/>
      <c r="GQ34" s="436"/>
      <c r="GR34" s="436"/>
      <c r="GS34" s="436"/>
      <c r="GT34" s="436"/>
      <c r="GU34" s="436"/>
      <c r="GV34" s="436"/>
      <c r="GW34" s="436"/>
      <c r="GX34" s="440"/>
      <c r="GY34" s="439"/>
      <c r="GZ34" s="436"/>
      <c r="HA34" s="436"/>
      <c r="HB34" s="436"/>
      <c r="HC34" s="436"/>
      <c r="HD34" s="436"/>
      <c r="HE34" s="436"/>
      <c r="HF34" s="436"/>
      <c r="HG34" s="436"/>
      <c r="HH34" s="436"/>
      <c r="HI34" s="436"/>
      <c r="HJ34" s="436"/>
      <c r="HK34" s="436"/>
      <c r="HL34" s="436"/>
      <c r="HM34" s="436"/>
      <c r="HN34" s="436"/>
      <c r="HO34" s="436"/>
      <c r="HP34" s="436"/>
      <c r="HQ34" s="436"/>
      <c r="HR34" s="436"/>
      <c r="HS34" s="436"/>
      <c r="HT34" s="436"/>
      <c r="HU34" s="436"/>
      <c r="HV34" s="436"/>
      <c r="HW34" s="440"/>
    </row>
    <row r="35" spans="1:463" ht="24" customHeight="1">
      <c r="A35" s="439"/>
      <c r="B35" s="436"/>
      <c r="C35" s="436"/>
      <c r="D35" s="436"/>
      <c r="E35" s="436"/>
      <c r="F35" s="436"/>
      <c r="G35" s="436"/>
      <c r="H35" s="436"/>
      <c r="I35" s="436"/>
      <c r="J35" s="436"/>
      <c r="K35" s="436"/>
      <c r="L35" s="436"/>
      <c r="M35" s="436"/>
      <c r="N35" s="436"/>
      <c r="O35" s="436"/>
      <c r="P35" s="436"/>
      <c r="Q35" s="436"/>
      <c r="R35" s="436"/>
      <c r="S35" s="436"/>
      <c r="T35" s="436"/>
      <c r="U35" s="436"/>
      <c r="V35" s="436"/>
      <c r="W35" s="436"/>
      <c r="X35" s="436"/>
      <c r="Y35" s="436"/>
      <c r="Z35" s="440"/>
      <c r="AA35" s="436"/>
      <c r="AB35" s="436"/>
      <c r="AC35" s="436"/>
      <c r="AD35" s="436"/>
      <c r="AE35" s="436"/>
      <c r="AF35" s="439"/>
      <c r="AG35" s="436"/>
      <c r="AH35" s="436"/>
      <c r="AI35" s="436"/>
      <c r="AJ35" s="436"/>
      <c r="AK35" s="436"/>
      <c r="AL35" s="436"/>
      <c r="AM35" s="436"/>
      <c r="AN35" s="436"/>
      <c r="AO35" s="436"/>
      <c r="AP35" s="436"/>
      <c r="AQ35" s="436"/>
      <c r="AR35" s="436"/>
      <c r="AS35" s="436"/>
      <c r="AT35" s="436"/>
      <c r="AU35" s="436"/>
      <c r="AV35" s="436"/>
      <c r="AW35" s="436"/>
      <c r="AX35" s="436"/>
      <c r="AY35" s="436"/>
      <c r="AZ35" s="436"/>
      <c r="BA35" s="436"/>
      <c r="BB35" s="436"/>
      <c r="BC35" s="436"/>
      <c r="BD35" s="440"/>
      <c r="BE35" s="439"/>
      <c r="BF35" s="436"/>
      <c r="BG35" s="436"/>
      <c r="BH35" s="436"/>
      <c r="BI35" s="436"/>
      <c r="BJ35" s="436"/>
      <c r="BK35" s="436"/>
      <c r="BL35" s="436"/>
      <c r="BM35" s="436"/>
      <c r="BN35" s="436"/>
      <c r="BO35" s="436"/>
      <c r="BP35" s="436"/>
      <c r="BQ35" s="436"/>
      <c r="BR35" s="436"/>
      <c r="BS35" s="436"/>
      <c r="BT35" s="436"/>
      <c r="BU35" s="436"/>
      <c r="BV35" s="436"/>
      <c r="BW35" s="436"/>
      <c r="BX35" s="436"/>
      <c r="BY35" s="436"/>
      <c r="BZ35" s="436"/>
      <c r="CA35" s="436"/>
      <c r="CB35" s="436"/>
      <c r="CC35" s="440"/>
      <c r="CD35" s="439"/>
      <c r="CE35" s="436"/>
      <c r="CF35" s="436"/>
      <c r="CG35" s="436"/>
      <c r="CH35" s="436"/>
      <c r="CI35" s="436"/>
      <c r="CJ35" s="436"/>
      <c r="CK35" s="436"/>
      <c r="CL35" s="436"/>
      <c r="CM35" s="436"/>
      <c r="CN35" s="436"/>
      <c r="CO35" s="436"/>
      <c r="CP35" s="436"/>
      <c r="CQ35" s="436"/>
      <c r="CR35" s="436"/>
      <c r="CS35" s="436"/>
      <c r="CT35" s="436"/>
      <c r="CU35" s="436"/>
      <c r="CV35" s="436"/>
      <c r="CW35" s="436"/>
      <c r="CX35" s="436"/>
      <c r="CY35" s="436"/>
      <c r="CZ35" s="436"/>
      <c r="DA35" s="436"/>
      <c r="DB35" s="440"/>
      <c r="DC35" s="439"/>
      <c r="DD35" s="436"/>
      <c r="DE35" s="436"/>
      <c r="DF35" s="436"/>
      <c r="DG35" s="436"/>
      <c r="DH35" s="436"/>
      <c r="DI35" s="436"/>
      <c r="DJ35" s="436"/>
      <c r="DK35" s="436"/>
      <c r="DL35" s="436"/>
      <c r="DM35" s="436"/>
      <c r="DN35" s="436"/>
      <c r="DO35" s="436"/>
      <c r="DP35" s="436"/>
      <c r="DQ35" s="436"/>
      <c r="DR35" s="436"/>
      <c r="DS35" s="436"/>
      <c r="DT35" s="436"/>
      <c r="DU35" s="436"/>
      <c r="DV35" s="436"/>
      <c r="DW35" s="436"/>
      <c r="DX35" s="436"/>
      <c r="DY35" s="436"/>
      <c r="DZ35" s="436"/>
      <c r="EA35" s="440"/>
      <c r="EB35" s="439"/>
      <c r="EC35" s="436"/>
      <c r="ED35" s="436"/>
      <c r="EE35" s="436"/>
      <c r="EF35" s="436"/>
      <c r="EG35" s="436"/>
      <c r="EH35" s="436"/>
      <c r="EI35" s="436"/>
      <c r="EJ35" s="436"/>
      <c r="EK35" s="436"/>
      <c r="EL35" s="436"/>
      <c r="EM35" s="436"/>
      <c r="EN35" s="436"/>
      <c r="EO35" s="436"/>
      <c r="EP35" s="436"/>
      <c r="EQ35" s="436"/>
      <c r="ER35" s="436"/>
      <c r="ES35" s="436"/>
      <c r="ET35" s="436"/>
      <c r="EU35" s="436"/>
      <c r="EV35" s="436"/>
      <c r="EW35" s="436"/>
      <c r="EX35" s="436"/>
      <c r="EY35" s="436"/>
      <c r="EZ35" s="440"/>
      <c r="FA35" s="439"/>
      <c r="FB35" s="436"/>
      <c r="FC35" s="436"/>
      <c r="FD35" s="436"/>
      <c r="FE35" s="436"/>
      <c r="FF35" s="436"/>
      <c r="FG35" s="436"/>
      <c r="FH35" s="436"/>
      <c r="FI35" s="436"/>
      <c r="FJ35" s="436"/>
      <c r="FK35" s="436"/>
      <c r="FL35" s="436"/>
      <c r="FM35" s="436"/>
      <c r="FN35" s="436"/>
      <c r="FO35" s="436"/>
      <c r="FP35" s="436"/>
      <c r="FQ35" s="436"/>
      <c r="FR35" s="436"/>
      <c r="FS35" s="436"/>
      <c r="FT35" s="436"/>
      <c r="FU35" s="436"/>
      <c r="FV35" s="436"/>
      <c r="FW35" s="436"/>
      <c r="FX35" s="436"/>
      <c r="FY35" s="440"/>
      <c r="FZ35" s="439"/>
      <c r="GA35" s="436"/>
      <c r="GB35" s="436"/>
      <c r="GC35" s="436"/>
      <c r="GD35" s="436"/>
      <c r="GE35" s="436"/>
      <c r="GF35" s="436"/>
      <c r="GG35" s="436"/>
      <c r="GH35" s="436"/>
      <c r="GI35" s="436"/>
      <c r="GJ35" s="436"/>
      <c r="GK35" s="436"/>
      <c r="GL35" s="436"/>
      <c r="GM35" s="436"/>
      <c r="GN35" s="436"/>
      <c r="GO35" s="436"/>
      <c r="GP35" s="436"/>
      <c r="GQ35" s="436"/>
      <c r="GR35" s="436"/>
      <c r="GS35" s="436"/>
      <c r="GT35" s="436"/>
      <c r="GU35" s="436"/>
      <c r="GV35" s="436"/>
      <c r="GW35" s="436"/>
      <c r="GX35" s="440"/>
      <c r="GY35" s="439"/>
      <c r="GZ35" s="436"/>
      <c r="HA35" s="436"/>
      <c r="HB35" s="436"/>
      <c r="HC35" s="436"/>
      <c r="HD35" s="436"/>
      <c r="HE35" s="436"/>
      <c r="HF35" s="436"/>
      <c r="HG35" s="436"/>
      <c r="HH35" s="436"/>
      <c r="HI35" s="436"/>
      <c r="HJ35" s="436"/>
      <c r="HK35" s="436"/>
      <c r="HL35" s="436"/>
      <c r="HM35" s="436"/>
      <c r="HN35" s="436"/>
      <c r="HO35" s="436"/>
      <c r="HP35" s="436"/>
      <c r="HQ35" s="436"/>
      <c r="HR35" s="436"/>
      <c r="HS35" s="436"/>
      <c r="HT35" s="436"/>
      <c r="HU35" s="436"/>
      <c r="HV35" s="436"/>
      <c r="HW35" s="440"/>
    </row>
    <row r="36" spans="1:463" ht="24" customHeight="1">
      <c r="A36" s="439"/>
      <c r="B36" s="436"/>
      <c r="C36" s="436"/>
      <c r="D36" s="436"/>
      <c r="E36" s="436"/>
      <c r="F36" s="436"/>
      <c r="G36" s="436"/>
      <c r="H36" s="436"/>
      <c r="I36" s="436"/>
      <c r="J36" s="436"/>
      <c r="K36" s="436"/>
      <c r="L36" s="436"/>
      <c r="M36" s="436"/>
      <c r="N36" s="436"/>
      <c r="O36" s="436"/>
      <c r="P36" s="436"/>
      <c r="Q36" s="436"/>
      <c r="R36" s="436"/>
      <c r="S36" s="436"/>
      <c r="T36" s="436"/>
      <c r="U36" s="436"/>
      <c r="V36" s="436"/>
      <c r="W36" s="436"/>
      <c r="X36" s="436"/>
      <c r="Y36" s="436"/>
      <c r="Z36" s="440"/>
      <c r="AA36" s="436"/>
      <c r="AB36" s="436"/>
      <c r="AC36" s="436"/>
      <c r="AD36" s="436"/>
      <c r="AE36" s="436"/>
      <c r="AF36" s="439"/>
      <c r="AG36" s="436"/>
      <c r="AH36" s="436"/>
      <c r="AI36" s="436"/>
      <c r="AJ36" s="436"/>
      <c r="AK36" s="436"/>
      <c r="AL36" s="436"/>
      <c r="AM36" s="436"/>
      <c r="AN36" s="436"/>
      <c r="AO36" s="436"/>
      <c r="AP36" s="436"/>
      <c r="AQ36" s="436"/>
      <c r="AR36" s="436"/>
      <c r="AS36" s="436"/>
      <c r="AT36" s="436"/>
      <c r="AU36" s="436"/>
      <c r="AV36" s="436"/>
      <c r="AW36" s="436"/>
      <c r="AX36" s="436"/>
      <c r="AY36" s="436"/>
      <c r="AZ36" s="436"/>
      <c r="BA36" s="436"/>
      <c r="BB36" s="436"/>
      <c r="BC36" s="436"/>
      <c r="BD36" s="440"/>
      <c r="BE36" s="439"/>
      <c r="BF36" s="436"/>
      <c r="BG36" s="436"/>
      <c r="BH36" s="436"/>
      <c r="BI36" s="436"/>
      <c r="BJ36" s="436"/>
      <c r="BK36" s="436"/>
      <c r="BL36" s="436"/>
      <c r="BM36" s="436"/>
      <c r="BN36" s="436"/>
      <c r="BO36" s="436"/>
      <c r="BP36" s="436"/>
      <c r="BQ36" s="436"/>
      <c r="BR36" s="436"/>
      <c r="BS36" s="436"/>
      <c r="BT36" s="436"/>
      <c r="BU36" s="436"/>
      <c r="BV36" s="436"/>
      <c r="BW36" s="436"/>
      <c r="BX36" s="436"/>
      <c r="BY36" s="436"/>
      <c r="BZ36" s="436"/>
      <c r="CA36" s="436"/>
      <c r="CB36" s="436"/>
      <c r="CC36" s="440"/>
      <c r="CD36" s="439"/>
      <c r="CE36" s="436"/>
      <c r="CF36" s="436"/>
      <c r="CG36" s="436"/>
      <c r="CH36" s="436"/>
      <c r="CI36" s="436"/>
      <c r="CJ36" s="436"/>
      <c r="CK36" s="436"/>
      <c r="CL36" s="436"/>
      <c r="CM36" s="436"/>
      <c r="CN36" s="436"/>
      <c r="CO36" s="436"/>
      <c r="CP36" s="436"/>
      <c r="CQ36" s="436"/>
      <c r="CR36" s="436"/>
      <c r="CS36" s="436"/>
      <c r="CT36" s="436"/>
      <c r="CU36" s="436"/>
      <c r="CV36" s="436"/>
      <c r="CW36" s="436"/>
      <c r="CX36" s="436"/>
      <c r="CY36" s="436"/>
      <c r="CZ36" s="436"/>
      <c r="DA36" s="436"/>
      <c r="DB36" s="440"/>
      <c r="DC36" s="439"/>
      <c r="DD36" s="436"/>
      <c r="DE36" s="436"/>
      <c r="DF36" s="436"/>
      <c r="DG36" s="436"/>
      <c r="DH36" s="436"/>
      <c r="DI36" s="436"/>
      <c r="DJ36" s="436"/>
      <c r="DK36" s="436"/>
      <c r="DL36" s="436"/>
      <c r="DM36" s="436"/>
      <c r="DN36" s="436"/>
      <c r="DO36" s="436"/>
      <c r="DP36" s="436"/>
      <c r="DQ36" s="436"/>
      <c r="DR36" s="436"/>
      <c r="DS36" s="436"/>
      <c r="DT36" s="436"/>
      <c r="DU36" s="436"/>
      <c r="DV36" s="436"/>
      <c r="DW36" s="436"/>
      <c r="DX36" s="436"/>
      <c r="DY36" s="436"/>
      <c r="DZ36" s="436"/>
      <c r="EA36" s="440"/>
      <c r="EB36" s="439"/>
      <c r="EC36" s="436"/>
      <c r="ED36" s="436"/>
      <c r="EE36" s="436"/>
      <c r="EF36" s="436"/>
      <c r="EG36" s="436"/>
      <c r="EH36" s="436"/>
      <c r="EI36" s="436"/>
      <c r="EJ36" s="436"/>
      <c r="EK36" s="436"/>
      <c r="EL36" s="436"/>
      <c r="EM36" s="436"/>
      <c r="EN36" s="436"/>
      <c r="EO36" s="436"/>
      <c r="EP36" s="436"/>
      <c r="EQ36" s="436"/>
      <c r="ER36" s="436"/>
      <c r="ES36" s="436"/>
      <c r="ET36" s="436"/>
      <c r="EU36" s="436"/>
      <c r="EV36" s="436"/>
      <c r="EW36" s="436"/>
      <c r="EX36" s="436"/>
      <c r="EY36" s="436"/>
      <c r="EZ36" s="440"/>
      <c r="FA36" s="439"/>
      <c r="FB36" s="436"/>
      <c r="FC36" s="436"/>
      <c r="FD36" s="436"/>
      <c r="FE36" s="436"/>
      <c r="FF36" s="436"/>
      <c r="FG36" s="436"/>
      <c r="FH36" s="436"/>
      <c r="FI36" s="436"/>
      <c r="FJ36" s="436"/>
      <c r="FK36" s="436"/>
      <c r="FL36" s="436"/>
      <c r="FM36" s="436"/>
      <c r="FN36" s="436"/>
      <c r="FO36" s="436"/>
      <c r="FP36" s="436"/>
      <c r="FQ36" s="436"/>
      <c r="FR36" s="436"/>
      <c r="FS36" s="436"/>
      <c r="FT36" s="436"/>
      <c r="FU36" s="436"/>
      <c r="FV36" s="436"/>
      <c r="FW36" s="436"/>
      <c r="FX36" s="436"/>
      <c r="FY36" s="440"/>
      <c r="FZ36" s="439"/>
      <c r="GA36" s="436"/>
      <c r="GB36" s="436"/>
      <c r="GC36" s="436"/>
      <c r="GD36" s="436"/>
      <c r="GE36" s="436"/>
      <c r="GF36" s="436"/>
      <c r="GG36" s="436"/>
      <c r="GH36" s="436"/>
      <c r="GI36" s="436"/>
      <c r="GJ36" s="436"/>
      <c r="GK36" s="436"/>
      <c r="GL36" s="436"/>
      <c r="GM36" s="436"/>
      <c r="GN36" s="436"/>
      <c r="GO36" s="436"/>
      <c r="GP36" s="436"/>
      <c r="GQ36" s="436"/>
      <c r="GR36" s="436"/>
      <c r="GS36" s="436"/>
      <c r="GT36" s="436"/>
      <c r="GU36" s="436"/>
      <c r="GV36" s="436"/>
      <c r="GW36" s="436"/>
      <c r="GX36" s="440"/>
      <c r="GY36" s="439"/>
      <c r="GZ36" s="436"/>
      <c r="HA36" s="436"/>
      <c r="HB36" s="436"/>
      <c r="HC36" s="436"/>
      <c r="HD36" s="436"/>
      <c r="HE36" s="436"/>
      <c r="HF36" s="436"/>
      <c r="HG36" s="436"/>
      <c r="HH36" s="436"/>
      <c r="HI36" s="436"/>
      <c r="HJ36" s="436"/>
      <c r="HK36" s="436"/>
      <c r="HL36" s="436"/>
      <c r="HM36" s="436"/>
      <c r="HN36" s="436"/>
      <c r="HO36" s="436"/>
      <c r="HP36" s="436"/>
      <c r="HQ36" s="436"/>
      <c r="HR36" s="436"/>
      <c r="HS36" s="436"/>
      <c r="HT36" s="436"/>
      <c r="HU36" s="436"/>
      <c r="HV36" s="436"/>
      <c r="HW36" s="440"/>
    </row>
    <row r="37" spans="1:463" ht="24" customHeight="1" thickBot="1">
      <c r="A37" s="439"/>
      <c r="B37" s="441"/>
      <c r="C37" s="441"/>
      <c r="D37" s="441"/>
      <c r="E37" s="436"/>
      <c r="F37" s="436"/>
      <c r="G37" s="436"/>
      <c r="H37" s="436"/>
      <c r="I37" s="436"/>
      <c r="J37" s="436"/>
      <c r="K37" s="436"/>
      <c r="L37" s="436"/>
      <c r="M37" s="436"/>
      <c r="N37" s="436"/>
      <c r="O37" s="436"/>
      <c r="P37" s="436"/>
      <c r="Q37" s="436"/>
      <c r="R37" s="436"/>
      <c r="S37" s="436"/>
      <c r="T37" s="436"/>
      <c r="U37" s="436"/>
      <c r="V37" s="436"/>
      <c r="W37" s="436"/>
      <c r="X37" s="436"/>
      <c r="Y37" s="436"/>
      <c r="Z37" s="440"/>
      <c r="AA37" s="436"/>
      <c r="AB37" s="436"/>
      <c r="AC37" s="436"/>
      <c r="AD37" s="436"/>
      <c r="AE37" s="436"/>
      <c r="AF37" s="439"/>
      <c r="AG37" s="441"/>
      <c r="AH37" s="441"/>
      <c r="AI37" s="441"/>
      <c r="AJ37" s="436"/>
      <c r="AK37" s="436"/>
      <c r="AL37" s="436"/>
      <c r="AM37" s="436"/>
      <c r="AN37" s="436"/>
      <c r="AO37" s="436"/>
      <c r="AP37" s="436"/>
      <c r="AQ37" s="436"/>
      <c r="AR37" s="436"/>
      <c r="AS37" s="436"/>
      <c r="AT37" s="436"/>
      <c r="AU37" s="436"/>
      <c r="AV37" s="436"/>
      <c r="AW37" s="436"/>
      <c r="AX37" s="436"/>
      <c r="AY37" s="436"/>
      <c r="AZ37" s="436"/>
      <c r="BA37" s="436"/>
      <c r="BB37" s="436"/>
      <c r="BC37" s="436"/>
      <c r="BD37" s="440"/>
      <c r="BE37" s="439"/>
      <c r="BF37" s="441"/>
      <c r="BG37" s="441"/>
      <c r="BH37" s="441"/>
      <c r="BI37" s="436"/>
      <c r="BJ37" s="436"/>
      <c r="BK37" s="436"/>
      <c r="BL37" s="436"/>
      <c r="BM37" s="436"/>
      <c r="BN37" s="436"/>
      <c r="BO37" s="436"/>
      <c r="BP37" s="436"/>
      <c r="BQ37" s="436"/>
      <c r="BR37" s="436"/>
      <c r="BS37" s="436"/>
      <c r="BT37" s="436"/>
      <c r="BU37" s="436"/>
      <c r="BV37" s="436"/>
      <c r="BW37" s="436"/>
      <c r="BX37" s="436"/>
      <c r="BY37" s="436"/>
      <c r="BZ37" s="436"/>
      <c r="CA37" s="436"/>
      <c r="CB37" s="436"/>
      <c r="CC37" s="440"/>
      <c r="CD37" s="439"/>
      <c r="CE37" s="441"/>
      <c r="CF37" s="441"/>
      <c r="CG37" s="441"/>
      <c r="CH37" s="436"/>
      <c r="CI37" s="436"/>
      <c r="CJ37" s="436"/>
      <c r="CK37" s="436"/>
      <c r="CL37" s="436"/>
      <c r="CM37" s="436"/>
      <c r="CN37" s="436"/>
      <c r="CO37" s="436"/>
      <c r="CP37" s="436"/>
      <c r="CQ37" s="436"/>
      <c r="CR37" s="436"/>
      <c r="CS37" s="436"/>
      <c r="CT37" s="436"/>
      <c r="CU37" s="436"/>
      <c r="CV37" s="436"/>
      <c r="CW37" s="436"/>
      <c r="CX37" s="436"/>
      <c r="CY37" s="436"/>
      <c r="CZ37" s="436"/>
      <c r="DA37" s="436"/>
      <c r="DB37" s="440"/>
      <c r="DC37" s="439"/>
      <c r="DD37" s="441"/>
      <c r="DE37" s="441"/>
      <c r="DF37" s="441"/>
      <c r="DG37" s="436"/>
      <c r="DH37" s="436"/>
      <c r="DI37" s="436"/>
      <c r="DJ37" s="436"/>
      <c r="DK37" s="436"/>
      <c r="DL37" s="436"/>
      <c r="DM37" s="436"/>
      <c r="DN37" s="436"/>
      <c r="DO37" s="436"/>
      <c r="DP37" s="436"/>
      <c r="DQ37" s="436"/>
      <c r="DR37" s="436"/>
      <c r="DS37" s="436"/>
      <c r="DT37" s="436"/>
      <c r="DU37" s="436"/>
      <c r="DV37" s="436"/>
      <c r="DW37" s="436"/>
      <c r="DX37" s="436"/>
      <c r="DY37" s="436"/>
      <c r="DZ37" s="436"/>
      <c r="EA37" s="440"/>
      <c r="EB37" s="439"/>
      <c r="EC37" s="441"/>
      <c r="ED37" s="441"/>
      <c r="EE37" s="441"/>
      <c r="EF37" s="436"/>
      <c r="EG37" s="436"/>
      <c r="EH37" s="436"/>
      <c r="EI37" s="436"/>
      <c r="EJ37" s="436"/>
      <c r="EK37" s="436"/>
      <c r="EL37" s="436"/>
      <c r="EM37" s="436"/>
      <c r="EN37" s="436"/>
      <c r="EO37" s="436"/>
      <c r="EP37" s="436"/>
      <c r="EQ37" s="436"/>
      <c r="ER37" s="436"/>
      <c r="ES37" s="436"/>
      <c r="ET37" s="436"/>
      <c r="EU37" s="436"/>
      <c r="EV37" s="436"/>
      <c r="EW37" s="436"/>
      <c r="EX37" s="436"/>
      <c r="EY37" s="436"/>
      <c r="EZ37" s="440"/>
      <c r="FA37" s="439"/>
      <c r="FB37" s="441"/>
      <c r="FC37" s="441"/>
      <c r="FD37" s="441"/>
      <c r="FE37" s="436"/>
      <c r="FF37" s="436"/>
      <c r="FG37" s="436"/>
      <c r="FH37" s="436"/>
      <c r="FI37" s="436"/>
      <c r="FJ37" s="436"/>
      <c r="FK37" s="436"/>
      <c r="FL37" s="436"/>
      <c r="FM37" s="436"/>
      <c r="FN37" s="436"/>
      <c r="FO37" s="436"/>
      <c r="FP37" s="436"/>
      <c r="FQ37" s="436"/>
      <c r="FR37" s="436"/>
      <c r="FS37" s="436"/>
      <c r="FT37" s="436"/>
      <c r="FU37" s="436"/>
      <c r="FV37" s="436"/>
      <c r="FW37" s="436"/>
      <c r="FX37" s="436"/>
      <c r="FY37" s="440"/>
      <c r="FZ37" s="439"/>
      <c r="GA37" s="441"/>
      <c r="GB37" s="441"/>
      <c r="GC37" s="441"/>
      <c r="GD37" s="436"/>
      <c r="GE37" s="436"/>
      <c r="GF37" s="436"/>
      <c r="GG37" s="436"/>
      <c r="GH37" s="436"/>
      <c r="GI37" s="436"/>
      <c r="GJ37" s="436"/>
      <c r="GK37" s="436"/>
      <c r="GL37" s="436"/>
      <c r="GM37" s="436"/>
      <c r="GN37" s="436"/>
      <c r="GO37" s="436"/>
      <c r="GP37" s="436"/>
      <c r="GQ37" s="436"/>
      <c r="GR37" s="436"/>
      <c r="GS37" s="436"/>
      <c r="GT37" s="436"/>
      <c r="GU37" s="436"/>
      <c r="GV37" s="436"/>
      <c r="GW37" s="436"/>
      <c r="GX37" s="440"/>
      <c r="GY37" s="439"/>
      <c r="GZ37" s="441"/>
      <c r="HA37" s="441"/>
      <c r="HB37" s="441"/>
      <c r="HC37" s="436"/>
      <c r="HD37" s="436"/>
      <c r="HE37" s="436"/>
      <c r="HF37" s="436"/>
      <c r="HG37" s="436"/>
      <c r="HH37" s="436"/>
      <c r="HI37" s="436"/>
      <c r="HJ37" s="436"/>
      <c r="HK37" s="436"/>
      <c r="HL37" s="436"/>
      <c r="HM37" s="436"/>
      <c r="HN37" s="436"/>
      <c r="HO37" s="436"/>
      <c r="HP37" s="436"/>
      <c r="HQ37" s="436"/>
      <c r="HR37" s="436"/>
      <c r="HS37" s="436"/>
      <c r="HT37" s="436"/>
      <c r="HU37" s="436"/>
      <c r="HV37" s="436"/>
      <c r="HW37" s="440"/>
    </row>
    <row r="38" spans="1:463" ht="24" customHeight="1" thickBot="1">
      <c r="A38" s="444"/>
      <c r="B38" s="1917" t="str">
        <f>'Вывод расчетов'!$AK$9</f>
        <v>Раздел 1</v>
      </c>
      <c r="C38" s="1915"/>
      <c r="D38" s="1915"/>
      <c r="E38" s="445"/>
      <c r="F38" s="1917" t="str">
        <f>'Вывод расчетов'!$AN$9</f>
        <v>Определение главных размеров асинхронного двигателя</v>
      </c>
      <c r="G38" s="1915"/>
      <c r="H38" s="1915"/>
      <c r="I38" s="1915"/>
      <c r="J38" s="1915"/>
      <c r="K38" s="1915"/>
      <c r="L38" s="1915"/>
      <c r="M38" s="1915"/>
      <c r="N38" s="1915"/>
      <c r="O38" s="1915"/>
      <c r="P38" s="1915"/>
      <c r="Q38" s="1915"/>
      <c r="R38" s="1918"/>
      <c r="S38" s="445"/>
      <c r="T38" s="1917" t="s">
        <v>1502</v>
      </c>
      <c r="U38" s="1915"/>
      <c r="V38" s="1918"/>
      <c r="W38" s="445"/>
      <c r="X38" s="1917">
        <v>2</v>
      </c>
      <c r="Y38" s="1918"/>
      <c r="Z38" s="446"/>
      <c r="AA38" s="608"/>
      <c r="AB38" s="608"/>
      <c r="AC38" s="608"/>
      <c r="AD38" s="608"/>
      <c r="AE38" s="608"/>
      <c r="AF38" s="444"/>
      <c r="AG38" s="1917" t="str">
        <f>'Вывод расчетов'!$CC$9</f>
        <v>Раздел 3</v>
      </c>
      <c r="AH38" s="1915"/>
      <c r="AI38" s="1915"/>
      <c r="AJ38" s="445"/>
      <c r="AK38" s="1917" t="str">
        <f>'Вывод расчетов'!$CF$9</f>
        <v>Расчет обмотки статора</v>
      </c>
      <c r="AL38" s="1915"/>
      <c r="AM38" s="1915"/>
      <c r="AN38" s="1915"/>
      <c r="AO38" s="1915"/>
      <c r="AP38" s="1915"/>
      <c r="AQ38" s="1915"/>
      <c r="AR38" s="1915"/>
      <c r="AS38" s="1915"/>
      <c r="AT38" s="1915"/>
      <c r="AU38" s="1915"/>
      <c r="AV38" s="1918"/>
      <c r="AW38" s="445"/>
      <c r="AX38" s="1917" t="s">
        <v>1502</v>
      </c>
      <c r="AY38" s="1915"/>
      <c r="AZ38" s="1918"/>
      <c r="BA38" s="445"/>
      <c r="BB38" s="1917">
        <v>9</v>
      </c>
      <c r="BC38" s="1918"/>
      <c r="BD38" s="446"/>
      <c r="BE38" s="444"/>
      <c r="BF38" s="1917" t="str">
        <f>'Вывод расчетов'!EB9</f>
        <v>Раздел 3</v>
      </c>
      <c r="BG38" s="1915"/>
      <c r="BH38" s="1916"/>
      <c r="BI38" s="444"/>
      <c r="BJ38" s="1917" t="str">
        <f>'Вывод расчетов'!$AN$9</f>
        <v>Определение главных размеров асинхронного двигателя</v>
      </c>
      <c r="BK38" s="1915"/>
      <c r="BL38" s="1915"/>
      <c r="BM38" s="1915"/>
      <c r="BN38" s="1915"/>
      <c r="BO38" s="1915"/>
      <c r="BP38" s="1915"/>
      <c r="BQ38" s="1915"/>
      <c r="BR38" s="1915"/>
      <c r="BS38" s="1915"/>
      <c r="BT38" s="1915"/>
      <c r="BU38" s="1915"/>
      <c r="BV38" s="1915"/>
      <c r="BW38" s="1915"/>
      <c r="BX38" s="1915"/>
      <c r="BY38" s="445"/>
      <c r="BZ38" s="1917" t="s">
        <v>1492</v>
      </c>
      <c r="CA38" s="1915"/>
      <c r="CB38" s="1918"/>
      <c r="CC38" s="446"/>
      <c r="CD38" s="444"/>
      <c r="CE38" s="1917" t="str">
        <f>'Вывод расчетов'!$CC$9</f>
        <v>Раздел 3</v>
      </c>
      <c r="CF38" s="1915"/>
      <c r="CG38" s="1915"/>
      <c r="CH38" s="445"/>
      <c r="CI38" s="1917" t="str">
        <f>'Вывод расчетов'!$CF$9</f>
        <v>Расчет обмотки статора</v>
      </c>
      <c r="CJ38" s="1915"/>
      <c r="CK38" s="1915"/>
      <c r="CL38" s="1915"/>
      <c r="CM38" s="1915"/>
      <c r="CN38" s="1915"/>
      <c r="CO38" s="1915"/>
      <c r="CP38" s="1915"/>
      <c r="CQ38" s="1915"/>
      <c r="CR38" s="1915"/>
      <c r="CS38" s="1915"/>
      <c r="CT38" s="1918"/>
      <c r="CU38" s="445"/>
      <c r="CV38" s="1917" t="s">
        <v>1502</v>
      </c>
      <c r="CW38" s="1915"/>
      <c r="CX38" s="1918"/>
      <c r="CY38" s="445"/>
      <c r="CZ38" s="1917">
        <v>11</v>
      </c>
      <c r="DA38" s="1918"/>
      <c r="DB38" s="446"/>
      <c r="DC38" s="444"/>
      <c r="DD38" s="1917" t="str">
        <f>'Вывод расчетов'!$CC$9</f>
        <v>Раздел 3</v>
      </c>
      <c r="DE38" s="1915"/>
      <c r="DF38" s="1915"/>
      <c r="DG38" s="445"/>
      <c r="DH38" s="1917" t="str">
        <f>'Вывод расчетов'!$CF$9</f>
        <v>Расчет обмотки статора</v>
      </c>
      <c r="DI38" s="1915"/>
      <c r="DJ38" s="1915"/>
      <c r="DK38" s="1915"/>
      <c r="DL38" s="1915"/>
      <c r="DM38" s="1915"/>
      <c r="DN38" s="1915"/>
      <c r="DO38" s="1915"/>
      <c r="DP38" s="1915"/>
      <c r="DQ38" s="1915"/>
      <c r="DR38" s="1915"/>
      <c r="DS38" s="1918"/>
      <c r="DT38" s="445"/>
      <c r="DU38" s="1917" t="s">
        <v>1502</v>
      </c>
      <c r="DV38" s="1915"/>
      <c r="DW38" s="1918"/>
      <c r="DX38" s="445"/>
      <c r="DY38" s="1917">
        <v>11</v>
      </c>
      <c r="DZ38" s="1918"/>
      <c r="EA38" s="446"/>
      <c r="EB38" s="444"/>
      <c r="EC38" s="1917" t="str">
        <f>'Вывод расчетов'!$CC$9</f>
        <v>Раздел 3</v>
      </c>
      <c r="ED38" s="1915"/>
      <c r="EE38" s="1915"/>
      <c r="EF38" s="445"/>
      <c r="EG38" s="1917" t="str">
        <f>'Вывод расчетов'!$CF$9</f>
        <v>Расчет обмотки статора</v>
      </c>
      <c r="EH38" s="1915"/>
      <c r="EI38" s="1915"/>
      <c r="EJ38" s="1915"/>
      <c r="EK38" s="1915"/>
      <c r="EL38" s="1915"/>
      <c r="EM38" s="1915"/>
      <c r="EN38" s="1915"/>
      <c r="EO38" s="1915"/>
      <c r="EP38" s="1915"/>
      <c r="EQ38" s="1915"/>
      <c r="ER38" s="1918"/>
      <c r="ES38" s="445"/>
      <c r="ET38" s="1917" t="s">
        <v>1502</v>
      </c>
      <c r="EU38" s="1915"/>
      <c r="EV38" s="1918"/>
      <c r="EW38" s="445"/>
      <c r="EX38" s="1917">
        <v>11</v>
      </c>
      <c r="EY38" s="1918"/>
      <c r="EZ38" s="446"/>
      <c r="FA38" s="444"/>
      <c r="FB38" s="1917" t="str">
        <f>'Вывод расчетов'!$CC$9</f>
        <v>Раздел 3</v>
      </c>
      <c r="FC38" s="1915"/>
      <c r="FD38" s="1915"/>
      <c r="FE38" s="445"/>
      <c r="FF38" s="1917" t="str">
        <f>'Вывод расчетов'!$CF$9</f>
        <v>Расчет обмотки статора</v>
      </c>
      <c r="FG38" s="1915"/>
      <c r="FH38" s="1915"/>
      <c r="FI38" s="1915"/>
      <c r="FJ38" s="1915"/>
      <c r="FK38" s="1915"/>
      <c r="FL38" s="1915"/>
      <c r="FM38" s="1915"/>
      <c r="FN38" s="1915"/>
      <c r="FO38" s="1915"/>
      <c r="FP38" s="1915"/>
      <c r="FQ38" s="1918"/>
      <c r="FR38" s="445"/>
      <c r="FS38" s="1917" t="s">
        <v>1502</v>
      </c>
      <c r="FT38" s="1915"/>
      <c r="FU38" s="1918"/>
      <c r="FV38" s="445"/>
      <c r="FW38" s="1917">
        <v>11</v>
      </c>
      <c r="FX38" s="1918"/>
      <c r="FY38" s="446"/>
      <c r="FZ38" s="444"/>
      <c r="GA38" s="1917" t="str">
        <f>'Вывод расчетов'!$CC$9</f>
        <v>Раздел 3</v>
      </c>
      <c r="GB38" s="1915"/>
      <c r="GC38" s="1915"/>
      <c r="GD38" s="445"/>
      <c r="GE38" s="1917" t="str">
        <f>'Вывод расчетов'!$CF$9</f>
        <v>Расчет обмотки статора</v>
      </c>
      <c r="GF38" s="1915"/>
      <c r="GG38" s="1915"/>
      <c r="GH38" s="1915"/>
      <c r="GI38" s="1915"/>
      <c r="GJ38" s="1915"/>
      <c r="GK38" s="1915"/>
      <c r="GL38" s="1915"/>
      <c r="GM38" s="1915"/>
      <c r="GN38" s="1915"/>
      <c r="GO38" s="1915"/>
      <c r="GP38" s="1918"/>
      <c r="GQ38" s="445"/>
      <c r="GR38" s="1917" t="s">
        <v>1502</v>
      </c>
      <c r="GS38" s="1915"/>
      <c r="GT38" s="1918"/>
      <c r="GU38" s="445"/>
      <c r="GV38" s="1917">
        <v>11</v>
      </c>
      <c r="GW38" s="1918"/>
      <c r="GX38" s="446"/>
      <c r="GY38" s="444"/>
      <c r="GZ38" s="1917" t="str">
        <f>'Вывод расчетов'!$CC$9</f>
        <v>Раздел 3</v>
      </c>
      <c r="HA38" s="1915"/>
      <c r="HB38" s="1915"/>
      <c r="HC38" s="445"/>
      <c r="HD38" s="1917" t="str">
        <f>'Вывод расчетов'!$CF$9</f>
        <v>Расчет обмотки статора</v>
      </c>
      <c r="HE38" s="1915"/>
      <c r="HF38" s="1915"/>
      <c r="HG38" s="1915"/>
      <c r="HH38" s="1915"/>
      <c r="HI38" s="1915"/>
      <c r="HJ38" s="1915"/>
      <c r="HK38" s="1915"/>
      <c r="HL38" s="1915"/>
      <c r="HM38" s="1915"/>
      <c r="HN38" s="1915"/>
      <c r="HO38" s="1918"/>
      <c r="HP38" s="445"/>
      <c r="HQ38" s="1917" t="s">
        <v>1502</v>
      </c>
      <c r="HR38" s="1915"/>
      <c r="HS38" s="1918"/>
      <c r="HT38" s="445"/>
      <c r="HU38" s="1917">
        <v>11</v>
      </c>
      <c r="HV38" s="1918"/>
      <c r="HW38" s="446"/>
    </row>
    <row r="39" spans="1:463" ht="24" customHeight="1" thickBot="1">
      <c r="A39" s="1914" t="s">
        <v>1230</v>
      </c>
      <c r="B39" s="1915"/>
      <c r="C39" s="1915"/>
      <c r="D39" s="1915"/>
      <c r="E39" s="1915"/>
      <c r="F39" s="1915"/>
      <c r="G39" s="1915"/>
      <c r="H39" s="1915"/>
      <c r="I39" s="1915"/>
      <c r="J39" s="1915"/>
      <c r="K39" s="1915"/>
      <c r="L39" s="1915"/>
      <c r="M39" s="1915"/>
      <c r="N39" s="1915"/>
      <c r="O39" s="1915"/>
      <c r="P39" s="1915"/>
      <c r="Q39" s="1915"/>
      <c r="R39" s="1915"/>
      <c r="S39" s="1915"/>
      <c r="T39" s="1915"/>
      <c r="U39" s="1915"/>
      <c r="V39" s="1915"/>
      <c r="W39" s="1915"/>
      <c r="X39" s="1915"/>
      <c r="Y39" s="1915"/>
      <c r="Z39" s="1916"/>
      <c r="AA39" s="605"/>
      <c r="AB39" s="605"/>
      <c r="AC39" s="605"/>
      <c r="AD39" s="605"/>
      <c r="AE39" s="605"/>
      <c r="AF39" s="1914" t="s">
        <v>1230</v>
      </c>
      <c r="AG39" s="1915"/>
      <c r="AH39" s="1915"/>
      <c r="AI39" s="1915"/>
      <c r="AJ39" s="1915"/>
      <c r="AK39" s="1915"/>
      <c r="AL39" s="1915"/>
      <c r="AM39" s="1915"/>
      <c r="AN39" s="1915"/>
      <c r="AO39" s="1915"/>
      <c r="AP39" s="1915"/>
      <c r="AQ39" s="1915"/>
      <c r="AR39" s="1915"/>
      <c r="AS39" s="1915"/>
      <c r="AT39" s="1915"/>
      <c r="AU39" s="1915"/>
      <c r="AV39" s="1915"/>
      <c r="AW39" s="1915"/>
      <c r="AX39" s="1915"/>
      <c r="AY39" s="1915"/>
      <c r="AZ39" s="1915"/>
      <c r="BA39" s="1915"/>
      <c r="BB39" s="1915"/>
      <c r="BC39" s="1915"/>
      <c r="BD39" s="1916"/>
      <c r="BE39" s="1914" t="s">
        <v>1230</v>
      </c>
      <c r="BF39" s="1915"/>
      <c r="BG39" s="1915"/>
      <c r="BH39" s="1915"/>
      <c r="BI39" s="1915"/>
      <c r="BJ39" s="1915"/>
      <c r="BK39" s="1915"/>
      <c r="BL39" s="1915"/>
      <c r="BM39" s="1915"/>
      <c r="BN39" s="1915"/>
      <c r="BO39" s="1915"/>
      <c r="BP39" s="1915"/>
      <c r="BQ39" s="1915"/>
      <c r="BR39" s="1915"/>
      <c r="BS39" s="1915"/>
      <c r="BT39" s="1915"/>
      <c r="BU39" s="1915"/>
      <c r="BV39" s="1915"/>
      <c r="BW39" s="1915"/>
      <c r="BX39" s="1915"/>
      <c r="BY39" s="1915"/>
      <c r="BZ39" s="1915"/>
      <c r="CA39" s="1915"/>
      <c r="CB39" s="1915"/>
      <c r="CC39" s="1916"/>
      <c r="CD39" s="1914" t="s">
        <v>1230</v>
      </c>
      <c r="CE39" s="1915"/>
      <c r="CF39" s="1915"/>
      <c r="CG39" s="1915"/>
      <c r="CH39" s="1915"/>
      <c r="CI39" s="1915"/>
      <c r="CJ39" s="1915"/>
      <c r="CK39" s="1915"/>
      <c r="CL39" s="1915"/>
      <c r="CM39" s="1915"/>
      <c r="CN39" s="1915"/>
      <c r="CO39" s="1915"/>
      <c r="CP39" s="1915"/>
      <c r="CQ39" s="1915"/>
      <c r="CR39" s="1915"/>
      <c r="CS39" s="1915"/>
      <c r="CT39" s="1915"/>
      <c r="CU39" s="1915"/>
      <c r="CV39" s="1915"/>
      <c r="CW39" s="1915"/>
      <c r="CX39" s="1915"/>
      <c r="CY39" s="1915"/>
      <c r="CZ39" s="1915"/>
      <c r="DA39" s="1915"/>
      <c r="DB39" s="1916"/>
      <c r="DC39" s="1914" t="s">
        <v>1230</v>
      </c>
      <c r="DD39" s="1915"/>
      <c r="DE39" s="1915"/>
      <c r="DF39" s="1915"/>
      <c r="DG39" s="1915"/>
      <c r="DH39" s="1915"/>
      <c r="DI39" s="1915"/>
      <c r="DJ39" s="1915"/>
      <c r="DK39" s="1915"/>
      <c r="DL39" s="1915"/>
      <c r="DM39" s="1915"/>
      <c r="DN39" s="1915"/>
      <c r="DO39" s="1915"/>
      <c r="DP39" s="1915"/>
      <c r="DQ39" s="1915"/>
      <c r="DR39" s="1915"/>
      <c r="DS39" s="1915"/>
      <c r="DT39" s="1915"/>
      <c r="DU39" s="1915"/>
      <c r="DV39" s="1915"/>
      <c r="DW39" s="1915"/>
      <c r="DX39" s="1915"/>
      <c r="DY39" s="1915"/>
      <c r="DZ39" s="1915"/>
      <c r="EA39" s="1916"/>
      <c r="EB39" s="1914" t="s">
        <v>1230</v>
      </c>
      <c r="EC39" s="1915"/>
      <c r="ED39" s="1915"/>
      <c r="EE39" s="1915"/>
      <c r="EF39" s="1915"/>
      <c r="EG39" s="1915"/>
      <c r="EH39" s="1915"/>
      <c r="EI39" s="1915"/>
      <c r="EJ39" s="1915"/>
      <c r="EK39" s="1915"/>
      <c r="EL39" s="1915"/>
      <c r="EM39" s="1915"/>
      <c r="EN39" s="1915"/>
      <c r="EO39" s="1915"/>
      <c r="EP39" s="1915"/>
      <c r="EQ39" s="1915"/>
      <c r="ER39" s="1915"/>
      <c r="ES39" s="1915"/>
      <c r="ET39" s="1915"/>
      <c r="EU39" s="1915"/>
      <c r="EV39" s="1915"/>
      <c r="EW39" s="1915"/>
      <c r="EX39" s="1915"/>
      <c r="EY39" s="1915"/>
      <c r="EZ39" s="1916"/>
      <c r="FA39" s="1914" t="s">
        <v>1230</v>
      </c>
      <c r="FB39" s="1915"/>
      <c r="FC39" s="1915"/>
      <c r="FD39" s="1915"/>
      <c r="FE39" s="1915"/>
      <c r="FF39" s="1915"/>
      <c r="FG39" s="1915"/>
      <c r="FH39" s="1915"/>
      <c r="FI39" s="1915"/>
      <c r="FJ39" s="1915"/>
      <c r="FK39" s="1915"/>
      <c r="FL39" s="1915"/>
      <c r="FM39" s="1915"/>
      <c r="FN39" s="1915"/>
      <c r="FO39" s="1915"/>
      <c r="FP39" s="1915"/>
      <c r="FQ39" s="1915"/>
      <c r="FR39" s="1915"/>
      <c r="FS39" s="1915"/>
      <c r="FT39" s="1915"/>
      <c r="FU39" s="1915"/>
      <c r="FV39" s="1915"/>
      <c r="FW39" s="1915"/>
      <c r="FX39" s="1915"/>
      <c r="FY39" s="1916"/>
      <c r="FZ39" s="1914" t="s">
        <v>1230</v>
      </c>
      <c r="GA39" s="1915"/>
      <c r="GB39" s="1915"/>
      <c r="GC39" s="1915"/>
      <c r="GD39" s="1915"/>
      <c r="GE39" s="1915"/>
      <c r="GF39" s="1915"/>
      <c r="GG39" s="1915"/>
      <c r="GH39" s="1915"/>
      <c r="GI39" s="1915"/>
      <c r="GJ39" s="1915"/>
      <c r="GK39" s="1915"/>
      <c r="GL39" s="1915"/>
      <c r="GM39" s="1915"/>
      <c r="GN39" s="1915"/>
      <c r="GO39" s="1915"/>
      <c r="GP39" s="1915"/>
      <c r="GQ39" s="1915"/>
      <c r="GR39" s="1915"/>
      <c r="GS39" s="1915"/>
      <c r="GT39" s="1915"/>
      <c r="GU39" s="1915"/>
      <c r="GV39" s="1915"/>
      <c r="GW39" s="1915"/>
      <c r="GX39" s="1916"/>
      <c r="GY39" s="1914" t="s">
        <v>1230</v>
      </c>
      <c r="GZ39" s="1915"/>
      <c r="HA39" s="1915"/>
      <c r="HB39" s="1915"/>
      <c r="HC39" s="1915"/>
      <c r="HD39" s="1915"/>
      <c r="HE39" s="1915"/>
      <c r="HF39" s="1915"/>
      <c r="HG39" s="1915"/>
      <c r="HH39" s="1915"/>
      <c r="HI39" s="1915"/>
      <c r="HJ39" s="1915"/>
      <c r="HK39" s="1915"/>
      <c r="HL39" s="1915"/>
      <c r="HM39" s="1915"/>
      <c r="HN39" s="1915"/>
      <c r="HO39" s="1915"/>
      <c r="HP39" s="1915"/>
      <c r="HQ39" s="1915"/>
      <c r="HR39" s="1915"/>
      <c r="HS39" s="1915"/>
      <c r="HT39" s="1915"/>
      <c r="HU39" s="1915"/>
      <c r="HV39" s="1915"/>
      <c r="HW39" s="1916"/>
    </row>
    <row r="40" spans="1:463" ht="24" customHeight="1">
      <c r="A40" s="437"/>
      <c r="B40" s="438"/>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47"/>
      <c r="AA40" s="438"/>
      <c r="AB40" s="438"/>
      <c r="AC40" s="438"/>
      <c r="AD40" s="438"/>
      <c r="AE40" s="438"/>
      <c r="AF40" s="437"/>
      <c r="AG40" s="438"/>
      <c r="AH40" s="438"/>
      <c r="AI40" s="438"/>
      <c r="AJ40" s="438"/>
      <c r="AK40" s="438"/>
      <c r="AL40" s="438"/>
      <c r="AM40" s="438"/>
      <c r="AN40" s="438"/>
      <c r="AO40" s="438"/>
      <c r="AP40" s="438"/>
      <c r="AQ40" s="438"/>
      <c r="AR40" s="438"/>
      <c r="AS40" s="438"/>
      <c r="AT40" s="438"/>
      <c r="AU40" s="438"/>
      <c r="AV40" s="438"/>
      <c r="AW40" s="438"/>
      <c r="AX40" s="438"/>
      <c r="AY40" s="438"/>
      <c r="AZ40" s="438"/>
      <c r="BA40" s="438"/>
      <c r="BB40" s="438"/>
      <c r="BC40" s="438"/>
      <c r="BD40" s="447"/>
      <c r="BE40" s="437"/>
      <c r="BF40" s="438"/>
      <c r="BG40" s="438"/>
      <c r="BH40" s="438"/>
      <c r="BI40" s="438"/>
      <c r="BJ40" s="438"/>
      <c r="BK40" s="438"/>
      <c r="BL40" s="438"/>
      <c r="BM40" s="438"/>
      <c r="BN40" s="438"/>
      <c r="BO40" s="438"/>
      <c r="BP40" s="438"/>
      <c r="BQ40" s="438"/>
      <c r="BR40" s="438"/>
      <c r="BS40" s="438"/>
      <c r="BT40" s="438"/>
      <c r="BU40" s="438"/>
      <c r="BV40" s="438"/>
      <c r="BW40" s="438"/>
      <c r="BX40" s="438"/>
      <c r="BY40" s="438"/>
      <c r="BZ40" s="438"/>
      <c r="CA40" s="438"/>
      <c r="CB40" s="438"/>
      <c r="CC40" s="447"/>
      <c r="CD40" s="437"/>
      <c r="CE40" s="438"/>
      <c r="CF40" s="438"/>
      <c r="CG40" s="438"/>
      <c r="CH40" s="438"/>
      <c r="CI40" s="438"/>
      <c r="CJ40" s="438"/>
      <c r="CK40" s="438"/>
      <c r="CL40" s="438"/>
      <c r="CM40" s="438"/>
      <c r="CN40" s="438"/>
      <c r="CO40" s="438"/>
      <c r="CP40" s="438"/>
      <c r="CQ40" s="438"/>
      <c r="CR40" s="438"/>
      <c r="CS40" s="438"/>
      <c r="CT40" s="438"/>
      <c r="CU40" s="438"/>
      <c r="CV40" s="438"/>
      <c r="CW40" s="438"/>
      <c r="CX40" s="438"/>
      <c r="CY40" s="438"/>
      <c r="CZ40" s="438"/>
      <c r="DA40" s="438"/>
      <c r="DB40" s="447"/>
      <c r="DC40" s="437"/>
      <c r="DD40" s="438"/>
      <c r="DE40" s="438"/>
      <c r="DF40" s="438"/>
      <c r="DG40" s="438"/>
      <c r="DH40" s="438"/>
      <c r="DI40" s="438"/>
      <c r="DJ40" s="438"/>
      <c r="DK40" s="438"/>
      <c r="DL40" s="438"/>
      <c r="DM40" s="438"/>
      <c r="DN40" s="438"/>
      <c r="DO40" s="438"/>
      <c r="DP40" s="438"/>
      <c r="DQ40" s="438"/>
      <c r="DR40" s="438"/>
      <c r="DS40" s="438"/>
      <c r="DT40" s="438"/>
      <c r="DU40" s="438"/>
      <c r="DV40" s="438"/>
      <c r="DW40" s="438"/>
      <c r="DX40" s="438"/>
      <c r="DY40" s="438"/>
      <c r="DZ40" s="438"/>
      <c r="EA40" s="447"/>
      <c r="EB40" s="437"/>
      <c r="EC40" s="438"/>
      <c r="ED40" s="438"/>
      <c r="EE40" s="438"/>
      <c r="EF40" s="438"/>
      <c r="EG40" s="438"/>
      <c r="EH40" s="438"/>
      <c r="EI40" s="438"/>
      <c r="EJ40" s="438"/>
      <c r="EK40" s="438"/>
      <c r="EL40" s="438"/>
      <c r="EM40" s="438"/>
      <c r="EN40" s="438"/>
      <c r="EO40" s="438"/>
      <c r="EP40" s="438"/>
      <c r="EQ40" s="438"/>
      <c r="ER40" s="438"/>
      <c r="ES40" s="438"/>
      <c r="ET40" s="438"/>
      <c r="EU40" s="438"/>
      <c r="EV40" s="438"/>
      <c r="EW40" s="438"/>
      <c r="EX40" s="438"/>
      <c r="EY40" s="438"/>
      <c r="EZ40" s="447"/>
      <c r="FA40" s="437"/>
      <c r="FB40" s="438"/>
      <c r="FC40" s="438"/>
      <c r="FD40" s="438"/>
      <c r="FE40" s="438"/>
      <c r="FF40" s="438"/>
      <c r="FG40" s="438"/>
      <c r="FH40" s="438"/>
      <c r="FI40" s="438"/>
      <c r="FJ40" s="438"/>
      <c r="FK40" s="438"/>
      <c r="FL40" s="438"/>
      <c r="FM40" s="438"/>
      <c r="FN40" s="438"/>
      <c r="FO40" s="438"/>
      <c r="FP40" s="438"/>
      <c r="FQ40" s="438"/>
      <c r="FR40" s="438"/>
      <c r="FS40" s="438"/>
      <c r="FT40" s="438"/>
      <c r="FU40" s="438"/>
      <c r="FV40" s="438"/>
      <c r="FW40" s="438"/>
      <c r="FX40" s="438"/>
      <c r="FY40" s="447"/>
      <c r="FZ40" s="437"/>
      <c r="GA40" s="438"/>
      <c r="GB40" s="438"/>
      <c r="GC40" s="438"/>
      <c r="GD40" s="438"/>
      <c r="GE40" s="438"/>
      <c r="GF40" s="438"/>
      <c r="GG40" s="438"/>
      <c r="GH40" s="438"/>
      <c r="GI40" s="438"/>
      <c r="GJ40" s="438"/>
      <c r="GK40" s="438"/>
      <c r="GL40" s="438"/>
      <c r="GM40" s="438"/>
      <c r="GN40" s="438"/>
      <c r="GO40" s="438"/>
      <c r="GP40" s="438"/>
      <c r="GQ40" s="438"/>
      <c r="GR40" s="438"/>
      <c r="GS40" s="438"/>
      <c r="GT40" s="438"/>
      <c r="GU40" s="438"/>
      <c r="GV40" s="438"/>
      <c r="GW40" s="438"/>
      <c r="GX40" s="447"/>
      <c r="GY40" s="437"/>
      <c r="GZ40" s="438"/>
      <c r="HA40" s="438"/>
      <c r="HB40" s="438"/>
      <c r="HC40" s="438"/>
      <c r="HD40" s="438"/>
      <c r="HE40" s="438"/>
      <c r="HF40" s="438"/>
      <c r="HG40" s="438"/>
      <c r="HH40" s="438"/>
      <c r="HI40" s="438"/>
      <c r="HJ40" s="438"/>
      <c r="HK40" s="438"/>
      <c r="HL40" s="438"/>
      <c r="HM40" s="438"/>
      <c r="HN40" s="438"/>
      <c r="HO40" s="438"/>
      <c r="HP40" s="438"/>
      <c r="HQ40" s="438"/>
      <c r="HR40" s="438"/>
      <c r="HS40" s="438"/>
      <c r="HT40" s="438"/>
      <c r="HU40" s="438"/>
      <c r="HV40" s="438"/>
      <c r="HW40" s="447"/>
    </row>
    <row r="41" spans="1:463" ht="24" customHeight="1">
      <c r="A41" s="439"/>
      <c r="B41" s="436"/>
      <c r="C41" s="436"/>
      <c r="D41" s="436"/>
      <c r="E41" s="436"/>
      <c r="F41" s="436"/>
      <c r="G41" s="436"/>
      <c r="H41" s="436"/>
      <c r="I41" s="436"/>
      <c r="J41" s="436"/>
      <c r="K41" s="436"/>
      <c r="L41" s="436"/>
      <c r="M41" s="436"/>
      <c r="N41" s="436"/>
      <c r="O41" s="436"/>
      <c r="P41" s="436"/>
      <c r="Q41" s="436"/>
      <c r="R41" s="436"/>
      <c r="S41" s="436"/>
      <c r="T41" s="436"/>
      <c r="U41" s="436"/>
      <c r="V41" s="436"/>
      <c r="W41" s="436"/>
      <c r="X41" s="436"/>
      <c r="Y41" s="436"/>
      <c r="Z41" s="440"/>
      <c r="AA41" s="436"/>
      <c r="AB41" s="436"/>
      <c r="AC41" s="436"/>
      <c r="AD41" s="436"/>
      <c r="AE41" s="436"/>
      <c r="AF41" s="439"/>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40"/>
      <c r="BE41" s="439"/>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40"/>
      <c r="CD41" s="439"/>
      <c r="CE41" s="436"/>
      <c r="CF41" s="436"/>
      <c r="CG41" s="436"/>
      <c r="CH41" s="436"/>
      <c r="CI41" s="436"/>
      <c r="CJ41" s="436"/>
      <c r="CK41" s="436"/>
      <c r="CL41" s="436"/>
      <c r="CM41" s="436"/>
      <c r="CN41" s="436"/>
      <c r="CO41" s="436"/>
      <c r="CP41" s="436"/>
      <c r="CQ41" s="436"/>
      <c r="CR41" s="436"/>
      <c r="CS41" s="436"/>
      <c r="CT41" s="436"/>
      <c r="CU41" s="436"/>
      <c r="CV41" s="436"/>
      <c r="CW41" s="436"/>
      <c r="CX41" s="436"/>
      <c r="CY41" s="436"/>
      <c r="CZ41" s="436"/>
      <c r="DA41" s="436"/>
      <c r="DB41" s="440"/>
      <c r="DC41" s="439"/>
      <c r="DD41" s="436"/>
      <c r="DE41" s="436"/>
      <c r="DF41" s="436"/>
      <c r="DG41" s="436"/>
      <c r="DH41" s="436"/>
      <c r="DI41" s="436"/>
      <c r="DJ41" s="436"/>
      <c r="DK41" s="436"/>
      <c r="DL41" s="436"/>
      <c r="DM41" s="436"/>
      <c r="DN41" s="436"/>
      <c r="DO41" s="436"/>
      <c r="DP41" s="436"/>
      <c r="DQ41" s="436"/>
      <c r="DR41" s="436"/>
      <c r="DS41" s="436"/>
      <c r="DT41" s="436"/>
      <c r="DU41" s="436"/>
      <c r="DV41" s="436"/>
      <c r="DW41" s="436"/>
      <c r="DX41" s="436"/>
      <c r="DY41" s="436"/>
      <c r="DZ41" s="436"/>
      <c r="EA41" s="440"/>
      <c r="EB41" s="439"/>
      <c r="EC41" s="436"/>
      <c r="ED41" s="436"/>
      <c r="EE41" s="436"/>
      <c r="EF41" s="436"/>
      <c r="EG41" s="436"/>
      <c r="EH41" s="436"/>
      <c r="EI41" s="436"/>
      <c r="EJ41" s="436"/>
      <c r="EK41" s="436"/>
      <c r="EL41" s="436"/>
      <c r="EM41" s="436"/>
      <c r="EN41" s="436"/>
      <c r="EO41" s="436"/>
      <c r="EP41" s="436"/>
      <c r="EQ41" s="436"/>
      <c r="ER41" s="436"/>
      <c r="ES41" s="436"/>
      <c r="ET41" s="436"/>
      <c r="EU41" s="436"/>
      <c r="EV41" s="436"/>
      <c r="EW41" s="436"/>
      <c r="EX41" s="436"/>
      <c r="EY41" s="436"/>
      <c r="EZ41" s="440"/>
      <c r="FA41" s="439"/>
      <c r="FB41" s="436"/>
      <c r="FC41" s="436"/>
      <c r="FD41" s="436"/>
      <c r="FE41" s="436"/>
      <c r="FF41" s="436"/>
      <c r="FG41" s="436"/>
      <c r="FH41" s="436"/>
      <c r="FI41" s="436"/>
      <c r="FJ41" s="436"/>
      <c r="FK41" s="436"/>
      <c r="FL41" s="436"/>
      <c r="FM41" s="436"/>
      <c r="FN41" s="436"/>
      <c r="FO41" s="436"/>
      <c r="FP41" s="436"/>
      <c r="FQ41" s="436"/>
      <c r="FR41" s="436"/>
      <c r="FS41" s="436"/>
      <c r="FT41" s="436"/>
      <c r="FU41" s="436"/>
      <c r="FV41" s="436"/>
      <c r="FW41" s="436"/>
      <c r="FX41" s="436"/>
      <c r="FY41" s="440"/>
      <c r="FZ41" s="439"/>
      <c r="GA41" s="436"/>
      <c r="GB41" s="436"/>
      <c r="GC41" s="436"/>
      <c r="GD41" s="436"/>
      <c r="GE41" s="436"/>
      <c r="GF41" s="436"/>
      <c r="GG41" s="436"/>
      <c r="GH41" s="436"/>
      <c r="GI41" s="436"/>
      <c r="GJ41" s="436"/>
      <c r="GK41" s="436"/>
      <c r="GL41" s="436"/>
      <c r="GM41" s="436"/>
      <c r="GN41" s="436"/>
      <c r="GO41" s="436"/>
      <c r="GP41" s="436"/>
      <c r="GQ41" s="436"/>
      <c r="GR41" s="436"/>
      <c r="GS41" s="436"/>
      <c r="GT41" s="436"/>
      <c r="GU41" s="436"/>
      <c r="GV41" s="436"/>
      <c r="GW41" s="436"/>
      <c r="GX41" s="440"/>
      <c r="GY41" s="439"/>
      <c r="GZ41" s="436"/>
      <c r="HA41" s="436"/>
      <c r="HB41" s="436"/>
      <c r="HC41" s="436"/>
      <c r="HD41" s="436"/>
      <c r="HE41" s="436"/>
      <c r="HF41" s="436"/>
      <c r="HG41" s="436"/>
      <c r="HH41" s="436"/>
      <c r="HI41" s="436"/>
      <c r="HJ41" s="436"/>
      <c r="HK41" s="436"/>
      <c r="HL41" s="436"/>
      <c r="HM41" s="436"/>
      <c r="HN41" s="436"/>
      <c r="HO41" s="436"/>
      <c r="HP41" s="436"/>
      <c r="HQ41" s="436"/>
      <c r="HR41" s="436"/>
      <c r="HS41" s="436"/>
      <c r="HT41" s="436"/>
      <c r="HU41" s="436"/>
      <c r="HV41" s="436"/>
      <c r="HW41" s="440"/>
    </row>
    <row r="42" spans="1:463" ht="24" customHeight="1">
      <c r="A42" s="439"/>
      <c r="B42" s="436"/>
      <c r="C42" s="436"/>
      <c r="D42" s="436"/>
      <c r="E42" s="436"/>
      <c r="F42" s="436"/>
      <c r="G42" s="436"/>
      <c r="H42" s="436"/>
      <c r="I42" s="436"/>
      <c r="J42" s="436"/>
      <c r="K42" s="436"/>
      <c r="L42" s="436"/>
      <c r="M42" s="436"/>
      <c r="N42" s="436"/>
      <c r="O42" s="436"/>
      <c r="P42" s="436"/>
      <c r="Q42" s="436"/>
      <c r="R42" s="436"/>
      <c r="S42" s="436"/>
      <c r="T42" s="436"/>
      <c r="U42" s="436"/>
      <c r="V42" s="436"/>
      <c r="W42" s="436"/>
      <c r="X42" s="436"/>
      <c r="Y42" s="436"/>
      <c r="Z42" s="440"/>
      <c r="AA42" s="436"/>
      <c r="AB42" s="436"/>
      <c r="AC42" s="436"/>
      <c r="AD42" s="436"/>
      <c r="AE42" s="436"/>
      <c r="AF42" s="439"/>
      <c r="AG42" s="436"/>
      <c r="AH42" s="436"/>
      <c r="AI42" s="436"/>
      <c r="AJ42" s="436"/>
      <c r="AK42" s="436"/>
      <c r="AL42" s="436"/>
      <c r="AM42" s="436"/>
      <c r="AN42" s="436"/>
      <c r="AO42" s="436"/>
      <c r="AP42" s="436"/>
      <c r="AQ42" s="436"/>
      <c r="AR42" s="436"/>
      <c r="AS42" s="436"/>
      <c r="AT42" s="436"/>
      <c r="AU42" s="436"/>
      <c r="AV42" s="436"/>
      <c r="AW42" s="436"/>
      <c r="AX42" s="436"/>
      <c r="AY42" s="436"/>
      <c r="AZ42" s="436"/>
      <c r="BA42" s="436"/>
      <c r="BB42" s="436"/>
      <c r="BC42" s="436"/>
      <c r="BD42" s="440"/>
      <c r="BE42" s="439"/>
      <c r="BF42" s="436"/>
      <c r="BG42" s="436"/>
      <c r="BH42" s="436"/>
      <c r="BI42" s="436"/>
      <c r="BJ42" s="436"/>
      <c r="BK42" s="436"/>
      <c r="BL42" s="436"/>
      <c r="BM42" s="436"/>
      <c r="BN42" s="436"/>
      <c r="BO42" s="436"/>
      <c r="BP42" s="436"/>
      <c r="BQ42" s="436"/>
      <c r="BR42" s="436"/>
      <c r="BS42" s="436"/>
      <c r="BT42" s="436"/>
      <c r="BU42" s="436"/>
      <c r="BV42" s="436"/>
      <c r="BW42" s="436"/>
      <c r="BX42" s="436"/>
      <c r="BY42" s="436"/>
      <c r="BZ42" s="436"/>
      <c r="CA42" s="436"/>
      <c r="CB42" s="436"/>
      <c r="CC42" s="440"/>
      <c r="CD42" s="439"/>
      <c r="CE42" s="436"/>
      <c r="CF42" s="436"/>
      <c r="CG42" s="436"/>
      <c r="CH42" s="436"/>
      <c r="CI42" s="436"/>
      <c r="CJ42" s="436"/>
      <c r="CK42" s="436"/>
      <c r="CL42" s="436"/>
      <c r="CM42" s="436"/>
      <c r="CN42" s="436"/>
      <c r="CO42" s="436"/>
      <c r="CP42" s="436"/>
      <c r="CQ42" s="436"/>
      <c r="CR42" s="436"/>
      <c r="CS42" s="436"/>
      <c r="CT42" s="436"/>
      <c r="CU42" s="436"/>
      <c r="CV42" s="436"/>
      <c r="CW42" s="436"/>
      <c r="CX42" s="436"/>
      <c r="CY42" s="436"/>
      <c r="CZ42" s="436"/>
      <c r="DA42" s="436"/>
      <c r="DB42" s="440"/>
      <c r="DC42" s="439"/>
      <c r="DD42" s="436"/>
      <c r="DE42" s="436"/>
      <c r="DF42" s="436"/>
      <c r="DG42" s="436"/>
      <c r="DH42" s="436"/>
      <c r="DI42" s="436"/>
      <c r="DJ42" s="436"/>
      <c r="DK42" s="436"/>
      <c r="DL42" s="436"/>
      <c r="DM42" s="436"/>
      <c r="DN42" s="436"/>
      <c r="DO42" s="436"/>
      <c r="DP42" s="436"/>
      <c r="DQ42" s="436"/>
      <c r="DR42" s="436"/>
      <c r="DS42" s="436"/>
      <c r="DT42" s="436"/>
      <c r="DU42" s="436"/>
      <c r="DV42" s="436"/>
      <c r="DW42" s="436"/>
      <c r="DX42" s="436"/>
      <c r="DY42" s="436"/>
      <c r="DZ42" s="436"/>
      <c r="EA42" s="440"/>
      <c r="EB42" s="439"/>
      <c r="EC42" s="436"/>
      <c r="ED42" s="436"/>
      <c r="EE42" s="436"/>
      <c r="EF42" s="436"/>
      <c r="EG42" s="436"/>
      <c r="EH42" s="436"/>
      <c r="EI42" s="436"/>
      <c r="EJ42" s="436"/>
      <c r="EK42" s="436"/>
      <c r="EL42" s="436"/>
      <c r="EM42" s="436"/>
      <c r="EN42" s="436"/>
      <c r="EO42" s="436"/>
      <c r="EP42" s="436"/>
      <c r="EQ42" s="436"/>
      <c r="ER42" s="436"/>
      <c r="ES42" s="436"/>
      <c r="ET42" s="436"/>
      <c r="EU42" s="436"/>
      <c r="EV42" s="436"/>
      <c r="EW42" s="436"/>
      <c r="EX42" s="436"/>
      <c r="EY42" s="436"/>
      <c r="EZ42" s="440"/>
      <c r="FA42" s="439"/>
      <c r="FB42" s="436"/>
      <c r="FC42" s="436"/>
      <c r="FD42" s="436"/>
      <c r="FE42" s="436"/>
      <c r="FF42" s="436"/>
      <c r="FG42" s="436"/>
      <c r="FH42" s="436"/>
      <c r="FI42" s="436"/>
      <c r="FJ42" s="436"/>
      <c r="FK42" s="436"/>
      <c r="FL42" s="436"/>
      <c r="FM42" s="436"/>
      <c r="FN42" s="436"/>
      <c r="FO42" s="436"/>
      <c r="FP42" s="436"/>
      <c r="FQ42" s="436"/>
      <c r="FR42" s="436"/>
      <c r="FS42" s="436"/>
      <c r="FT42" s="436"/>
      <c r="FU42" s="436"/>
      <c r="FV42" s="436"/>
      <c r="FW42" s="436"/>
      <c r="FX42" s="436"/>
      <c r="FY42" s="440"/>
      <c r="FZ42" s="439"/>
      <c r="GA42" s="436"/>
      <c r="GB42" s="436"/>
      <c r="GC42" s="436"/>
      <c r="GD42" s="436"/>
      <c r="GE42" s="436"/>
      <c r="GF42" s="436"/>
      <c r="GG42" s="436"/>
      <c r="GH42" s="436"/>
      <c r="GI42" s="436"/>
      <c r="GJ42" s="436"/>
      <c r="GK42" s="436"/>
      <c r="GL42" s="436"/>
      <c r="GM42" s="436"/>
      <c r="GN42" s="436"/>
      <c r="GO42" s="436"/>
      <c r="GP42" s="436"/>
      <c r="GQ42" s="436"/>
      <c r="GR42" s="436"/>
      <c r="GS42" s="436"/>
      <c r="GT42" s="436"/>
      <c r="GU42" s="436"/>
      <c r="GV42" s="436"/>
      <c r="GW42" s="436"/>
      <c r="GX42" s="440"/>
      <c r="GY42" s="439"/>
      <c r="GZ42" s="436"/>
      <c r="HA42" s="436"/>
      <c r="HB42" s="436"/>
      <c r="HC42" s="436"/>
      <c r="HD42" s="436"/>
      <c r="HE42" s="436"/>
      <c r="HF42" s="436"/>
      <c r="HG42" s="436"/>
      <c r="HH42" s="436"/>
      <c r="HI42" s="436"/>
      <c r="HJ42" s="436"/>
      <c r="HK42" s="436"/>
      <c r="HL42" s="436"/>
      <c r="HM42" s="436"/>
      <c r="HN42" s="436"/>
      <c r="HO42" s="436"/>
      <c r="HP42" s="436"/>
      <c r="HQ42" s="436"/>
      <c r="HR42" s="436"/>
      <c r="HS42" s="436"/>
      <c r="HT42" s="436"/>
      <c r="HU42" s="436"/>
      <c r="HV42" s="436"/>
      <c r="HW42" s="440"/>
    </row>
    <row r="43" spans="1:463" ht="24" customHeight="1">
      <c r="A43" s="439"/>
      <c r="B43" s="436"/>
      <c r="C43" s="436"/>
      <c r="D43" s="436"/>
      <c r="E43" s="436"/>
      <c r="F43" s="436"/>
      <c r="G43" s="436"/>
      <c r="H43" s="436"/>
      <c r="I43" s="436"/>
      <c r="J43" s="436"/>
      <c r="K43" s="436"/>
      <c r="L43" s="436"/>
      <c r="M43" s="436"/>
      <c r="N43" s="436"/>
      <c r="O43" s="436"/>
      <c r="P43" s="436"/>
      <c r="Q43" s="436"/>
      <c r="R43" s="436"/>
      <c r="S43" s="436"/>
      <c r="T43" s="436"/>
      <c r="U43" s="436"/>
      <c r="V43" s="436"/>
      <c r="W43" s="436"/>
      <c r="X43" s="436"/>
      <c r="Y43" s="436"/>
      <c r="Z43" s="440"/>
      <c r="AA43" s="436"/>
      <c r="AB43" s="436"/>
      <c r="AC43" s="436"/>
      <c r="AD43" s="436"/>
      <c r="AE43" s="436"/>
      <c r="AF43" s="439"/>
      <c r="AG43" s="436"/>
      <c r="AH43" s="436"/>
      <c r="AI43" s="436"/>
      <c r="AJ43" s="436"/>
      <c r="AK43" s="436"/>
      <c r="AL43" s="436"/>
      <c r="AM43" s="436"/>
      <c r="AN43" s="436"/>
      <c r="AO43" s="436"/>
      <c r="AP43" s="436"/>
      <c r="AQ43" s="436"/>
      <c r="AR43" s="436"/>
      <c r="AS43" s="436"/>
      <c r="AT43" s="436"/>
      <c r="AU43" s="436"/>
      <c r="AV43" s="436"/>
      <c r="AW43" s="436"/>
      <c r="AX43" s="436"/>
      <c r="AY43" s="436"/>
      <c r="AZ43" s="436"/>
      <c r="BA43" s="436"/>
      <c r="BB43" s="436"/>
      <c r="BC43" s="436"/>
      <c r="BD43" s="440"/>
      <c r="BE43" s="439"/>
      <c r="BF43" s="436"/>
      <c r="BG43" s="436"/>
      <c r="BH43" s="436"/>
      <c r="BI43" s="436"/>
      <c r="BJ43" s="436"/>
      <c r="BK43" s="436"/>
      <c r="BL43" s="436"/>
      <c r="BM43" s="436"/>
      <c r="BN43" s="436"/>
      <c r="BO43" s="436"/>
      <c r="BP43" s="436"/>
      <c r="BQ43" s="436"/>
      <c r="BR43" s="436"/>
      <c r="BS43" s="436"/>
      <c r="BT43" s="436"/>
      <c r="BU43" s="436"/>
      <c r="BV43" s="436"/>
      <c r="BW43" s="436"/>
      <c r="BX43" s="436"/>
      <c r="BY43" s="436"/>
      <c r="BZ43" s="436"/>
      <c r="CA43" s="436"/>
      <c r="CB43" s="436"/>
      <c r="CC43" s="440"/>
      <c r="CD43" s="439"/>
      <c r="CE43" s="436"/>
      <c r="CF43" s="436"/>
      <c r="CG43" s="436"/>
      <c r="CH43" s="436"/>
      <c r="CI43" s="436"/>
      <c r="CJ43" s="436"/>
      <c r="CK43" s="436"/>
      <c r="CL43" s="436"/>
      <c r="CM43" s="436"/>
      <c r="CN43" s="436"/>
      <c r="CO43" s="436"/>
      <c r="CP43" s="436"/>
      <c r="CQ43" s="436"/>
      <c r="CR43" s="436"/>
      <c r="CS43" s="436"/>
      <c r="CT43" s="436"/>
      <c r="CU43" s="436"/>
      <c r="CV43" s="436"/>
      <c r="CW43" s="436"/>
      <c r="CX43" s="436"/>
      <c r="CY43" s="436"/>
      <c r="CZ43" s="436"/>
      <c r="DA43" s="436"/>
      <c r="DB43" s="440"/>
      <c r="DC43" s="439"/>
      <c r="DD43" s="436"/>
      <c r="DE43" s="436"/>
      <c r="DF43" s="436"/>
      <c r="DG43" s="436"/>
      <c r="DH43" s="436"/>
      <c r="DI43" s="436"/>
      <c r="DJ43" s="436"/>
      <c r="DK43" s="436"/>
      <c r="DL43" s="436"/>
      <c r="DM43" s="436"/>
      <c r="DN43" s="436"/>
      <c r="DO43" s="436"/>
      <c r="DP43" s="436"/>
      <c r="DQ43" s="436"/>
      <c r="DR43" s="436"/>
      <c r="DS43" s="436"/>
      <c r="DT43" s="436"/>
      <c r="DU43" s="436"/>
      <c r="DV43" s="436"/>
      <c r="DW43" s="436"/>
      <c r="DX43" s="436"/>
      <c r="DY43" s="436"/>
      <c r="DZ43" s="436"/>
      <c r="EA43" s="440"/>
      <c r="EB43" s="439"/>
      <c r="EC43" s="436"/>
      <c r="ED43" s="436"/>
      <c r="EE43" s="436"/>
      <c r="EF43" s="436"/>
      <c r="EG43" s="436"/>
      <c r="EH43" s="436"/>
      <c r="EI43" s="436"/>
      <c r="EJ43" s="436"/>
      <c r="EK43" s="436"/>
      <c r="EL43" s="436"/>
      <c r="EM43" s="436"/>
      <c r="EN43" s="436"/>
      <c r="EO43" s="436"/>
      <c r="EP43" s="436"/>
      <c r="EQ43" s="436"/>
      <c r="ER43" s="436"/>
      <c r="ES43" s="436"/>
      <c r="ET43" s="436"/>
      <c r="EU43" s="436"/>
      <c r="EV43" s="436"/>
      <c r="EW43" s="436"/>
      <c r="EX43" s="436"/>
      <c r="EY43" s="436"/>
      <c r="EZ43" s="440"/>
      <c r="FA43" s="439"/>
      <c r="FB43" s="436"/>
      <c r="FC43" s="436"/>
      <c r="FD43" s="436"/>
      <c r="FE43" s="436"/>
      <c r="FF43" s="436"/>
      <c r="FG43" s="436"/>
      <c r="FH43" s="436"/>
      <c r="FI43" s="436"/>
      <c r="FJ43" s="436"/>
      <c r="FK43" s="436"/>
      <c r="FL43" s="436"/>
      <c r="FM43" s="436"/>
      <c r="FN43" s="436"/>
      <c r="FO43" s="436"/>
      <c r="FP43" s="436"/>
      <c r="FQ43" s="436"/>
      <c r="FR43" s="436"/>
      <c r="FS43" s="436"/>
      <c r="FT43" s="436"/>
      <c r="FU43" s="436"/>
      <c r="FV43" s="436"/>
      <c r="FW43" s="436"/>
      <c r="FX43" s="436"/>
      <c r="FY43" s="440"/>
      <c r="FZ43" s="439"/>
      <c r="GA43" s="436"/>
      <c r="GB43" s="436"/>
      <c r="GC43" s="436"/>
      <c r="GD43" s="436"/>
      <c r="GE43" s="436"/>
      <c r="GF43" s="436"/>
      <c r="GG43" s="436"/>
      <c r="GH43" s="436"/>
      <c r="GI43" s="436"/>
      <c r="GJ43" s="436"/>
      <c r="GK43" s="436"/>
      <c r="GL43" s="436"/>
      <c r="GM43" s="436"/>
      <c r="GN43" s="436"/>
      <c r="GO43" s="436"/>
      <c r="GP43" s="436"/>
      <c r="GQ43" s="436"/>
      <c r="GR43" s="436"/>
      <c r="GS43" s="436"/>
      <c r="GT43" s="436"/>
      <c r="GU43" s="436"/>
      <c r="GV43" s="436"/>
      <c r="GW43" s="436"/>
      <c r="GX43" s="440"/>
      <c r="GY43" s="439"/>
      <c r="GZ43" s="436"/>
      <c r="HA43" s="436"/>
      <c r="HB43" s="436"/>
      <c r="HC43" s="436"/>
      <c r="HD43" s="436"/>
      <c r="HE43" s="436"/>
      <c r="HF43" s="436"/>
      <c r="HG43" s="436"/>
      <c r="HH43" s="436"/>
      <c r="HI43" s="436"/>
      <c r="HJ43" s="436"/>
      <c r="HK43" s="436"/>
      <c r="HL43" s="436"/>
      <c r="HM43" s="436"/>
      <c r="HN43" s="436"/>
      <c r="HO43" s="436"/>
      <c r="HP43" s="436"/>
      <c r="HQ43" s="436"/>
      <c r="HR43" s="436"/>
      <c r="HS43" s="436"/>
      <c r="HT43" s="436"/>
      <c r="HU43" s="436"/>
      <c r="HV43" s="436"/>
      <c r="HW43" s="440"/>
    </row>
    <row r="44" spans="1:463" ht="24" customHeight="1">
      <c r="A44" s="439"/>
      <c r="B44" s="436"/>
      <c r="C44" s="436"/>
      <c r="D44" s="436"/>
      <c r="E44" s="436"/>
      <c r="F44" s="436"/>
      <c r="G44" s="436"/>
      <c r="H44" s="436"/>
      <c r="I44" s="436"/>
      <c r="J44" s="436"/>
      <c r="K44" s="436"/>
      <c r="L44" s="436"/>
      <c r="M44" s="436"/>
      <c r="N44" s="436"/>
      <c r="O44" s="436"/>
      <c r="P44" s="436"/>
      <c r="Q44" s="436"/>
      <c r="R44" s="436"/>
      <c r="S44" s="436"/>
      <c r="T44" s="436"/>
      <c r="U44" s="436"/>
      <c r="V44" s="436"/>
      <c r="W44" s="436"/>
      <c r="X44" s="436"/>
      <c r="Y44" s="436"/>
      <c r="Z44" s="440"/>
      <c r="AA44" s="436"/>
      <c r="AB44" s="436"/>
      <c r="AC44" s="436"/>
      <c r="AD44" s="436"/>
      <c r="AE44" s="436"/>
      <c r="AF44" s="439"/>
      <c r="AG44" s="436"/>
      <c r="AH44" s="436"/>
      <c r="AI44" s="436"/>
      <c r="AJ44" s="436"/>
      <c r="AK44" s="436"/>
      <c r="AL44" s="436"/>
      <c r="AM44" s="436"/>
      <c r="AN44" s="436"/>
      <c r="AO44" s="436"/>
      <c r="AP44" s="436"/>
      <c r="AQ44" s="436"/>
      <c r="AR44" s="436"/>
      <c r="AS44" s="436"/>
      <c r="AT44" s="436"/>
      <c r="AU44" s="436"/>
      <c r="AV44" s="436"/>
      <c r="AW44" s="436"/>
      <c r="AX44" s="436"/>
      <c r="AY44" s="436"/>
      <c r="AZ44" s="436"/>
      <c r="BA44" s="436"/>
      <c r="BB44" s="436"/>
      <c r="BC44" s="436"/>
      <c r="BD44" s="440"/>
      <c r="BE44" s="439"/>
      <c r="BF44" s="436"/>
      <c r="BG44" s="436"/>
      <c r="BH44" s="436"/>
      <c r="BI44" s="436"/>
      <c r="BJ44" s="436"/>
      <c r="BK44" s="436"/>
      <c r="BL44" s="436"/>
      <c r="BM44" s="436"/>
      <c r="BN44" s="436"/>
      <c r="BO44" s="436"/>
      <c r="BP44" s="436"/>
      <c r="BQ44" s="436"/>
      <c r="BR44" s="436"/>
      <c r="BS44" s="436"/>
      <c r="BT44" s="436"/>
      <c r="BU44" s="436"/>
      <c r="BV44" s="436"/>
      <c r="BW44" s="436"/>
      <c r="BX44" s="436"/>
      <c r="BY44" s="436"/>
      <c r="BZ44" s="436"/>
      <c r="CA44" s="436"/>
      <c r="CB44" s="436"/>
      <c r="CC44" s="440"/>
      <c r="CD44" s="439"/>
      <c r="CE44" s="436"/>
      <c r="CF44" s="436"/>
      <c r="CG44" s="436"/>
      <c r="CH44" s="436"/>
      <c r="CI44" s="436"/>
      <c r="CJ44" s="436"/>
      <c r="CK44" s="436"/>
      <c r="CL44" s="436"/>
      <c r="CM44" s="436"/>
      <c r="CN44" s="436"/>
      <c r="CO44" s="436"/>
      <c r="CP44" s="436"/>
      <c r="CQ44" s="436"/>
      <c r="CR44" s="436"/>
      <c r="CS44" s="436"/>
      <c r="CT44" s="436"/>
      <c r="CU44" s="436"/>
      <c r="CV44" s="436"/>
      <c r="CW44" s="436"/>
      <c r="CX44" s="436"/>
      <c r="CY44" s="436"/>
      <c r="CZ44" s="436"/>
      <c r="DA44" s="436"/>
      <c r="DB44" s="440"/>
      <c r="DC44" s="439"/>
      <c r="DD44" s="436"/>
      <c r="DE44" s="436"/>
      <c r="DF44" s="436"/>
      <c r="DG44" s="436"/>
      <c r="DH44" s="436"/>
      <c r="DI44" s="436"/>
      <c r="DJ44" s="436"/>
      <c r="DK44" s="436"/>
      <c r="DL44" s="436"/>
      <c r="DM44" s="436"/>
      <c r="DN44" s="436"/>
      <c r="DO44" s="436"/>
      <c r="DP44" s="436"/>
      <c r="DQ44" s="436"/>
      <c r="DR44" s="436"/>
      <c r="DS44" s="436"/>
      <c r="DT44" s="436"/>
      <c r="DU44" s="436"/>
      <c r="DV44" s="436"/>
      <c r="DW44" s="436"/>
      <c r="DX44" s="436"/>
      <c r="DY44" s="436"/>
      <c r="DZ44" s="436"/>
      <c r="EA44" s="440"/>
      <c r="EB44" s="439"/>
      <c r="EC44" s="436"/>
      <c r="ED44" s="436"/>
      <c r="EE44" s="436"/>
      <c r="EF44" s="436"/>
      <c r="EG44" s="436"/>
      <c r="EH44" s="436"/>
      <c r="EI44" s="436"/>
      <c r="EJ44" s="436"/>
      <c r="EK44" s="436"/>
      <c r="EL44" s="436"/>
      <c r="EM44" s="436"/>
      <c r="EN44" s="436"/>
      <c r="EO44" s="436"/>
      <c r="EP44" s="436"/>
      <c r="EQ44" s="436"/>
      <c r="ER44" s="436"/>
      <c r="ES44" s="436"/>
      <c r="ET44" s="436"/>
      <c r="EU44" s="436"/>
      <c r="EV44" s="436"/>
      <c r="EW44" s="436"/>
      <c r="EX44" s="436"/>
      <c r="EY44" s="436"/>
      <c r="EZ44" s="440"/>
      <c r="FA44" s="439"/>
      <c r="FB44" s="436"/>
      <c r="FC44" s="436"/>
      <c r="FD44" s="436"/>
      <c r="FE44" s="436"/>
      <c r="FF44" s="436"/>
      <c r="FG44" s="436"/>
      <c r="FH44" s="436"/>
      <c r="FI44" s="436"/>
      <c r="FJ44" s="436"/>
      <c r="FK44" s="436"/>
      <c r="FL44" s="436"/>
      <c r="FM44" s="436"/>
      <c r="FN44" s="436"/>
      <c r="FO44" s="436"/>
      <c r="FP44" s="436"/>
      <c r="FQ44" s="436"/>
      <c r="FR44" s="436"/>
      <c r="FS44" s="436"/>
      <c r="FT44" s="436"/>
      <c r="FU44" s="436"/>
      <c r="FV44" s="436"/>
      <c r="FW44" s="436"/>
      <c r="FX44" s="436"/>
      <c r="FY44" s="440"/>
      <c r="FZ44" s="439"/>
      <c r="GA44" s="436"/>
      <c r="GB44" s="436"/>
      <c r="GC44" s="436"/>
      <c r="GD44" s="436"/>
      <c r="GE44" s="436"/>
      <c r="GF44" s="436"/>
      <c r="GG44" s="436"/>
      <c r="GH44" s="436"/>
      <c r="GI44" s="436"/>
      <c r="GJ44" s="436"/>
      <c r="GK44" s="436"/>
      <c r="GL44" s="436"/>
      <c r="GM44" s="436"/>
      <c r="GN44" s="436"/>
      <c r="GO44" s="436"/>
      <c r="GP44" s="436"/>
      <c r="GQ44" s="436"/>
      <c r="GR44" s="436"/>
      <c r="GS44" s="436"/>
      <c r="GT44" s="436"/>
      <c r="GU44" s="436"/>
      <c r="GV44" s="436"/>
      <c r="GW44" s="436"/>
      <c r="GX44" s="440"/>
      <c r="GY44" s="439"/>
      <c r="GZ44" s="436"/>
      <c r="HA44" s="436"/>
      <c r="HB44" s="436"/>
      <c r="HC44" s="436"/>
      <c r="HD44" s="436"/>
      <c r="HE44" s="436"/>
      <c r="HF44" s="436"/>
      <c r="HG44" s="436"/>
      <c r="HH44" s="436"/>
      <c r="HI44" s="436"/>
      <c r="HJ44" s="436"/>
      <c r="HK44" s="436"/>
      <c r="HL44" s="436"/>
      <c r="HM44" s="436"/>
      <c r="HN44" s="436"/>
      <c r="HO44" s="436"/>
      <c r="HP44" s="436"/>
      <c r="HQ44" s="436"/>
      <c r="HR44" s="436"/>
      <c r="HS44" s="436"/>
      <c r="HT44" s="436"/>
      <c r="HU44" s="436"/>
      <c r="HV44" s="436"/>
      <c r="HW44" s="440"/>
    </row>
    <row r="45" spans="1:463" ht="24" customHeight="1">
      <c r="A45" s="439"/>
      <c r="B45" s="436"/>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40"/>
      <c r="AA45" s="436"/>
      <c r="AB45" s="436"/>
      <c r="AC45" s="436"/>
      <c r="AD45" s="436"/>
      <c r="AE45" s="436"/>
      <c r="AF45" s="439"/>
      <c r="AG45" s="436"/>
      <c r="AH45" s="436"/>
      <c r="AI45" s="436"/>
      <c r="AJ45" s="436"/>
      <c r="AK45" s="436"/>
      <c r="AL45" s="436"/>
      <c r="AM45" s="436"/>
      <c r="AN45" s="436"/>
      <c r="AO45" s="436"/>
      <c r="AP45" s="436"/>
      <c r="AQ45" s="436"/>
      <c r="AR45" s="436"/>
      <c r="AS45" s="436"/>
      <c r="AT45" s="436"/>
      <c r="AU45" s="436"/>
      <c r="AV45" s="436"/>
      <c r="AW45" s="436"/>
      <c r="AX45" s="436"/>
      <c r="AY45" s="436"/>
      <c r="AZ45" s="436"/>
      <c r="BA45" s="436"/>
      <c r="BB45" s="436"/>
      <c r="BC45" s="436"/>
      <c r="BD45" s="440"/>
      <c r="BE45" s="439"/>
      <c r="BF45" s="436"/>
      <c r="BG45" s="436"/>
      <c r="BH45" s="436"/>
      <c r="BI45" s="436"/>
      <c r="BJ45" s="436"/>
      <c r="BK45" s="436"/>
      <c r="BL45" s="436"/>
      <c r="BM45" s="436"/>
      <c r="BN45" s="436"/>
      <c r="BO45" s="436"/>
      <c r="BP45" s="436"/>
      <c r="BQ45" s="436"/>
      <c r="BR45" s="436"/>
      <c r="BS45" s="436"/>
      <c r="BT45" s="436"/>
      <c r="BU45" s="436"/>
      <c r="BV45" s="436"/>
      <c r="BW45" s="436"/>
      <c r="BX45" s="436"/>
      <c r="BY45" s="436"/>
      <c r="BZ45" s="436"/>
      <c r="CA45" s="436"/>
      <c r="CB45" s="436"/>
      <c r="CC45" s="440"/>
      <c r="CD45" s="439"/>
      <c r="CE45" s="436"/>
      <c r="CF45" s="436"/>
      <c r="CG45" s="436"/>
      <c r="CH45" s="436"/>
      <c r="CI45" s="436"/>
      <c r="CJ45" s="436"/>
      <c r="CK45" s="436"/>
      <c r="CL45" s="436"/>
      <c r="CM45" s="436"/>
      <c r="CN45" s="436"/>
      <c r="CO45" s="436"/>
      <c r="CP45" s="436"/>
      <c r="CQ45" s="436"/>
      <c r="CR45" s="436"/>
      <c r="CS45" s="436"/>
      <c r="CT45" s="436"/>
      <c r="CU45" s="436"/>
      <c r="CV45" s="436"/>
      <c r="CW45" s="436"/>
      <c r="CX45" s="436"/>
      <c r="CY45" s="436"/>
      <c r="CZ45" s="436"/>
      <c r="DA45" s="436"/>
      <c r="DB45" s="440"/>
      <c r="DC45" s="439"/>
      <c r="DD45" s="436"/>
      <c r="DE45" s="436"/>
      <c r="DF45" s="436"/>
      <c r="DG45" s="436"/>
      <c r="DH45" s="436"/>
      <c r="DI45" s="436"/>
      <c r="DJ45" s="436"/>
      <c r="DK45" s="436"/>
      <c r="DL45" s="436"/>
      <c r="DM45" s="436"/>
      <c r="DN45" s="436"/>
      <c r="DO45" s="436"/>
      <c r="DP45" s="436"/>
      <c r="DQ45" s="436"/>
      <c r="DR45" s="436"/>
      <c r="DS45" s="436"/>
      <c r="DT45" s="436"/>
      <c r="DU45" s="436"/>
      <c r="DV45" s="436"/>
      <c r="DW45" s="436"/>
      <c r="DX45" s="436"/>
      <c r="DY45" s="436"/>
      <c r="DZ45" s="436"/>
      <c r="EA45" s="440"/>
      <c r="EB45" s="439"/>
      <c r="EC45" s="436"/>
      <c r="ED45" s="436"/>
      <c r="EE45" s="436"/>
      <c r="EF45" s="436"/>
      <c r="EG45" s="436"/>
      <c r="EH45" s="436"/>
      <c r="EI45" s="436"/>
      <c r="EJ45" s="436"/>
      <c r="EK45" s="436"/>
      <c r="EL45" s="436"/>
      <c r="EM45" s="436"/>
      <c r="EN45" s="436"/>
      <c r="EO45" s="436"/>
      <c r="EP45" s="436"/>
      <c r="EQ45" s="436"/>
      <c r="ER45" s="436"/>
      <c r="ES45" s="436"/>
      <c r="ET45" s="436"/>
      <c r="EU45" s="436"/>
      <c r="EV45" s="436"/>
      <c r="EW45" s="436"/>
      <c r="EX45" s="436"/>
      <c r="EY45" s="436"/>
      <c r="EZ45" s="440"/>
      <c r="FA45" s="439"/>
      <c r="FB45" s="436"/>
      <c r="FC45" s="436"/>
      <c r="FD45" s="436"/>
      <c r="FE45" s="436"/>
      <c r="FF45" s="436"/>
      <c r="FG45" s="436"/>
      <c r="FH45" s="436"/>
      <c r="FI45" s="436"/>
      <c r="FJ45" s="436"/>
      <c r="FK45" s="436"/>
      <c r="FL45" s="436"/>
      <c r="FM45" s="436"/>
      <c r="FN45" s="436"/>
      <c r="FO45" s="436"/>
      <c r="FP45" s="436"/>
      <c r="FQ45" s="436"/>
      <c r="FR45" s="436"/>
      <c r="FS45" s="436"/>
      <c r="FT45" s="436"/>
      <c r="FU45" s="436"/>
      <c r="FV45" s="436"/>
      <c r="FW45" s="436"/>
      <c r="FX45" s="436"/>
      <c r="FY45" s="440"/>
      <c r="FZ45" s="439"/>
      <c r="GA45" s="436"/>
      <c r="GB45" s="436"/>
      <c r="GC45" s="436"/>
      <c r="GD45" s="436"/>
      <c r="GE45" s="436"/>
      <c r="GF45" s="436"/>
      <c r="GG45" s="436"/>
      <c r="GH45" s="436"/>
      <c r="GI45" s="436"/>
      <c r="GJ45" s="436"/>
      <c r="GK45" s="436"/>
      <c r="GL45" s="436"/>
      <c r="GM45" s="436"/>
      <c r="GN45" s="436"/>
      <c r="GO45" s="436"/>
      <c r="GP45" s="436"/>
      <c r="GQ45" s="436"/>
      <c r="GR45" s="436"/>
      <c r="GS45" s="436"/>
      <c r="GT45" s="436"/>
      <c r="GU45" s="436"/>
      <c r="GV45" s="436"/>
      <c r="GW45" s="436"/>
      <c r="GX45" s="440"/>
      <c r="GY45" s="439"/>
      <c r="GZ45" s="436"/>
      <c r="HA45" s="436"/>
      <c r="HB45" s="436"/>
      <c r="HC45" s="436"/>
      <c r="HD45" s="436"/>
      <c r="HE45" s="436"/>
      <c r="HF45" s="436"/>
      <c r="HG45" s="436"/>
      <c r="HH45" s="436"/>
      <c r="HI45" s="436"/>
      <c r="HJ45" s="436"/>
      <c r="HK45" s="436"/>
      <c r="HL45" s="436"/>
      <c r="HM45" s="436"/>
      <c r="HN45" s="436"/>
      <c r="HO45" s="436"/>
      <c r="HP45" s="436"/>
      <c r="HQ45" s="436"/>
      <c r="HR45" s="436"/>
      <c r="HS45" s="436"/>
      <c r="HT45" s="436"/>
      <c r="HU45" s="436"/>
      <c r="HV45" s="436"/>
      <c r="HW45" s="440"/>
    </row>
    <row r="46" spans="1:463" ht="24" customHeight="1" thickBot="1">
      <c r="A46" s="439"/>
      <c r="B46" s="436"/>
      <c r="C46" s="436"/>
      <c r="D46" s="436"/>
      <c r="E46" s="436"/>
      <c r="F46" s="436"/>
      <c r="G46" s="436"/>
      <c r="H46" s="436"/>
      <c r="I46" s="436"/>
      <c r="J46" s="436"/>
      <c r="K46" s="436"/>
      <c r="L46" s="436"/>
      <c r="M46" s="436"/>
      <c r="N46" s="436"/>
      <c r="O46" s="436"/>
      <c r="P46" s="436"/>
      <c r="Q46" s="436"/>
      <c r="R46" s="436"/>
      <c r="S46" s="436"/>
      <c r="T46" s="436"/>
      <c r="U46" s="436"/>
      <c r="V46" s="436"/>
      <c r="W46" s="436"/>
      <c r="X46" s="436"/>
      <c r="Y46" s="436"/>
      <c r="Z46" s="440"/>
      <c r="AA46" s="436"/>
      <c r="AB46" s="436"/>
      <c r="AC46" s="436"/>
      <c r="AD46" s="436"/>
      <c r="AE46" s="436"/>
      <c r="AF46" s="439"/>
      <c r="AG46" s="436"/>
      <c r="AH46" s="436"/>
      <c r="AI46" s="436"/>
      <c r="AJ46" s="436"/>
      <c r="AK46" s="436"/>
      <c r="AL46" s="436"/>
      <c r="AM46" s="436"/>
      <c r="AN46" s="436"/>
      <c r="AO46" s="436"/>
      <c r="AP46" s="436"/>
      <c r="AQ46" s="436"/>
      <c r="AR46" s="436"/>
      <c r="AS46" s="436"/>
      <c r="AT46" s="436"/>
      <c r="AU46" s="436"/>
      <c r="AV46" s="436"/>
      <c r="AW46" s="436"/>
      <c r="AX46" s="436"/>
      <c r="AY46" s="436"/>
      <c r="AZ46" s="436"/>
      <c r="BA46" s="436"/>
      <c r="BB46" s="436"/>
      <c r="BC46" s="436"/>
      <c r="BD46" s="440"/>
      <c r="BE46" s="439"/>
      <c r="BF46" s="436"/>
      <c r="BG46" s="436"/>
      <c r="BH46" s="436"/>
      <c r="BI46" s="436"/>
      <c r="BJ46" s="436"/>
      <c r="BK46" s="436"/>
      <c r="BL46" s="436"/>
      <c r="BM46" s="436"/>
      <c r="BN46" s="436"/>
      <c r="BO46" s="436"/>
      <c r="BP46" s="436"/>
      <c r="BQ46" s="436"/>
      <c r="BR46" s="436"/>
      <c r="BS46" s="436"/>
      <c r="BT46" s="436"/>
      <c r="BU46" s="436"/>
      <c r="BV46" s="436"/>
      <c r="BW46" s="436"/>
      <c r="BX46" s="436"/>
      <c r="BY46" s="436"/>
      <c r="BZ46" s="436"/>
      <c r="CA46" s="436"/>
      <c r="CB46" s="436"/>
      <c r="CC46" s="440"/>
      <c r="CD46" s="439"/>
      <c r="CE46" s="436"/>
      <c r="CF46" s="436"/>
      <c r="CG46" s="436"/>
      <c r="CH46" s="436"/>
      <c r="CI46" s="436"/>
      <c r="CJ46" s="436"/>
      <c r="CK46" s="436"/>
      <c r="CL46" s="436"/>
      <c r="CM46" s="436"/>
      <c r="CN46" s="436"/>
      <c r="CO46" s="436"/>
      <c r="CP46" s="436"/>
      <c r="CQ46" s="436"/>
      <c r="CR46" s="436"/>
      <c r="CS46" s="436"/>
      <c r="CT46" s="436"/>
      <c r="CU46" s="436"/>
      <c r="CV46" s="436"/>
      <c r="CW46" s="436"/>
      <c r="CX46" s="436"/>
      <c r="CY46" s="436"/>
      <c r="CZ46" s="436"/>
      <c r="DA46" s="436"/>
      <c r="DB46" s="440"/>
      <c r="DC46" s="439"/>
      <c r="DD46" s="436"/>
      <c r="DE46" s="436"/>
      <c r="DF46" s="436"/>
      <c r="DG46" s="436"/>
      <c r="DH46" s="436"/>
      <c r="DI46" s="436"/>
      <c r="DJ46" s="436"/>
      <c r="DK46" s="436"/>
      <c r="DL46" s="436"/>
      <c r="DM46" s="436"/>
      <c r="DN46" s="436"/>
      <c r="DO46" s="436"/>
      <c r="DP46" s="436"/>
      <c r="DQ46" s="436"/>
      <c r="DR46" s="436"/>
      <c r="DS46" s="436"/>
      <c r="DT46" s="436"/>
      <c r="DU46" s="436"/>
      <c r="DV46" s="436"/>
      <c r="DW46" s="436"/>
      <c r="DX46" s="436"/>
      <c r="DY46" s="436"/>
      <c r="DZ46" s="436"/>
      <c r="EA46" s="440"/>
      <c r="EB46" s="439"/>
      <c r="EC46" s="436"/>
      <c r="ED46" s="436"/>
      <c r="EE46" s="436"/>
      <c r="EF46" s="436"/>
      <c r="EG46" s="436"/>
      <c r="EH46" s="436"/>
      <c r="EI46" s="436"/>
      <c r="EJ46" s="436"/>
      <c r="EK46" s="436"/>
      <c r="EL46" s="436"/>
      <c r="EM46" s="436"/>
      <c r="EN46" s="436"/>
      <c r="EO46" s="436"/>
      <c r="EP46" s="436"/>
      <c r="EQ46" s="436"/>
      <c r="ER46" s="436"/>
      <c r="ES46" s="436"/>
      <c r="ET46" s="436"/>
      <c r="EU46" s="436"/>
      <c r="EV46" s="436"/>
      <c r="EW46" s="436"/>
      <c r="EX46" s="436"/>
      <c r="EY46" s="436"/>
      <c r="EZ46" s="440"/>
      <c r="FA46" s="439"/>
      <c r="FB46" s="436"/>
      <c r="FC46" s="436"/>
      <c r="FD46" s="436"/>
      <c r="FE46" s="436"/>
      <c r="FF46" s="436"/>
      <c r="FG46" s="436"/>
      <c r="FH46" s="436"/>
      <c r="FI46" s="436"/>
      <c r="FJ46" s="436"/>
      <c r="FK46" s="436"/>
      <c r="FL46" s="436"/>
      <c r="FM46" s="436"/>
      <c r="FN46" s="436"/>
      <c r="FO46" s="436"/>
      <c r="FP46" s="436"/>
      <c r="FQ46" s="436"/>
      <c r="FR46" s="436"/>
      <c r="FS46" s="436"/>
      <c r="FT46" s="436"/>
      <c r="FU46" s="436"/>
      <c r="FV46" s="436"/>
      <c r="FW46" s="436"/>
      <c r="FX46" s="436"/>
      <c r="FY46" s="440"/>
      <c r="FZ46" s="439"/>
      <c r="GA46" s="436"/>
      <c r="GB46" s="436"/>
      <c r="GC46" s="436"/>
      <c r="GD46" s="436"/>
      <c r="GE46" s="436"/>
      <c r="GF46" s="436"/>
      <c r="GG46" s="436"/>
      <c r="GH46" s="436"/>
      <c r="GI46" s="436"/>
      <c r="GJ46" s="436"/>
      <c r="GK46" s="436"/>
      <c r="GL46" s="436"/>
      <c r="GM46" s="436"/>
      <c r="GN46" s="436"/>
      <c r="GO46" s="436"/>
      <c r="GP46" s="436"/>
      <c r="GQ46" s="436"/>
      <c r="GR46" s="436"/>
      <c r="GS46" s="436"/>
      <c r="GT46" s="436"/>
      <c r="GU46" s="436"/>
      <c r="GV46" s="436"/>
      <c r="GW46" s="436"/>
      <c r="GX46" s="440"/>
      <c r="GY46" s="439"/>
      <c r="GZ46" s="436"/>
      <c r="HA46" s="436"/>
      <c r="HB46" s="436"/>
      <c r="HC46" s="436"/>
      <c r="HD46" s="436"/>
      <c r="HE46" s="436"/>
      <c r="HF46" s="436"/>
      <c r="HG46" s="436"/>
      <c r="HH46" s="436"/>
      <c r="HI46" s="436"/>
      <c r="HJ46" s="436"/>
      <c r="HK46" s="436"/>
      <c r="HL46" s="436"/>
      <c r="HM46" s="436"/>
      <c r="HN46" s="436"/>
      <c r="HO46" s="436"/>
      <c r="HP46" s="436"/>
      <c r="HQ46" s="436"/>
      <c r="HR46" s="436"/>
      <c r="HS46" s="436"/>
      <c r="HT46" s="436"/>
      <c r="HU46" s="436"/>
      <c r="HV46" s="436"/>
      <c r="HW46" s="440"/>
    </row>
    <row r="47" spans="1:463" ht="24" customHeight="1" thickBot="1">
      <c r="A47" s="439"/>
      <c r="B47" s="436"/>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40"/>
      <c r="AA47" s="436"/>
      <c r="AB47" s="436"/>
      <c r="AC47" s="436"/>
      <c r="AD47" s="436"/>
      <c r="AE47" s="436"/>
      <c r="AF47" s="439"/>
      <c r="AG47" s="436"/>
      <c r="AH47" s="436"/>
      <c r="AI47" s="436"/>
      <c r="AJ47" s="436"/>
      <c r="AK47" s="436"/>
      <c r="AL47" s="436"/>
      <c r="AM47" s="436"/>
      <c r="AN47" s="436"/>
      <c r="AO47" s="436"/>
      <c r="AP47" s="436"/>
      <c r="AQ47" s="436"/>
      <c r="AR47" s="436"/>
      <c r="AS47" s="436"/>
      <c r="AT47" s="436"/>
      <c r="AU47" s="436"/>
      <c r="AV47" s="436"/>
      <c r="AW47" s="436"/>
      <c r="AX47" s="436"/>
      <c r="AY47" s="436"/>
      <c r="AZ47" s="436"/>
      <c r="BA47" s="436"/>
      <c r="BB47" s="436"/>
      <c r="BC47" s="436"/>
      <c r="BD47" s="440"/>
      <c r="BE47" s="439"/>
      <c r="BF47" s="436"/>
      <c r="BG47" s="436"/>
      <c r="BH47" s="436"/>
      <c r="BI47" s="436"/>
      <c r="BJ47" s="436"/>
      <c r="BK47" s="436"/>
      <c r="BL47" s="436"/>
      <c r="BM47" s="436"/>
      <c r="BN47" s="436"/>
      <c r="BO47" s="436"/>
      <c r="BP47" s="436"/>
      <c r="BQ47" s="436"/>
      <c r="BR47" s="436"/>
      <c r="BS47" s="436"/>
      <c r="BT47" s="436"/>
      <c r="BU47" s="436"/>
      <c r="BV47" s="436"/>
      <c r="BW47" s="436"/>
      <c r="BX47" s="436"/>
      <c r="BY47" s="436"/>
      <c r="BZ47" s="436"/>
      <c r="CA47" s="436"/>
      <c r="CB47" s="436"/>
      <c r="CC47" s="440"/>
      <c r="CD47" s="439"/>
      <c r="CE47" s="436"/>
      <c r="CF47" s="436"/>
      <c r="CG47" s="436"/>
      <c r="CH47" s="436"/>
      <c r="CI47" s="436"/>
      <c r="CJ47" s="436"/>
      <c r="CK47" s="436"/>
      <c r="CL47" s="436"/>
      <c r="CM47" s="436"/>
      <c r="CN47" s="436"/>
      <c r="CO47" s="436"/>
      <c r="CP47" s="436"/>
      <c r="CQ47" s="436"/>
      <c r="CR47" s="436"/>
      <c r="CS47" s="436"/>
      <c r="CT47" s="436"/>
      <c r="CU47" s="436"/>
      <c r="CV47" s="436"/>
      <c r="CW47" s="436"/>
      <c r="CX47" s="436"/>
      <c r="CY47" s="436"/>
      <c r="CZ47" s="436"/>
      <c r="DA47" s="436"/>
      <c r="DB47" s="440"/>
      <c r="DC47" s="439"/>
      <c r="DD47" s="436"/>
      <c r="DE47" s="436"/>
      <c r="DF47" s="436"/>
      <c r="DG47" s="436"/>
      <c r="DH47" s="436"/>
      <c r="DI47" s="436"/>
      <c r="DJ47" s="436"/>
      <c r="DK47" s="436"/>
      <c r="DL47" s="436"/>
      <c r="DM47" s="436"/>
      <c r="DN47" s="436"/>
      <c r="DO47" s="436"/>
      <c r="DP47" s="436"/>
      <c r="DQ47" s="436"/>
      <c r="DR47" s="436"/>
      <c r="DS47" s="436"/>
      <c r="DT47" s="436"/>
      <c r="DU47" s="436"/>
      <c r="DV47" s="436"/>
      <c r="DW47" s="436"/>
      <c r="DX47" s="436"/>
      <c r="DY47" s="436"/>
      <c r="DZ47" s="436"/>
      <c r="EA47" s="440"/>
      <c r="EB47" s="439"/>
      <c r="EC47" s="436"/>
      <c r="ED47" s="436"/>
      <c r="EE47" s="436"/>
      <c r="EF47" s="436"/>
      <c r="EG47" s="436"/>
      <c r="EH47" s="436"/>
      <c r="EI47" s="436"/>
      <c r="EJ47" s="436"/>
      <c r="EK47" s="436"/>
      <c r="EL47" s="436"/>
      <c r="EM47" s="436"/>
      <c r="EN47" s="436"/>
      <c r="EO47" s="436"/>
      <c r="EP47" s="436"/>
      <c r="EQ47" s="436"/>
      <c r="ER47" s="436"/>
      <c r="ES47" s="436"/>
      <c r="ET47" s="436"/>
      <c r="EU47" s="436"/>
      <c r="EV47" s="436"/>
      <c r="EW47" s="436"/>
      <c r="EX47" s="436"/>
      <c r="EY47" s="436"/>
      <c r="EZ47" s="440"/>
      <c r="FA47" s="439"/>
      <c r="FB47" s="436"/>
      <c r="FC47" s="436"/>
      <c r="FD47" s="436"/>
      <c r="FE47" s="436"/>
      <c r="FF47" s="436"/>
      <c r="FG47" s="436"/>
      <c r="FH47" s="436"/>
      <c r="FI47" s="436"/>
      <c r="FJ47" s="436"/>
      <c r="FK47" s="436"/>
      <c r="FL47" s="436"/>
      <c r="FM47" s="436"/>
      <c r="FN47" s="436"/>
      <c r="FO47" s="436"/>
      <c r="FP47" s="436"/>
      <c r="FQ47" s="436"/>
      <c r="FR47" s="436"/>
      <c r="FS47" s="436"/>
      <c r="FT47" s="436"/>
      <c r="FU47" s="436"/>
      <c r="FV47" s="436"/>
      <c r="FW47" s="436"/>
      <c r="FX47" s="436"/>
      <c r="FY47" s="440"/>
      <c r="FZ47" s="439"/>
      <c r="GA47" s="436"/>
      <c r="GB47" s="436"/>
      <c r="GC47" s="436"/>
      <c r="GD47" s="436"/>
      <c r="GE47" s="436"/>
      <c r="GF47" s="436"/>
      <c r="GG47" s="436"/>
      <c r="GH47" s="436"/>
      <c r="GI47" s="436"/>
      <c r="GJ47" s="436"/>
      <c r="GK47" s="436"/>
      <c r="GL47" s="436"/>
      <c r="GM47" s="436"/>
      <c r="GN47" s="436"/>
      <c r="GO47" s="436"/>
      <c r="GP47" s="436"/>
      <c r="GQ47" s="436"/>
      <c r="GR47" s="436"/>
      <c r="GS47" s="436"/>
      <c r="GT47" s="436"/>
      <c r="GU47" s="436"/>
      <c r="GV47" s="436"/>
      <c r="GW47" s="436"/>
      <c r="GX47" s="440"/>
      <c r="GY47" s="439"/>
      <c r="GZ47" s="436"/>
      <c r="HA47" s="436"/>
      <c r="HB47" s="436"/>
      <c r="HC47" s="436"/>
      <c r="HD47" s="436"/>
      <c r="HE47" s="436"/>
      <c r="HF47" s="436"/>
      <c r="HG47" s="436"/>
      <c r="HH47" s="436"/>
      <c r="HI47" s="436"/>
      <c r="HJ47" s="436"/>
      <c r="HK47" s="436"/>
      <c r="HL47" s="436"/>
      <c r="HM47" s="436"/>
      <c r="HN47" s="436"/>
      <c r="HO47" s="436"/>
      <c r="HP47" s="436"/>
      <c r="HQ47" s="436"/>
      <c r="HR47" s="436"/>
      <c r="HS47" s="436"/>
      <c r="HT47" s="436"/>
      <c r="HU47" s="436"/>
      <c r="HV47" s="436"/>
      <c r="HW47" s="440"/>
      <c r="LB47" s="1914" t="s">
        <v>1230</v>
      </c>
      <c r="LC47" s="1915"/>
      <c r="LD47" s="1915"/>
      <c r="LE47" s="1915"/>
      <c r="LF47" s="1915"/>
      <c r="LG47" s="1915"/>
      <c r="LH47" s="1915"/>
      <c r="LI47" s="1915"/>
      <c r="LJ47" s="1915"/>
      <c r="LK47" s="1915"/>
      <c r="LL47" s="1915"/>
      <c r="LM47" s="1915"/>
      <c r="LN47" s="1915"/>
      <c r="LO47" s="1915"/>
      <c r="LP47" s="1915"/>
      <c r="LQ47" s="1915"/>
      <c r="LR47" s="1915"/>
      <c r="LS47" s="1915"/>
      <c r="LT47" s="1915"/>
      <c r="LU47" s="1915"/>
      <c r="LV47" s="1915"/>
      <c r="LW47" s="1915"/>
      <c r="LX47" s="1915"/>
      <c r="LY47" s="1915"/>
      <c r="LZ47" s="1916"/>
      <c r="MA47" s="1914" t="s">
        <v>1230</v>
      </c>
      <c r="MB47" s="1915"/>
      <c r="MC47" s="1915"/>
      <c r="MD47" s="1915"/>
      <c r="ME47" s="1915"/>
      <c r="MF47" s="1915"/>
      <c r="MG47" s="1915"/>
      <c r="MH47" s="1915"/>
      <c r="MI47" s="1915"/>
      <c r="MJ47" s="1915"/>
      <c r="MK47" s="1915"/>
      <c r="ML47" s="1915"/>
      <c r="MM47" s="1915"/>
      <c r="MN47" s="1915"/>
      <c r="MO47" s="1915"/>
      <c r="MP47" s="1915"/>
      <c r="MQ47" s="1915"/>
      <c r="MR47" s="1915"/>
      <c r="MS47" s="1915"/>
      <c r="MT47" s="1915"/>
      <c r="MU47" s="1915"/>
      <c r="MV47" s="1915"/>
      <c r="MW47" s="1915"/>
      <c r="MX47" s="1915"/>
      <c r="MY47" s="1916"/>
      <c r="MZ47" s="1914" t="s">
        <v>1230</v>
      </c>
      <c r="NA47" s="1915"/>
      <c r="NB47" s="1915"/>
      <c r="NC47" s="1915"/>
      <c r="ND47" s="1915"/>
      <c r="NE47" s="1915"/>
      <c r="NF47" s="1915"/>
      <c r="NG47" s="1915"/>
      <c r="NH47" s="1915"/>
      <c r="NI47" s="1915"/>
      <c r="NJ47" s="1915"/>
      <c r="NK47" s="1915"/>
      <c r="NL47" s="1915"/>
      <c r="NM47" s="1915"/>
      <c r="NN47" s="1915"/>
      <c r="NO47" s="1915"/>
      <c r="NP47" s="1915"/>
      <c r="NQ47" s="1915"/>
      <c r="NR47" s="1915"/>
      <c r="NS47" s="1915"/>
      <c r="NT47" s="1915"/>
      <c r="NU47" s="1915"/>
      <c r="NV47" s="1915"/>
      <c r="NW47" s="1915"/>
      <c r="NX47" s="1916"/>
      <c r="NY47" s="1914" t="s">
        <v>1230</v>
      </c>
      <c r="NZ47" s="1915"/>
      <c r="OA47" s="1915"/>
      <c r="OB47" s="1915"/>
      <c r="OC47" s="1915"/>
      <c r="OD47" s="1915"/>
      <c r="OE47" s="1915"/>
      <c r="OF47" s="1915"/>
      <c r="OG47" s="1915"/>
      <c r="OH47" s="1915"/>
      <c r="OI47" s="1915"/>
      <c r="OJ47" s="1915"/>
      <c r="OK47" s="1915"/>
      <c r="OL47" s="1915"/>
      <c r="OM47" s="1915"/>
      <c r="ON47" s="1915"/>
      <c r="OO47" s="1915"/>
      <c r="OP47" s="1915"/>
      <c r="OQ47" s="1915"/>
      <c r="OR47" s="1915"/>
      <c r="OS47" s="1915"/>
      <c r="OT47" s="1915"/>
      <c r="OU47" s="1915"/>
      <c r="OV47" s="1915"/>
      <c r="OW47" s="1916"/>
      <c r="OX47" s="1914" t="s">
        <v>1230</v>
      </c>
      <c r="OY47" s="1915"/>
      <c r="OZ47" s="1915"/>
      <c r="PA47" s="1915"/>
      <c r="PB47" s="1915"/>
      <c r="PC47" s="1915"/>
      <c r="PD47" s="1915"/>
      <c r="PE47" s="1915"/>
      <c r="PF47" s="1915"/>
      <c r="PG47" s="1915"/>
      <c r="PH47" s="1915"/>
      <c r="PI47" s="1915"/>
      <c r="PJ47" s="1915"/>
      <c r="PK47" s="1915"/>
      <c r="PL47" s="1915"/>
      <c r="PM47" s="1915"/>
      <c r="PN47" s="1915"/>
      <c r="PO47" s="1915"/>
      <c r="PP47" s="1915"/>
      <c r="PQ47" s="1915"/>
      <c r="PR47" s="1915"/>
      <c r="PS47" s="1915"/>
      <c r="PT47" s="1915"/>
      <c r="PU47" s="1915"/>
      <c r="PV47" s="1916"/>
      <c r="PW47" s="1914" t="s">
        <v>1230</v>
      </c>
      <c r="PX47" s="1915"/>
      <c r="PY47" s="1915"/>
      <c r="PZ47" s="1915"/>
      <c r="QA47" s="1915"/>
      <c r="QB47" s="1915"/>
      <c r="QC47" s="1915"/>
      <c r="QD47" s="1915"/>
      <c r="QE47" s="1915"/>
      <c r="QF47" s="1915"/>
      <c r="QG47" s="1915"/>
      <c r="QH47" s="1915"/>
      <c r="QI47" s="1915"/>
      <c r="QJ47" s="1915"/>
      <c r="QK47" s="1915"/>
      <c r="QL47" s="1915"/>
      <c r="QM47" s="1915"/>
      <c r="QN47" s="1915"/>
      <c r="QO47" s="1915"/>
      <c r="QP47" s="1915"/>
      <c r="QQ47" s="1915"/>
      <c r="QR47" s="1915"/>
      <c r="QS47" s="1915"/>
      <c r="QT47" s="1915"/>
      <c r="QU47" s="1916"/>
    </row>
    <row r="48" spans="1:463" ht="24" customHeight="1">
      <c r="A48" s="439"/>
      <c r="B48" s="436"/>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40"/>
      <c r="AA48" s="436"/>
      <c r="AB48" s="436"/>
      <c r="AC48" s="436"/>
      <c r="AD48" s="436"/>
      <c r="AE48" s="436"/>
      <c r="AF48" s="439"/>
      <c r="AG48" s="436"/>
      <c r="AH48" s="436"/>
      <c r="AI48" s="436"/>
      <c r="AJ48" s="436"/>
      <c r="AK48" s="436"/>
      <c r="AL48" s="436"/>
      <c r="AM48" s="436"/>
      <c r="AN48" s="436"/>
      <c r="AO48" s="436"/>
      <c r="AP48" s="436"/>
      <c r="AQ48" s="436"/>
      <c r="AR48" s="436"/>
      <c r="AS48" s="436"/>
      <c r="AT48" s="436"/>
      <c r="AU48" s="436"/>
      <c r="AV48" s="436"/>
      <c r="AW48" s="436"/>
      <c r="AX48" s="436"/>
      <c r="AY48" s="436"/>
      <c r="AZ48" s="436"/>
      <c r="BA48" s="436"/>
      <c r="BB48" s="436"/>
      <c r="BC48" s="436"/>
      <c r="BD48" s="440"/>
      <c r="BE48" s="439"/>
      <c r="BF48" s="436"/>
      <c r="BG48" s="436"/>
      <c r="BH48" s="436"/>
      <c r="BI48" s="436"/>
      <c r="BJ48" s="436"/>
      <c r="BK48" s="436"/>
      <c r="BL48" s="436"/>
      <c r="BM48" s="436"/>
      <c r="BN48" s="436"/>
      <c r="BO48" s="436"/>
      <c r="BP48" s="436"/>
      <c r="BQ48" s="436"/>
      <c r="BR48" s="436"/>
      <c r="BS48" s="436"/>
      <c r="BT48" s="436"/>
      <c r="BU48" s="436"/>
      <c r="BV48" s="436"/>
      <c r="BW48" s="436"/>
      <c r="BX48" s="436"/>
      <c r="BY48" s="436"/>
      <c r="BZ48" s="436"/>
      <c r="CA48" s="436"/>
      <c r="CB48" s="436"/>
      <c r="CC48" s="440"/>
      <c r="CD48" s="439"/>
      <c r="CE48" s="436"/>
      <c r="CF48" s="436"/>
      <c r="CG48" s="436"/>
      <c r="CH48" s="436"/>
      <c r="CI48" s="436"/>
      <c r="CJ48" s="436"/>
      <c r="CK48" s="436"/>
      <c r="CL48" s="436"/>
      <c r="CM48" s="436"/>
      <c r="CN48" s="436"/>
      <c r="CO48" s="436"/>
      <c r="CP48" s="436"/>
      <c r="CQ48" s="436"/>
      <c r="CR48" s="436"/>
      <c r="CS48" s="436"/>
      <c r="CT48" s="436"/>
      <c r="CU48" s="436"/>
      <c r="CV48" s="436"/>
      <c r="CW48" s="436"/>
      <c r="CX48" s="436"/>
      <c r="CY48" s="436"/>
      <c r="CZ48" s="436"/>
      <c r="DA48" s="436"/>
      <c r="DB48" s="440"/>
      <c r="DC48" s="439"/>
      <c r="DD48" s="436"/>
      <c r="DE48" s="436"/>
      <c r="DF48" s="436"/>
      <c r="DG48" s="436"/>
      <c r="DH48" s="436"/>
      <c r="DI48" s="436"/>
      <c r="DJ48" s="436"/>
      <c r="DK48" s="436"/>
      <c r="DL48" s="436"/>
      <c r="DM48" s="436"/>
      <c r="DN48" s="436"/>
      <c r="DO48" s="436"/>
      <c r="DP48" s="436"/>
      <c r="DQ48" s="436"/>
      <c r="DR48" s="436"/>
      <c r="DS48" s="436"/>
      <c r="DT48" s="436"/>
      <c r="DU48" s="436"/>
      <c r="DV48" s="436"/>
      <c r="DW48" s="436"/>
      <c r="DX48" s="436"/>
      <c r="DY48" s="436"/>
      <c r="DZ48" s="436"/>
      <c r="EA48" s="440"/>
      <c r="EB48" s="439"/>
      <c r="EC48" s="436"/>
      <c r="ED48" s="436"/>
      <c r="EE48" s="436"/>
      <c r="EF48" s="436"/>
      <c r="EG48" s="436"/>
      <c r="EH48" s="436"/>
      <c r="EI48" s="436"/>
      <c r="EJ48" s="436"/>
      <c r="EK48" s="436"/>
      <c r="EL48" s="436"/>
      <c r="EM48" s="436"/>
      <c r="EN48" s="436"/>
      <c r="EO48" s="436"/>
      <c r="EP48" s="436"/>
      <c r="EQ48" s="436"/>
      <c r="ER48" s="436"/>
      <c r="ES48" s="436"/>
      <c r="ET48" s="436"/>
      <c r="EU48" s="436"/>
      <c r="EV48" s="436"/>
      <c r="EW48" s="436"/>
      <c r="EX48" s="436"/>
      <c r="EY48" s="436"/>
      <c r="EZ48" s="440"/>
      <c r="FA48" s="439"/>
      <c r="FB48" s="436"/>
      <c r="FC48" s="436"/>
      <c r="FD48" s="436"/>
      <c r="FE48" s="436"/>
      <c r="FF48" s="436"/>
      <c r="FG48" s="436"/>
      <c r="FH48" s="436"/>
      <c r="FI48" s="436"/>
      <c r="FJ48" s="436"/>
      <c r="FK48" s="436"/>
      <c r="FL48" s="436"/>
      <c r="FM48" s="436"/>
      <c r="FN48" s="436"/>
      <c r="FO48" s="436"/>
      <c r="FP48" s="436"/>
      <c r="FQ48" s="436"/>
      <c r="FR48" s="436"/>
      <c r="FS48" s="436"/>
      <c r="FT48" s="436"/>
      <c r="FU48" s="436"/>
      <c r="FV48" s="436"/>
      <c r="FW48" s="436"/>
      <c r="FX48" s="436"/>
      <c r="FY48" s="440"/>
      <c r="FZ48" s="439"/>
      <c r="GA48" s="436"/>
      <c r="GB48" s="436"/>
      <c r="GC48" s="436"/>
      <c r="GD48" s="436"/>
      <c r="GE48" s="436"/>
      <c r="GF48" s="436"/>
      <c r="GG48" s="436"/>
      <c r="GH48" s="436"/>
      <c r="GI48" s="436"/>
      <c r="GJ48" s="436"/>
      <c r="GK48" s="436"/>
      <c r="GL48" s="436"/>
      <c r="GM48" s="436"/>
      <c r="GN48" s="436"/>
      <c r="GO48" s="436"/>
      <c r="GP48" s="436"/>
      <c r="GQ48" s="436"/>
      <c r="GR48" s="436"/>
      <c r="GS48" s="436"/>
      <c r="GT48" s="436"/>
      <c r="GU48" s="436"/>
      <c r="GV48" s="436"/>
      <c r="GW48" s="436"/>
      <c r="GX48" s="440"/>
      <c r="GY48" s="439"/>
      <c r="GZ48" s="436"/>
      <c r="HA48" s="436"/>
      <c r="HB48" s="436"/>
      <c r="HC48" s="436"/>
      <c r="HD48" s="436"/>
      <c r="HE48" s="436"/>
      <c r="HF48" s="436"/>
      <c r="HG48" s="436"/>
      <c r="HH48" s="436"/>
      <c r="HI48" s="436"/>
      <c r="HJ48" s="436"/>
      <c r="HK48" s="436"/>
      <c r="HL48" s="436"/>
      <c r="HM48" s="436"/>
      <c r="HN48" s="436"/>
      <c r="HO48" s="436"/>
      <c r="HP48" s="436"/>
      <c r="HQ48" s="436"/>
      <c r="HR48" s="436"/>
      <c r="HS48" s="436"/>
      <c r="HT48" s="436"/>
      <c r="HU48" s="436"/>
      <c r="HV48" s="436"/>
      <c r="HW48" s="440"/>
      <c r="LB48" s="437"/>
      <c r="LC48" s="438"/>
      <c r="LD48" s="438"/>
      <c r="LE48" s="438"/>
      <c r="LF48" s="438"/>
      <c r="LG48" s="438"/>
      <c r="LH48" s="438"/>
      <c r="LI48" s="438"/>
      <c r="LJ48" s="438"/>
      <c r="LK48" s="438"/>
      <c r="LL48" s="438"/>
      <c r="LM48" s="438"/>
      <c r="LN48" s="438"/>
      <c r="LO48" s="438"/>
      <c r="LP48" s="438"/>
      <c r="LQ48" s="438"/>
      <c r="LR48" s="438"/>
      <c r="LS48" s="438"/>
      <c r="LT48" s="438"/>
      <c r="LU48" s="438"/>
      <c r="LV48" s="438"/>
      <c r="LW48" s="438"/>
      <c r="LX48" s="438"/>
      <c r="LY48" s="438"/>
      <c r="LZ48" s="447"/>
      <c r="MA48" s="437"/>
      <c r="MB48" s="438"/>
      <c r="MC48" s="438"/>
      <c r="MD48" s="438"/>
      <c r="ME48" s="438"/>
      <c r="MF48" s="438"/>
      <c r="MG48" s="438"/>
      <c r="MH48" s="438"/>
      <c r="MI48" s="438"/>
      <c r="MJ48" s="438"/>
      <c r="MK48" s="438"/>
      <c r="ML48" s="438"/>
      <c r="MM48" s="438"/>
      <c r="MN48" s="438"/>
      <c r="MO48" s="438"/>
      <c r="MP48" s="438"/>
      <c r="MQ48" s="438"/>
      <c r="MR48" s="438"/>
      <c r="MS48" s="438"/>
      <c r="MT48" s="438"/>
      <c r="MU48" s="438"/>
      <c r="MV48" s="438"/>
      <c r="MW48" s="438"/>
      <c r="MX48" s="438"/>
      <c r="MY48" s="447"/>
      <c r="MZ48" s="437"/>
      <c r="NA48" s="438"/>
      <c r="NB48" s="438"/>
      <c r="NC48" s="438"/>
      <c r="ND48" s="438"/>
      <c r="NE48" s="438"/>
      <c r="NF48" s="438"/>
      <c r="NG48" s="438"/>
      <c r="NH48" s="438"/>
      <c r="NI48" s="438"/>
      <c r="NJ48" s="438"/>
      <c r="NK48" s="438"/>
      <c r="NL48" s="438"/>
      <c r="NM48" s="438"/>
      <c r="NN48" s="438"/>
      <c r="NO48" s="438"/>
      <c r="NP48" s="438"/>
      <c r="NQ48" s="438"/>
      <c r="NR48" s="438"/>
      <c r="NS48" s="438"/>
      <c r="NT48" s="438"/>
      <c r="NU48" s="438"/>
      <c r="NV48" s="438"/>
      <c r="NW48" s="438"/>
      <c r="NX48" s="447"/>
      <c r="NY48" s="437"/>
      <c r="NZ48" s="438"/>
      <c r="OA48" s="438"/>
      <c r="OB48" s="438"/>
      <c r="OC48" s="438"/>
      <c r="OD48" s="438"/>
      <c r="OE48" s="438"/>
      <c r="OF48" s="438"/>
      <c r="OG48" s="438"/>
      <c r="OH48" s="438"/>
      <c r="OI48" s="438"/>
      <c r="OJ48" s="438"/>
      <c r="OK48" s="438"/>
      <c r="OL48" s="438"/>
      <c r="OM48" s="438"/>
      <c r="ON48" s="438"/>
      <c r="OO48" s="438"/>
      <c r="OP48" s="438"/>
      <c r="OQ48" s="438"/>
      <c r="OR48" s="438"/>
      <c r="OS48" s="438"/>
      <c r="OT48" s="438"/>
      <c r="OU48" s="438"/>
      <c r="OV48" s="438"/>
      <c r="OW48" s="447"/>
      <c r="OX48" s="437"/>
      <c r="OY48" s="438"/>
      <c r="OZ48" s="438"/>
      <c r="PA48" s="438"/>
      <c r="PB48" s="438"/>
      <c r="PC48" s="438"/>
      <c r="PD48" s="438"/>
      <c r="PE48" s="438"/>
      <c r="PF48" s="438"/>
      <c r="PG48" s="438"/>
      <c r="PH48" s="438"/>
      <c r="PI48" s="438"/>
      <c r="PJ48" s="438"/>
      <c r="PK48" s="438"/>
      <c r="PL48" s="438"/>
      <c r="PM48" s="438"/>
      <c r="PN48" s="438"/>
      <c r="PO48" s="438"/>
      <c r="PP48" s="438"/>
      <c r="PQ48" s="438"/>
      <c r="PR48" s="438"/>
      <c r="PS48" s="438"/>
      <c r="PT48" s="438"/>
      <c r="PU48" s="438"/>
      <c r="PV48" s="447"/>
      <c r="PW48" s="437"/>
      <c r="PX48" s="438"/>
      <c r="PY48" s="438"/>
      <c r="PZ48" s="438"/>
      <c r="QA48" s="438"/>
      <c r="QB48" s="438"/>
      <c r="QC48" s="438"/>
      <c r="QD48" s="438"/>
      <c r="QE48" s="438"/>
      <c r="QF48" s="438"/>
      <c r="QG48" s="438"/>
      <c r="QH48" s="438"/>
      <c r="QI48" s="438"/>
      <c r="QJ48" s="438"/>
      <c r="QK48" s="438"/>
      <c r="QL48" s="438"/>
      <c r="QM48" s="438"/>
      <c r="QN48" s="438"/>
      <c r="QO48" s="438"/>
      <c r="QP48" s="438"/>
      <c r="QQ48" s="438"/>
      <c r="QR48" s="438"/>
      <c r="QS48" s="438"/>
      <c r="QT48" s="438"/>
      <c r="QU48" s="447"/>
    </row>
    <row r="49" spans="1:463" ht="24" customHeight="1">
      <c r="A49" s="439"/>
      <c r="B49" s="436"/>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40"/>
      <c r="AA49" s="436"/>
      <c r="AB49" s="436"/>
      <c r="AC49" s="436"/>
      <c r="AD49" s="436"/>
      <c r="AE49" s="436"/>
      <c r="AF49" s="439"/>
      <c r="AG49" s="436"/>
      <c r="AH49" s="436"/>
      <c r="AI49" s="436"/>
      <c r="AJ49" s="436"/>
      <c r="AK49" s="436"/>
      <c r="AL49" s="436"/>
      <c r="AM49" s="436"/>
      <c r="AN49" s="436"/>
      <c r="AO49" s="436"/>
      <c r="AP49" s="436"/>
      <c r="AQ49" s="436"/>
      <c r="AR49" s="436"/>
      <c r="AS49" s="436"/>
      <c r="AT49" s="436"/>
      <c r="AU49" s="436"/>
      <c r="AV49" s="436"/>
      <c r="AW49" s="436"/>
      <c r="AX49" s="436"/>
      <c r="AY49" s="436"/>
      <c r="AZ49" s="436"/>
      <c r="BA49" s="436"/>
      <c r="BB49" s="436"/>
      <c r="BC49" s="436"/>
      <c r="BD49" s="440"/>
      <c r="BE49" s="439"/>
      <c r="BF49" s="436"/>
      <c r="BG49" s="436"/>
      <c r="BH49" s="436"/>
      <c r="BI49" s="436"/>
      <c r="BJ49" s="436"/>
      <c r="BK49" s="436"/>
      <c r="BL49" s="436"/>
      <c r="BM49" s="436"/>
      <c r="BN49" s="436"/>
      <c r="BO49" s="436"/>
      <c r="BP49" s="436"/>
      <c r="BQ49" s="436"/>
      <c r="BR49" s="436"/>
      <c r="BS49" s="436"/>
      <c r="BT49" s="436"/>
      <c r="BU49" s="436"/>
      <c r="BV49" s="436"/>
      <c r="BW49" s="436"/>
      <c r="BX49" s="436"/>
      <c r="BY49" s="436"/>
      <c r="BZ49" s="436"/>
      <c r="CA49" s="436"/>
      <c r="CB49" s="436"/>
      <c r="CC49" s="440"/>
      <c r="CD49" s="439"/>
      <c r="CE49" s="436"/>
      <c r="CF49" s="436"/>
      <c r="CG49" s="436"/>
      <c r="CH49" s="436"/>
      <c r="CI49" s="436"/>
      <c r="CJ49" s="436"/>
      <c r="CK49" s="436"/>
      <c r="CL49" s="436"/>
      <c r="CM49" s="436"/>
      <c r="CN49" s="436"/>
      <c r="CO49" s="436"/>
      <c r="CP49" s="436"/>
      <c r="CQ49" s="436"/>
      <c r="CR49" s="436"/>
      <c r="CS49" s="436"/>
      <c r="CT49" s="436"/>
      <c r="CU49" s="436"/>
      <c r="CV49" s="436"/>
      <c r="CW49" s="436"/>
      <c r="CX49" s="436"/>
      <c r="CY49" s="436"/>
      <c r="CZ49" s="436"/>
      <c r="DA49" s="436"/>
      <c r="DB49" s="440"/>
      <c r="DC49" s="439"/>
      <c r="DD49" s="436"/>
      <c r="DE49" s="436"/>
      <c r="DF49" s="436"/>
      <c r="DG49" s="436"/>
      <c r="DH49" s="436"/>
      <c r="DI49" s="436"/>
      <c r="DJ49" s="436"/>
      <c r="DK49" s="436"/>
      <c r="DL49" s="436"/>
      <c r="DM49" s="436"/>
      <c r="DN49" s="436"/>
      <c r="DO49" s="436"/>
      <c r="DP49" s="436"/>
      <c r="DQ49" s="436"/>
      <c r="DR49" s="436"/>
      <c r="DS49" s="436"/>
      <c r="DT49" s="436"/>
      <c r="DU49" s="436"/>
      <c r="DV49" s="436"/>
      <c r="DW49" s="436"/>
      <c r="DX49" s="436"/>
      <c r="DY49" s="436"/>
      <c r="DZ49" s="436"/>
      <c r="EA49" s="440"/>
      <c r="EB49" s="439"/>
      <c r="EC49" s="436"/>
      <c r="ED49" s="436"/>
      <c r="EE49" s="436"/>
      <c r="EF49" s="436"/>
      <c r="EG49" s="436"/>
      <c r="EH49" s="436"/>
      <c r="EI49" s="436"/>
      <c r="EJ49" s="436"/>
      <c r="EK49" s="436"/>
      <c r="EL49" s="436"/>
      <c r="EM49" s="436"/>
      <c r="EN49" s="436"/>
      <c r="EO49" s="436"/>
      <c r="EP49" s="436"/>
      <c r="EQ49" s="436"/>
      <c r="ER49" s="436"/>
      <c r="ES49" s="436"/>
      <c r="ET49" s="436"/>
      <c r="EU49" s="436"/>
      <c r="EV49" s="436"/>
      <c r="EW49" s="436"/>
      <c r="EX49" s="436"/>
      <c r="EY49" s="436"/>
      <c r="EZ49" s="440"/>
      <c r="FA49" s="439"/>
      <c r="FB49" s="436"/>
      <c r="FC49" s="436"/>
      <c r="FD49" s="436"/>
      <c r="FE49" s="436"/>
      <c r="FF49" s="436"/>
      <c r="FG49" s="436"/>
      <c r="FH49" s="436"/>
      <c r="FI49" s="436"/>
      <c r="FJ49" s="436"/>
      <c r="FK49" s="436"/>
      <c r="FL49" s="436"/>
      <c r="FM49" s="436"/>
      <c r="FN49" s="436"/>
      <c r="FO49" s="436"/>
      <c r="FP49" s="436"/>
      <c r="FQ49" s="436"/>
      <c r="FR49" s="436"/>
      <c r="FS49" s="436"/>
      <c r="FT49" s="436"/>
      <c r="FU49" s="436"/>
      <c r="FV49" s="436"/>
      <c r="FW49" s="436"/>
      <c r="FX49" s="436"/>
      <c r="FY49" s="440"/>
      <c r="FZ49" s="439"/>
      <c r="GA49" s="436"/>
      <c r="GB49" s="436"/>
      <c r="GC49" s="436"/>
      <c r="GD49" s="436"/>
      <c r="GE49" s="436"/>
      <c r="GF49" s="436"/>
      <c r="GG49" s="436"/>
      <c r="GH49" s="436"/>
      <c r="GI49" s="436"/>
      <c r="GJ49" s="436"/>
      <c r="GK49" s="436"/>
      <c r="GL49" s="436"/>
      <c r="GM49" s="436"/>
      <c r="GN49" s="436"/>
      <c r="GO49" s="436"/>
      <c r="GP49" s="436"/>
      <c r="GQ49" s="436"/>
      <c r="GR49" s="436"/>
      <c r="GS49" s="436"/>
      <c r="GT49" s="436"/>
      <c r="GU49" s="436"/>
      <c r="GV49" s="436"/>
      <c r="GW49" s="436"/>
      <c r="GX49" s="440"/>
      <c r="GY49" s="439"/>
      <c r="GZ49" s="436"/>
      <c r="HA49" s="436"/>
      <c r="HB49" s="436"/>
      <c r="HC49" s="436"/>
      <c r="HD49" s="436"/>
      <c r="HE49" s="436"/>
      <c r="HF49" s="436"/>
      <c r="HG49" s="436"/>
      <c r="HH49" s="436"/>
      <c r="HI49" s="436"/>
      <c r="HJ49" s="436"/>
      <c r="HK49" s="436"/>
      <c r="HL49" s="436"/>
      <c r="HM49" s="436"/>
      <c r="HN49" s="436"/>
      <c r="HO49" s="436"/>
      <c r="HP49" s="436"/>
      <c r="HQ49" s="436"/>
      <c r="HR49" s="436"/>
      <c r="HS49" s="436"/>
      <c r="HT49" s="436"/>
      <c r="HU49" s="436"/>
      <c r="HV49" s="436"/>
      <c r="HW49" s="440"/>
      <c r="LB49" s="439"/>
      <c r="LC49" s="436"/>
      <c r="LD49" s="436"/>
      <c r="LE49" s="436"/>
      <c r="LF49" s="436"/>
      <c r="LG49" s="436"/>
      <c r="LH49" s="436"/>
      <c r="LI49" s="436"/>
      <c r="LJ49" s="436"/>
      <c r="LK49" s="436"/>
      <c r="LL49" s="436"/>
      <c r="LM49" s="436"/>
      <c r="LN49" s="436"/>
      <c r="LO49" s="436"/>
      <c r="LP49" s="436"/>
      <c r="LQ49" s="436"/>
      <c r="LR49" s="436"/>
      <c r="LS49" s="436"/>
      <c r="LT49" s="436"/>
      <c r="LU49" s="436"/>
      <c r="LV49" s="436"/>
      <c r="LW49" s="436"/>
      <c r="LX49" s="436"/>
      <c r="LY49" s="436"/>
      <c r="LZ49" s="440"/>
      <c r="MA49" s="439"/>
      <c r="MB49" s="436"/>
      <c r="MC49" s="436"/>
      <c r="MD49" s="436"/>
      <c r="ME49" s="436"/>
      <c r="MF49" s="436"/>
      <c r="MG49" s="436"/>
      <c r="MH49" s="436"/>
      <c r="MI49" s="436"/>
      <c r="MJ49" s="436"/>
      <c r="MK49" s="436"/>
      <c r="ML49" s="436"/>
      <c r="MM49" s="436"/>
      <c r="MN49" s="436"/>
      <c r="MO49" s="436"/>
      <c r="MP49" s="436"/>
      <c r="MQ49" s="436"/>
      <c r="MR49" s="436"/>
      <c r="MS49" s="436"/>
      <c r="MT49" s="436"/>
      <c r="MU49" s="436"/>
      <c r="MV49" s="436"/>
      <c r="MW49" s="436"/>
      <c r="MX49" s="436"/>
      <c r="MY49" s="440"/>
      <c r="MZ49" s="439"/>
      <c r="NA49" s="436"/>
      <c r="NB49" s="436"/>
      <c r="NC49" s="436"/>
      <c r="ND49" s="436"/>
      <c r="NE49" s="436"/>
      <c r="NF49" s="436"/>
      <c r="NG49" s="436"/>
      <c r="NH49" s="436"/>
      <c r="NI49" s="436"/>
      <c r="NJ49" s="436"/>
      <c r="NK49" s="436"/>
      <c r="NL49" s="436"/>
      <c r="NM49" s="436"/>
      <c r="NN49" s="436"/>
      <c r="NO49" s="436"/>
      <c r="NP49" s="436"/>
      <c r="NQ49" s="436"/>
      <c r="NR49" s="436"/>
      <c r="NS49" s="436"/>
      <c r="NT49" s="436"/>
      <c r="NU49" s="436"/>
      <c r="NV49" s="436"/>
      <c r="NW49" s="436"/>
      <c r="NX49" s="440"/>
      <c r="NY49" s="439"/>
      <c r="NZ49" s="436"/>
      <c r="OA49" s="436"/>
      <c r="OB49" s="436"/>
      <c r="OC49" s="436"/>
      <c r="OD49" s="436"/>
      <c r="OE49" s="436"/>
      <c r="OF49" s="436"/>
      <c r="OG49" s="436"/>
      <c r="OH49" s="436"/>
      <c r="OI49" s="436"/>
      <c r="OJ49" s="436"/>
      <c r="OK49" s="436"/>
      <c r="OL49" s="436"/>
      <c r="OM49" s="436"/>
      <c r="ON49" s="436"/>
      <c r="OO49" s="436"/>
      <c r="OP49" s="436"/>
      <c r="OQ49" s="436"/>
      <c r="OR49" s="436"/>
      <c r="OS49" s="436"/>
      <c r="OT49" s="436"/>
      <c r="OU49" s="436"/>
      <c r="OV49" s="436"/>
      <c r="OW49" s="440"/>
      <c r="OX49" s="439"/>
      <c r="OY49" s="436"/>
      <c r="OZ49" s="436"/>
      <c r="PA49" s="436"/>
      <c r="PB49" s="436"/>
      <c r="PC49" s="436"/>
      <c r="PD49" s="436"/>
      <c r="PE49" s="436"/>
      <c r="PF49" s="436"/>
      <c r="PG49" s="436"/>
      <c r="PH49" s="436"/>
      <c r="PI49" s="436"/>
      <c r="PJ49" s="436"/>
      <c r="PK49" s="436"/>
      <c r="PL49" s="436"/>
      <c r="PM49" s="436"/>
      <c r="PN49" s="436"/>
      <c r="PO49" s="436"/>
      <c r="PP49" s="436"/>
      <c r="PQ49" s="436"/>
      <c r="PR49" s="436"/>
      <c r="PS49" s="436"/>
      <c r="PT49" s="436"/>
      <c r="PU49" s="436"/>
      <c r="PV49" s="440"/>
      <c r="PW49" s="439"/>
      <c r="PX49" s="436"/>
      <c r="PY49" s="436"/>
      <c r="PZ49" s="436"/>
      <c r="QA49" s="436"/>
      <c r="QB49" s="436"/>
      <c r="QC49" s="436"/>
      <c r="QD49" s="436"/>
      <c r="QE49" s="436"/>
      <c r="QF49" s="436"/>
      <c r="QG49" s="436"/>
      <c r="QH49" s="436"/>
      <c r="QI49" s="436"/>
      <c r="QJ49" s="436"/>
      <c r="QK49" s="436"/>
      <c r="QL49" s="436"/>
      <c r="QM49" s="436"/>
      <c r="QN49" s="436"/>
      <c r="QO49" s="436"/>
      <c r="QP49" s="436"/>
      <c r="QQ49" s="436"/>
      <c r="QR49" s="436"/>
      <c r="QS49" s="436"/>
      <c r="QT49" s="436"/>
      <c r="QU49" s="440"/>
    </row>
    <row r="50" spans="1:463" ht="24" customHeight="1">
      <c r="A50" s="439"/>
      <c r="B50" s="436"/>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40"/>
      <c r="AA50" s="436"/>
      <c r="AB50" s="436"/>
      <c r="AC50" s="436"/>
      <c r="AD50" s="436"/>
      <c r="AE50" s="436"/>
      <c r="AF50" s="439"/>
      <c r="AG50" s="436"/>
      <c r="AH50" s="436"/>
      <c r="AI50" s="436"/>
      <c r="AJ50" s="436"/>
      <c r="AK50" s="436"/>
      <c r="AL50" s="436"/>
      <c r="AM50" s="436"/>
      <c r="AN50" s="436"/>
      <c r="AO50" s="436"/>
      <c r="AP50" s="436"/>
      <c r="AQ50" s="436"/>
      <c r="AR50" s="436"/>
      <c r="AS50" s="436"/>
      <c r="AT50" s="436"/>
      <c r="AU50" s="436"/>
      <c r="AV50" s="436"/>
      <c r="AW50" s="436"/>
      <c r="AX50" s="436"/>
      <c r="AY50" s="436"/>
      <c r="AZ50" s="436"/>
      <c r="BA50" s="436"/>
      <c r="BB50" s="436"/>
      <c r="BC50" s="436"/>
      <c r="BD50" s="440"/>
      <c r="BE50" s="439"/>
      <c r="BF50" s="436"/>
      <c r="BG50" s="436"/>
      <c r="BH50" s="436"/>
      <c r="BI50" s="436"/>
      <c r="BJ50" s="436"/>
      <c r="BK50" s="436"/>
      <c r="BL50" s="436"/>
      <c r="BM50" s="436"/>
      <c r="BN50" s="436"/>
      <c r="BO50" s="436"/>
      <c r="BP50" s="436"/>
      <c r="BQ50" s="436"/>
      <c r="BR50" s="436"/>
      <c r="BS50" s="436"/>
      <c r="BT50" s="436"/>
      <c r="BU50" s="436"/>
      <c r="BV50" s="436"/>
      <c r="BW50" s="436"/>
      <c r="BX50" s="436"/>
      <c r="BY50" s="436"/>
      <c r="BZ50" s="436"/>
      <c r="CA50" s="436"/>
      <c r="CB50" s="436"/>
      <c r="CC50" s="440"/>
      <c r="CD50" s="439"/>
      <c r="CE50" s="436"/>
      <c r="CF50" s="436"/>
      <c r="CG50" s="436"/>
      <c r="CH50" s="436"/>
      <c r="CI50" s="436"/>
      <c r="CJ50" s="436"/>
      <c r="CK50" s="436"/>
      <c r="CL50" s="436"/>
      <c r="CM50" s="436"/>
      <c r="CN50" s="436"/>
      <c r="CO50" s="436"/>
      <c r="CP50" s="436"/>
      <c r="CQ50" s="436"/>
      <c r="CR50" s="436"/>
      <c r="CS50" s="436"/>
      <c r="CT50" s="436"/>
      <c r="CU50" s="436"/>
      <c r="CV50" s="436"/>
      <c r="CW50" s="436"/>
      <c r="CX50" s="436"/>
      <c r="CY50" s="436"/>
      <c r="CZ50" s="436"/>
      <c r="DA50" s="436"/>
      <c r="DB50" s="440"/>
      <c r="DC50" s="439"/>
      <c r="DD50" s="436"/>
      <c r="DE50" s="436"/>
      <c r="DF50" s="436"/>
      <c r="DG50" s="436"/>
      <c r="DH50" s="436"/>
      <c r="DI50" s="436"/>
      <c r="DJ50" s="436"/>
      <c r="DK50" s="436"/>
      <c r="DL50" s="436"/>
      <c r="DM50" s="436"/>
      <c r="DN50" s="436"/>
      <c r="DO50" s="436"/>
      <c r="DP50" s="436"/>
      <c r="DQ50" s="436"/>
      <c r="DR50" s="436"/>
      <c r="DS50" s="436"/>
      <c r="DT50" s="436"/>
      <c r="DU50" s="436"/>
      <c r="DV50" s="436"/>
      <c r="DW50" s="436"/>
      <c r="DX50" s="436"/>
      <c r="DY50" s="436"/>
      <c r="DZ50" s="436"/>
      <c r="EA50" s="440"/>
      <c r="EB50" s="439"/>
      <c r="EC50" s="436"/>
      <c r="ED50" s="436"/>
      <c r="EE50" s="436"/>
      <c r="EF50" s="436"/>
      <c r="EG50" s="436"/>
      <c r="EH50" s="436"/>
      <c r="EI50" s="436"/>
      <c r="EJ50" s="436"/>
      <c r="EK50" s="436"/>
      <c r="EL50" s="436"/>
      <c r="EM50" s="436"/>
      <c r="EN50" s="436"/>
      <c r="EO50" s="436"/>
      <c r="EP50" s="436"/>
      <c r="EQ50" s="436"/>
      <c r="ER50" s="436"/>
      <c r="ES50" s="436"/>
      <c r="ET50" s="436"/>
      <c r="EU50" s="436"/>
      <c r="EV50" s="436"/>
      <c r="EW50" s="436"/>
      <c r="EX50" s="436"/>
      <c r="EY50" s="436"/>
      <c r="EZ50" s="440"/>
      <c r="FA50" s="439"/>
      <c r="FB50" s="436"/>
      <c r="FC50" s="436"/>
      <c r="FD50" s="436"/>
      <c r="FE50" s="436"/>
      <c r="FF50" s="436"/>
      <c r="FG50" s="436"/>
      <c r="FH50" s="436"/>
      <c r="FI50" s="436"/>
      <c r="FJ50" s="436"/>
      <c r="FK50" s="436"/>
      <c r="FL50" s="436"/>
      <c r="FM50" s="436"/>
      <c r="FN50" s="436"/>
      <c r="FO50" s="436"/>
      <c r="FP50" s="436"/>
      <c r="FQ50" s="436"/>
      <c r="FR50" s="436"/>
      <c r="FS50" s="436"/>
      <c r="FT50" s="436"/>
      <c r="FU50" s="436"/>
      <c r="FV50" s="436"/>
      <c r="FW50" s="436"/>
      <c r="FX50" s="436"/>
      <c r="FY50" s="440"/>
      <c r="FZ50" s="439"/>
      <c r="GA50" s="436"/>
      <c r="GB50" s="436"/>
      <c r="GC50" s="436"/>
      <c r="GD50" s="436"/>
      <c r="GE50" s="436"/>
      <c r="GF50" s="436"/>
      <c r="GG50" s="436"/>
      <c r="GH50" s="436"/>
      <c r="GI50" s="436"/>
      <c r="GJ50" s="436"/>
      <c r="GK50" s="436"/>
      <c r="GL50" s="436"/>
      <c r="GM50" s="436"/>
      <c r="GN50" s="436"/>
      <c r="GO50" s="436"/>
      <c r="GP50" s="436"/>
      <c r="GQ50" s="436"/>
      <c r="GR50" s="436"/>
      <c r="GS50" s="436"/>
      <c r="GT50" s="436"/>
      <c r="GU50" s="436"/>
      <c r="GV50" s="436"/>
      <c r="GW50" s="436"/>
      <c r="GX50" s="440"/>
      <c r="GY50" s="439"/>
      <c r="GZ50" s="436"/>
      <c r="HA50" s="436"/>
      <c r="HB50" s="436"/>
      <c r="HC50" s="436"/>
      <c r="HD50" s="436"/>
      <c r="HE50" s="436"/>
      <c r="HF50" s="436"/>
      <c r="HG50" s="436"/>
      <c r="HH50" s="436"/>
      <c r="HI50" s="436"/>
      <c r="HJ50" s="436"/>
      <c r="HK50" s="436"/>
      <c r="HL50" s="436"/>
      <c r="HM50" s="436"/>
      <c r="HN50" s="436"/>
      <c r="HO50" s="436"/>
      <c r="HP50" s="436"/>
      <c r="HQ50" s="436"/>
      <c r="HR50" s="436"/>
      <c r="HS50" s="436"/>
      <c r="HT50" s="436"/>
      <c r="HU50" s="436"/>
      <c r="HV50" s="436"/>
      <c r="HW50" s="440"/>
      <c r="LB50" s="439"/>
      <c r="LC50" s="436"/>
      <c r="LD50" s="436"/>
      <c r="LE50" s="436"/>
      <c r="LF50" s="436"/>
      <c r="LG50" s="436"/>
      <c r="LH50" s="436"/>
      <c r="LI50" s="436"/>
      <c r="LJ50" s="436"/>
      <c r="LK50" s="436"/>
      <c r="LL50" s="436"/>
      <c r="LM50" s="436"/>
      <c r="LN50" s="436"/>
      <c r="LO50" s="436"/>
      <c r="LP50" s="436"/>
      <c r="LQ50" s="436"/>
      <c r="LR50" s="436"/>
      <c r="LS50" s="436"/>
      <c r="LT50" s="436"/>
      <c r="LU50" s="436"/>
      <c r="LV50" s="436"/>
      <c r="LW50" s="436"/>
      <c r="LX50" s="436"/>
      <c r="LY50" s="436"/>
      <c r="LZ50" s="440"/>
      <c r="MA50" s="439"/>
      <c r="MB50" s="436"/>
      <c r="MC50" s="436"/>
      <c r="MD50" s="436"/>
      <c r="ME50" s="436"/>
      <c r="MF50" s="436"/>
      <c r="MG50" s="436"/>
      <c r="MH50" s="436"/>
      <c r="MI50" s="436"/>
      <c r="MJ50" s="436"/>
      <c r="MK50" s="436"/>
      <c r="ML50" s="436"/>
      <c r="MM50" s="436"/>
      <c r="MN50" s="436"/>
      <c r="MO50" s="436"/>
      <c r="MP50" s="436"/>
      <c r="MQ50" s="436"/>
      <c r="MR50" s="436"/>
      <c r="MS50" s="436"/>
      <c r="MT50" s="436"/>
      <c r="MU50" s="436"/>
      <c r="MV50" s="436"/>
      <c r="MW50" s="436"/>
      <c r="MX50" s="436"/>
      <c r="MY50" s="440"/>
      <c r="MZ50" s="439"/>
      <c r="NA50" s="436"/>
      <c r="NB50" s="436"/>
      <c r="NC50" s="436"/>
      <c r="ND50" s="436"/>
      <c r="NE50" s="436"/>
      <c r="NF50" s="436"/>
      <c r="NG50" s="436"/>
      <c r="NH50" s="436"/>
      <c r="NI50" s="436"/>
      <c r="NJ50" s="436"/>
      <c r="NK50" s="436"/>
      <c r="NL50" s="436"/>
      <c r="NM50" s="436"/>
      <c r="NN50" s="436"/>
      <c r="NO50" s="436"/>
      <c r="NP50" s="436"/>
      <c r="NQ50" s="436"/>
      <c r="NR50" s="436"/>
      <c r="NS50" s="436"/>
      <c r="NT50" s="436"/>
      <c r="NU50" s="436"/>
      <c r="NV50" s="436"/>
      <c r="NW50" s="436"/>
      <c r="NX50" s="440"/>
      <c r="NY50" s="439"/>
      <c r="NZ50" s="436"/>
      <c r="OA50" s="436"/>
      <c r="OB50" s="436"/>
      <c r="OC50" s="436"/>
      <c r="OD50" s="436"/>
      <c r="OE50" s="436"/>
      <c r="OF50" s="436"/>
      <c r="OG50" s="436"/>
      <c r="OH50" s="436"/>
      <c r="OI50" s="436"/>
      <c r="OJ50" s="436"/>
      <c r="OK50" s="436"/>
      <c r="OL50" s="436"/>
      <c r="OM50" s="436"/>
      <c r="ON50" s="436"/>
      <c r="OO50" s="436"/>
      <c r="OP50" s="436"/>
      <c r="OQ50" s="436"/>
      <c r="OR50" s="436"/>
      <c r="OS50" s="436"/>
      <c r="OT50" s="436"/>
      <c r="OU50" s="436"/>
      <c r="OV50" s="436"/>
      <c r="OW50" s="440"/>
      <c r="OX50" s="439"/>
      <c r="OY50" s="436"/>
      <c r="OZ50" s="436"/>
      <c r="PA50" s="436"/>
      <c r="PB50" s="436"/>
      <c r="PC50" s="436"/>
      <c r="PD50" s="436"/>
      <c r="PE50" s="436"/>
      <c r="PF50" s="436"/>
      <c r="PG50" s="436"/>
      <c r="PH50" s="436"/>
      <c r="PI50" s="436"/>
      <c r="PJ50" s="436"/>
      <c r="PK50" s="436"/>
      <c r="PL50" s="436"/>
      <c r="PM50" s="436"/>
      <c r="PN50" s="436"/>
      <c r="PO50" s="436"/>
      <c r="PP50" s="436"/>
      <c r="PQ50" s="436"/>
      <c r="PR50" s="436"/>
      <c r="PS50" s="436"/>
      <c r="PT50" s="436"/>
      <c r="PU50" s="436"/>
      <c r="PV50" s="440"/>
      <c r="PW50" s="439"/>
      <c r="PX50" s="436"/>
      <c r="PY50" s="436"/>
      <c r="PZ50" s="436"/>
      <c r="QA50" s="436"/>
      <c r="QB50" s="436"/>
      <c r="QC50" s="436"/>
      <c r="QD50" s="436"/>
      <c r="QE50" s="436"/>
      <c r="QF50" s="436"/>
      <c r="QG50" s="436"/>
      <c r="QH50" s="436"/>
      <c r="QI50" s="436"/>
      <c r="QJ50" s="436"/>
      <c r="QK50" s="436"/>
      <c r="QL50" s="436"/>
      <c r="QM50" s="436"/>
      <c r="QN50" s="436"/>
      <c r="QO50" s="436"/>
      <c r="QP50" s="436"/>
      <c r="QQ50" s="436"/>
      <c r="QR50" s="436"/>
      <c r="QS50" s="436"/>
      <c r="QT50" s="436"/>
      <c r="QU50" s="440"/>
    </row>
    <row r="51" spans="1:463" ht="24" customHeight="1">
      <c r="A51" s="439"/>
      <c r="B51" s="436"/>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40"/>
      <c r="AA51" s="436"/>
      <c r="AB51" s="436"/>
      <c r="AC51" s="436"/>
      <c r="AD51" s="436"/>
      <c r="AE51" s="436"/>
      <c r="AF51" s="439"/>
      <c r="AG51" s="436"/>
      <c r="AH51" s="436"/>
      <c r="AI51" s="436"/>
      <c r="AJ51" s="436"/>
      <c r="AK51" s="436"/>
      <c r="AL51" s="436"/>
      <c r="AM51" s="436"/>
      <c r="AN51" s="436"/>
      <c r="AO51" s="436"/>
      <c r="AP51" s="436"/>
      <c r="AQ51" s="436"/>
      <c r="AR51" s="436"/>
      <c r="AS51" s="436"/>
      <c r="AT51" s="436"/>
      <c r="AU51" s="436"/>
      <c r="AV51" s="436"/>
      <c r="AW51" s="436"/>
      <c r="AX51" s="436"/>
      <c r="AY51" s="436"/>
      <c r="AZ51" s="436"/>
      <c r="BA51" s="436"/>
      <c r="BB51" s="436"/>
      <c r="BC51" s="436"/>
      <c r="BD51" s="440"/>
      <c r="BE51" s="439"/>
      <c r="BF51" s="436"/>
      <c r="BG51" s="436"/>
      <c r="BH51" s="436"/>
      <c r="BI51" s="436"/>
      <c r="BJ51" s="436"/>
      <c r="BK51" s="436"/>
      <c r="BL51" s="436"/>
      <c r="BM51" s="436"/>
      <c r="BN51" s="436"/>
      <c r="BO51" s="436"/>
      <c r="BP51" s="436"/>
      <c r="BQ51" s="436"/>
      <c r="BR51" s="436"/>
      <c r="BS51" s="436"/>
      <c r="BT51" s="436"/>
      <c r="BU51" s="436"/>
      <c r="BV51" s="436"/>
      <c r="BW51" s="436"/>
      <c r="BX51" s="436"/>
      <c r="BY51" s="436"/>
      <c r="BZ51" s="436"/>
      <c r="CA51" s="436"/>
      <c r="CB51" s="436"/>
      <c r="CC51" s="440"/>
      <c r="CD51" s="439"/>
      <c r="CE51" s="436"/>
      <c r="CF51" s="436"/>
      <c r="CG51" s="436"/>
      <c r="CH51" s="436"/>
      <c r="CI51" s="436"/>
      <c r="CJ51" s="436"/>
      <c r="CK51" s="436"/>
      <c r="CL51" s="436"/>
      <c r="CM51" s="436"/>
      <c r="CN51" s="436"/>
      <c r="CO51" s="436"/>
      <c r="CP51" s="436"/>
      <c r="CQ51" s="436"/>
      <c r="CR51" s="436"/>
      <c r="CS51" s="436"/>
      <c r="CT51" s="436"/>
      <c r="CU51" s="436"/>
      <c r="CV51" s="436"/>
      <c r="CW51" s="436"/>
      <c r="CX51" s="436"/>
      <c r="CY51" s="436"/>
      <c r="CZ51" s="436"/>
      <c r="DA51" s="436"/>
      <c r="DB51" s="440"/>
      <c r="DC51" s="439"/>
      <c r="DD51" s="436"/>
      <c r="DE51" s="436"/>
      <c r="DF51" s="436"/>
      <c r="DG51" s="436"/>
      <c r="DH51" s="436"/>
      <c r="DI51" s="436"/>
      <c r="DJ51" s="436"/>
      <c r="DK51" s="436"/>
      <c r="DL51" s="436"/>
      <c r="DM51" s="436"/>
      <c r="DN51" s="436"/>
      <c r="DO51" s="436"/>
      <c r="DP51" s="436"/>
      <c r="DQ51" s="436"/>
      <c r="DR51" s="436"/>
      <c r="DS51" s="436"/>
      <c r="DT51" s="436"/>
      <c r="DU51" s="436"/>
      <c r="DV51" s="436"/>
      <c r="DW51" s="436"/>
      <c r="DX51" s="436"/>
      <c r="DY51" s="436"/>
      <c r="DZ51" s="436"/>
      <c r="EA51" s="440"/>
      <c r="EB51" s="439"/>
      <c r="EC51" s="436"/>
      <c r="ED51" s="436"/>
      <c r="EE51" s="436"/>
      <c r="EF51" s="436"/>
      <c r="EG51" s="436"/>
      <c r="EH51" s="436"/>
      <c r="EI51" s="436"/>
      <c r="EJ51" s="436"/>
      <c r="EK51" s="436"/>
      <c r="EL51" s="436"/>
      <c r="EM51" s="436"/>
      <c r="EN51" s="436"/>
      <c r="EO51" s="436"/>
      <c r="EP51" s="436"/>
      <c r="EQ51" s="436"/>
      <c r="ER51" s="436"/>
      <c r="ES51" s="436"/>
      <c r="ET51" s="436"/>
      <c r="EU51" s="436"/>
      <c r="EV51" s="436"/>
      <c r="EW51" s="436"/>
      <c r="EX51" s="436"/>
      <c r="EY51" s="436"/>
      <c r="EZ51" s="440"/>
      <c r="FA51" s="439"/>
      <c r="FB51" s="436"/>
      <c r="FC51" s="436"/>
      <c r="FD51" s="436"/>
      <c r="FE51" s="436"/>
      <c r="FF51" s="436"/>
      <c r="FG51" s="436"/>
      <c r="FH51" s="436"/>
      <c r="FI51" s="436"/>
      <c r="FJ51" s="436"/>
      <c r="FK51" s="436"/>
      <c r="FL51" s="436"/>
      <c r="FM51" s="436"/>
      <c r="FN51" s="436"/>
      <c r="FO51" s="436"/>
      <c r="FP51" s="436"/>
      <c r="FQ51" s="436"/>
      <c r="FR51" s="436"/>
      <c r="FS51" s="436"/>
      <c r="FT51" s="436"/>
      <c r="FU51" s="436"/>
      <c r="FV51" s="436"/>
      <c r="FW51" s="436"/>
      <c r="FX51" s="436"/>
      <c r="FY51" s="440"/>
      <c r="FZ51" s="439"/>
      <c r="GA51" s="436"/>
      <c r="GB51" s="436"/>
      <c r="GC51" s="436"/>
      <c r="GD51" s="436"/>
      <c r="GE51" s="436"/>
      <c r="GF51" s="436"/>
      <c r="GG51" s="436"/>
      <c r="GH51" s="436"/>
      <c r="GI51" s="436"/>
      <c r="GJ51" s="436"/>
      <c r="GK51" s="436"/>
      <c r="GL51" s="436"/>
      <c r="GM51" s="436"/>
      <c r="GN51" s="436"/>
      <c r="GO51" s="436"/>
      <c r="GP51" s="436"/>
      <c r="GQ51" s="436"/>
      <c r="GR51" s="436"/>
      <c r="GS51" s="436"/>
      <c r="GT51" s="436"/>
      <c r="GU51" s="436"/>
      <c r="GV51" s="436"/>
      <c r="GW51" s="436"/>
      <c r="GX51" s="440"/>
      <c r="GY51" s="439"/>
      <c r="GZ51" s="436"/>
      <c r="HA51" s="436"/>
      <c r="HB51" s="436"/>
      <c r="HC51" s="436"/>
      <c r="HD51" s="436"/>
      <c r="HE51" s="436"/>
      <c r="HF51" s="436"/>
      <c r="HG51" s="436"/>
      <c r="HH51" s="436"/>
      <c r="HI51" s="436"/>
      <c r="HJ51" s="436"/>
      <c r="HK51" s="436"/>
      <c r="HL51" s="436"/>
      <c r="HM51" s="436"/>
      <c r="HN51" s="436"/>
      <c r="HO51" s="436"/>
      <c r="HP51" s="436"/>
      <c r="HQ51" s="436"/>
      <c r="HR51" s="436"/>
      <c r="HS51" s="436"/>
      <c r="HT51" s="436"/>
      <c r="HU51" s="436"/>
      <c r="HV51" s="436"/>
      <c r="HW51" s="440"/>
      <c r="LB51" s="439"/>
      <c r="LC51" s="436"/>
      <c r="LD51" s="436"/>
      <c r="LE51" s="436"/>
      <c r="LF51" s="436"/>
      <c r="LG51" s="436"/>
      <c r="LH51" s="436"/>
      <c r="LI51" s="436"/>
      <c r="LJ51" s="436"/>
      <c r="LK51" s="436"/>
      <c r="LL51" s="436"/>
      <c r="LM51" s="436"/>
      <c r="LN51" s="436"/>
      <c r="LO51" s="436"/>
      <c r="LP51" s="436"/>
      <c r="LQ51" s="436"/>
      <c r="LR51" s="436"/>
      <c r="LS51" s="436"/>
      <c r="LT51" s="436"/>
      <c r="LU51" s="436"/>
      <c r="LV51" s="436"/>
      <c r="LW51" s="436"/>
      <c r="LX51" s="436"/>
      <c r="LY51" s="436"/>
      <c r="LZ51" s="440"/>
      <c r="MA51" s="439"/>
      <c r="MB51" s="436"/>
      <c r="MC51" s="436"/>
      <c r="MD51" s="436"/>
      <c r="ME51" s="436"/>
      <c r="MF51" s="436"/>
      <c r="MG51" s="436"/>
      <c r="MH51" s="436"/>
      <c r="MI51" s="436"/>
      <c r="MJ51" s="436"/>
      <c r="MK51" s="436"/>
      <c r="ML51" s="436"/>
      <c r="MM51" s="436"/>
      <c r="MN51" s="436"/>
      <c r="MO51" s="436"/>
      <c r="MP51" s="436"/>
      <c r="MQ51" s="436"/>
      <c r="MR51" s="436"/>
      <c r="MS51" s="436"/>
      <c r="MT51" s="436"/>
      <c r="MU51" s="436"/>
      <c r="MV51" s="436"/>
      <c r="MW51" s="436"/>
      <c r="MX51" s="436"/>
      <c r="MY51" s="440"/>
      <c r="MZ51" s="439"/>
      <c r="NA51" s="436"/>
      <c r="NB51" s="436"/>
      <c r="NC51" s="436"/>
      <c r="ND51" s="436"/>
      <c r="NE51" s="436"/>
      <c r="NF51" s="436"/>
      <c r="NG51" s="436"/>
      <c r="NH51" s="436"/>
      <c r="NI51" s="436"/>
      <c r="NJ51" s="436"/>
      <c r="NK51" s="436"/>
      <c r="NL51" s="436"/>
      <c r="NM51" s="436"/>
      <c r="NN51" s="436"/>
      <c r="NO51" s="436"/>
      <c r="NP51" s="436"/>
      <c r="NQ51" s="436"/>
      <c r="NR51" s="436"/>
      <c r="NS51" s="436"/>
      <c r="NT51" s="436"/>
      <c r="NU51" s="436"/>
      <c r="NV51" s="436"/>
      <c r="NW51" s="436"/>
      <c r="NX51" s="440"/>
      <c r="NY51" s="439"/>
      <c r="NZ51" s="436"/>
      <c r="OA51" s="436"/>
      <c r="OB51" s="436"/>
      <c r="OC51" s="436"/>
      <c r="OD51" s="436"/>
      <c r="OE51" s="436"/>
      <c r="OF51" s="436"/>
      <c r="OG51" s="436"/>
      <c r="OH51" s="436"/>
      <c r="OI51" s="436"/>
      <c r="OJ51" s="436"/>
      <c r="OK51" s="436"/>
      <c r="OL51" s="436"/>
      <c r="OM51" s="436"/>
      <c r="ON51" s="436"/>
      <c r="OO51" s="436"/>
      <c r="OP51" s="436"/>
      <c r="OQ51" s="436"/>
      <c r="OR51" s="436"/>
      <c r="OS51" s="436"/>
      <c r="OT51" s="436"/>
      <c r="OU51" s="436"/>
      <c r="OV51" s="436"/>
      <c r="OW51" s="440"/>
      <c r="OX51" s="439"/>
      <c r="OY51" s="436"/>
      <c r="OZ51" s="436"/>
      <c r="PA51" s="436"/>
      <c r="PB51" s="436"/>
      <c r="PC51" s="436"/>
      <c r="PD51" s="436"/>
      <c r="PE51" s="436"/>
      <c r="PF51" s="436"/>
      <c r="PG51" s="436"/>
      <c r="PH51" s="436"/>
      <c r="PI51" s="436"/>
      <c r="PJ51" s="436"/>
      <c r="PK51" s="436"/>
      <c r="PL51" s="436"/>
      <c r="PM51" s="436"/>
      <c r="PN51" s="436"/>
      <c r="PO51" s="436"/>
      <c r="PP51" s="436"/>
      <c r="PQ51" s="436"/>
      <c r="PR51" s="436"/>
      <c r="PS51" s="436"/>
      <c r="PT51" s="436"/>
      <c r="PU51" s="436"/>
      <c r="PV51" s="440"/>
      <c r="PW51" s="439"/>
      <c r="PX51" s="436"/>
      <c r="PY51" s="436"/>
      <c r="PZ51" s="436"/>
      <c r="QA51" s="436"/>
      <c r="QB51" s="436"/>
      <c r="QC51" s="436"/>
      <c r="QD51" s="436"/>
      <c r="QE51" s="436"/>
      <c r="QF51" s="436"/>
      <c r="QG51" s="436"/>
      <c r="QH51" s="436"/>
      <c r="QI51" s="436"/>
      <c r="QJ51" s="436"/>
      <c r="QK51" s="436"/>
      <c r="QL51" s="436"/>
      <c r="QM51" s="436"/>
      <c r="QN51" s="436"/>
      <c r="QO51" s="436"/>
      <c r="QP51" s="436"/>
      <c r="QQ51" s="436"/>
      <c r="QR51" s="436"/>
      <c r="QS51" s="436"/>
      <c r="QT51" s="436"/>
      <c r="QU51" s="440"/>
    </row>
    <row r="52" spans="1:463" ht="24" customHeight="1">
      <c r="A52" s="439"/>
      <c r="B52" s="436"/>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40"/>
      <c r="AA52" s="436"/>
      <c r="AB52" s="436"/>
      <c r="AC52" s="436"/>
      <c r="AD52" s="436"/>
      <c r="AE52" s="436"/>
      <c r="AF52" s="439"/>
      <c r="AG52" s="436"/>
      <c r="AH52" s="436"/>
      <c r="AI52" s="436"/>
      <c r="AJ52" s="436"/>
      <c r="AK52" s="436"/>
      <c r="AL52" s="436"/>
      <c r="AM52" s="436"/>
      <c r="AN52" s="436"/>
      <c r="AO52" s="436"/>
      <c r="AP52" s="436"/>
      <c r="AQ52" s="436"/>
      <c r="AR52" s="436"/>
      <c r="AS52" s="436"/>
      <c r="AT52" s="436"/>
      <c r="AU52" s="436"/>
      <c r="AV52" s="436"/>
      <c r="AW52" s="436"/>
      <c r="AX52" s="436"/>
      <c r="AY52" s="436"/>
      <c r="AZ52" s="436"/>
      <c r="BA52" s="436"/>
      <c r="BB52" s="436"/>
      <c r="BC52" s="436"/>
      <c r="BD52" s="440"/>
      <c r="BE52" s="439"/>
      <c r="BF52" s="436"/>
      <c r="BG52" s="436"/>
      <c r="BH52" s="436"/>
      <c r="BI52" s="436"/>
      <c r="BJ52" s="436"/>
      <c r="BK52" s="436"/>
      <c r="BL52" s="436"/>
      <c r="BM52" s="436"/>
      <c r="BN52" s="436"/>
      <c r="BO52" s="436"/>
      <c r="BP52" s="436"/>
      <c r="BQ52" s="436"/>
      <c r="BR52" s="436"/>
      <c r="BS52" s="436"/>
      <c r="BT52" s="436"/>
      <c r="BU52" s="436"/>
      <c r="BV52" s="436"/>
      <c r="BW52" s="436"/>
      <c r="BX52" s="436"/>
      <c r="BY52" s="436"/>
      <c r="BZ52" s="436"/>
      <c r="CA52" s="436"/>
      <c r="CB52" s="436"/>
      <c r="CC52" s="440"/>
      <c r="CD52" s="439"/>
      <c r="CE52" s="436"/>
      <c r="CF52" s="436"/>
      <c r="CG52" s="436"/>
      <c r="CH52" s="436"/>
      <c r="CI52" s="436"/>
      <c r="CJ52" s="436"/>
      <c r="CK52" s="436"/>
      <c r="CL52" s="436"/>
      <c r="CM52" s="436"/>
      <c r="CN52" s="436"/>
      <c r="CO52" s="436"/>
      <c r="CP52" s="436"/>
      <c r="CQ52" s="436"/>
      <c r="CR52" s="436"/>
      <c r="CS52" s="436"/>
      <c r="CT52" s="436"/>
      <c r="CU52" s="436"/>
      <c r="CV52" s="436"/>
      <c r="CW52" s="436"/>
      <c r="CX52" s="436"/>
      <c r="CY52" s="436"/>
      <c r="CZ52" s="436"/>
      <c r="DA52" s="436"/>
      <c r="DB52" s="440"/>
      <c r="DC52" s="439"/>
      <c r="DD52" s="436"/>
      <c r="DE52" s="436"/>
      <c r="DF52" s="436"/>
      <c r="DG52" s="436"/>
      <c r="DH52" s="436"/>
      <c r="DI52" s="436"/>
      <c r="DJ52" s="436"/>
      <c r="DK52" s="436"/>
      <c r="DL52" s="436"/>
      <c r="DM52" s="436"/>
      <c r="DN52" s="436"/>
      <c r="DO52" s="436"/>
      <c r="DP52" s="436"/>
      <c r="DQ52" s="436"/>
      <c r="DR52" s="436"/>
      <c r="DS52" s="436"/>
      <c r="DT52" s="436"/>
      <c r="DU52" s="436"/>
      <c r="DV52" s="436"/>
      <c r="DW52" s="436"/>
      <c r="DX52" s="436"/>
      <c r="DY52" s="436"/>
      <c r="DZ52" s="436"/>
      <c r="EA52" s="440"/>
      <c r="EB52" s="439"/>
      <c r="EC52" s="436"/>
      <c r="ED52" s="436"/>
      <c r="EE52" s="436"/>
      <c r="EF52" s="436"/>
      <c r="EG52" s="436"/>
      <c r="EH52" s="436"/>
      <c r="EI52" s="436"/>
      <c r="EJ52" s="436"/>
      <c r="EK52" s="436"/>
      <c r="EL52" s="436"/>
      <c r="EM52" s="436"/>
      <c r="EN52" s="436"/>
      <c r="EO52" s="436"/>
      <c r="EP52" s="436"/>
      <c r="EQ52" s="436"/>
      <c r="ER52" s="436"/>
      <c r="ES52" s="436"/>
      <c r="ET52" s="436"/>
      <c r="EU52" s="436"/>
      <c r="EV52" s="436"/>
      <c r="EW52" s="436"/>
      <c r="EX52" s="436"/>
      <c r="EY52" s="436"/>
      <c r="EZ52" s="440"/>
      <c r="FA52" s="439"/>
      <c r="FB52" s="436"/>
      <c r="FC52" s="436"/>
      <c r="FD52" s="436"/>
      <c r="FE52" s="436"/>
      <c r="FF52" s="436"/>
      <c r="FG52" s="436"/>
      <c r="FH52" s="436"/>
      <c r="FI52" s="436"/>
      <c r="FJ52" s="436"/>
      <c r="FK52" s="436"/>
      <c r="FL52" s="436"/>
      <c r="FM52" s="436"/>
      <c r="FN52" s="436"/>
      <c r="FO52" s="436"/>
      <c r="FP52" s="436"/>
      <c r="FQ52" s="436"/>
      <c r="FR52" s="436"/>
      <c r="FS52" s="436"/>
      <c r="FT52" s="436"/>
      <c r="FU52" s="436"/>
      <c r="FV52" s="436"/>
      <c r="FW52" s="436"/>
      <c r="FX52" s="436"/>
      <c r="FY52" s="440"/>
      <c r="FZ52" s="439"/>
      <c r="GA52" s="436"/>
      <c r="GB52" s="436"/>
      <c r="GC52" s="436"/>
      <c r="GD52" s="436"/>
      <c r="GE52" s="436"/>
      <c r="GF52" s="436"/>
      <c r="GG52" s="436"/>
      <c r="GH52" s="436"/>
      <c r="GI52" s="436"/>
      <c r="GJ52" s="436"/>
      <c r="GK52" s="436"/>
      <c r="GL52" s="436"/>
      <c r="GM52" s="436"/>
      <c r="GN52" s="436"/>
      <c r="GO52" s="436"/>
      <c r="GP52" s="436"/>
      <c r="GQ52" s="436"/>
      <c r="GR52" s="436"/>
      <c r="GS52" s="436"/>
      <c r="GT52" s="436"/>
      <c r="GU52" s="436"/>
      <c r="GV52" s="436"/>
      <c r="GW52" s="436"/>
      <c r="GX52" s="440"/>
      <c r="GY52" s="439"/>
      <c r="GZ52" s="436"/>
      <c r="HA52" s="436"/>
      <c r="HB52" s="436"/>
      <c r="HC52" s="436"/>
      <c r="HD52" s="436"/>
      <c r="HE52" s="436"/>
      <c r="HF52" s="436"/>
      <c r="HG52" s="436"/>
      <c r="HH52" s="436"/>
      <c r="HI52" s="436"/>
      <c r="HJ52" s="436"/>
      <c r="HK52" s="436"/>
      <c r="HL52" s="436"/>
      <c r="HM52" s="436"/>
      <c r="HN52" s="436"/>
      <c r="HO52" s="436"/>
      <c r="HP52" s="436"/>
      <c r="HQ52" s="436"/>
      <c r="HR52" s="436"/>
      <c r="HS52" s="436"/>
      <c r="HT52" s="436"/>
      <c r="HU52" s="436"/>
      <c r="HV52" s="436"/>
      <c r="HW52" s="440"/>
      <c r="LB52" s="439"/>
      <c r="LC52" s="436"/>
      <c r="LD52" s="436"/>
      <c r="LE52" s="436"/>
      <c r="LF52" s="436"/>
      <c r="LG52" s="436"/>
      <c r="LH52" s="436"/>
      <c r="LI52" s="436"/>
      <c r="LJ52" s="436"/>
      <c r="LK52" s="436"/>
      <c r="LL52" s="436"/>
      <c r="LM52" s="436"/>
      <c r="LN52" s="436"/>
      <c r="LO52" s="436"/>
      <c r="LP52" s="436"/>
      <c r="LQ52" s="436"/>
      <c r="LR52" s="436"/>
      <c r="LS52" s="436"/>
      <c r="LT52" s="436"/>
      <c r="LU52" s="436"/>
      <c r="LV52" s="436"/>
      <c r="LW52" s="436"/>
      <c r="LX52" s="436"/>
      <c r="LY52" s="436"/>
      <c r="LZ52" s="440"/>
      <c r="MA52" s="439"/>
      <c r="MB52" s="436"/>
      <c r="MC52" s="436"/>
      <c r="MD52" s="436"/>
      <c r="ME52" s="436"/>
      <c r="MF52" s="436"/>
      <c r="MG52" s="436"/>
      <c r="MH52" s="436"/>
      <c r="MI52" s="436"/>
      <c r="MJ52" s="436"/>
      <c r="MK52" s="436"/>
      <c r="ML52" s="436"/>
      <c r="MM52" s="436"/>
      <c r="MN52" s="436"/>
      <c r="MO52" s="436"/>
      <c r="MP52" s="436"/>
      <c r="MQ52" s="436"/>
      <c r="MR52" s="436"/>
      <c r="MS52" s="436"/>
      <c r="MT52" s="436"/>
      <c r="MU52" s="436"/>
      <c r="MV52" s="436"/>
      <c r="MW52" s="436"/>
      <c r="MX52" s="436"/>
      <c r="MY52" s="440"/>
      <c r="MZ52" s="439"/>
      <c r="NA52" s="436"/>
      <c r="NB52" s="436"/>
      <c r="NC52" s="436"/>
      <c r="ND52" s="436"/>
      <c r="NE52" s="436"/>
      <c r="NF52" s="436"/>
      <c r="NG52" s="436"/>
      <c r="NH52" s="436"/>
      <c r="NI52" s="436"/>
      <c r="NJ52" s="436"/>
      <c r="NK52" s="436"/>
      <c r="NL52" s="436"/>
      <c r="NM52" s="436"/>
      <c r="NN52" s="436"/>
      <c r="NO52" s="436"/>
      <c r="NP52" s="436"/>
      <c r="NQ52" s="436"/>
      <c r="NR52" s="436"/>
      <c r="NS52" s="436"/>
      <c r="NT52" s="436"/>
      <c r="NU52" s="436"/>
      <c r="NV52" s="436"/>
      <c r="NW52" s="436"/>
      <c r="NX52" s="440"/>
      <c r="NY52" s="439"/>
      <c r="NZ52" s="436"/>
      <c r="OA52" s="436"/>
      <c r="OB52" s="436"/>
      <c r="OC52" s="436"/>
      <c r="OD52" s="436"/>
      <c r="OE52" s="436"/>
      <c r="OF52" s="436"/>
      <c r="OG52" s="436"/>
      <c r="OH52" s="436"/>
      <c r="OI52" s="436"/>
      <c r="OJ52" s="436"/>
      <c r="OK52" s="436"/>
      <c r="OL52" s="436"/>
      <c r="OM52" s="436"/>
      <c r="ON52" s="436"/>
      <c r="OO52" s="436"/>
      <c r="OP52" s="436"/>
      <c r="OQ52" s="436"/>
      <c r="OR52" s="436"/>
      <c r="OS52" s="436"/>
      <c r="OT52" s="436"/>
      <c r="OU52" s="436"/>
      <c r="OV52" s="436"/>
      <c r="OW52" s="440"/>
      <c r="OX52" s="439"/>
      <c r="OY52" s="436"/>
      <c r="OZ52" s="436"/>
      <c r="PA52" s="436"/>
      <c r="PB52" s="436"/>
      <c r="PC52" s="436"/>
      <c r="PD52" s="436"/>
      <c r="PE52" s="436"/>
      <c r="PF52" s="436"/>
      <c r="PG52" s="436"/>
      <c r="PH52" s="436"/>
      <c r="PI52" s="436"/>
      <c r="PJ52" s="436"/>
      <c r="PK52" s="436"/>
      <c r="PL52" s="436"/>
      <c r="PM52" s="436"/>
      <c r="PN52" s="436"/>
      <c r="PO52" s="436"/>
      <c r="PP52" s="436"/>
      <c r="PQ52" s="436"/>
      <c r="PR52" s="436"/>
      <c r="PS52" s="436"/>
      <c r="PT52" s="436"/>
      <c r="PU52" s="436"/>
      <c r="PV52" s="440"/>
      <c r="PW52" s="439"/>
      <c r="PX52" s="436"/>
      <c r="PY52" s="436"/>
      <c r="PZ52" s="436"/>
      <c r="QA52" s="436"/>
      <c r="QB52" s="436"/>
      <c r="QC52" s="436"/>
      <c r="QD52" s="436"/>
      <c r="QE52" s="436"/>
      <c r="QF52" s="436"/>
      <c r="QG52" s="436"/>
      <c r="QH52" s="436"/>
      <c r="QI52" s="436"/>
      <c r="QJ52" s="436"/>
      <c r="QK52" s="436"/>
      <c r="QL52" s="436"/>
      <c r="QM52" s="436"/>
      <c r="QN52" s="436"/>
      <c r="QO52" s="436"/>
      <c r="QP52" s="436"/>
      <c r="QQ52" s="436"/>
      <c r="QR52" s="436"/>
      <c r="QS52" s="436"/>
      <c r="QT52" s="436"/>
      <c r="QU52" s="440"/>
    </row>
    <row r="53" spans="1:463" ht="24" customHeight="1">
      <c r="A53" s="439"/>
      <c r="B53" s="436"/>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40"/>
      <c r="AA53" s="436"/>
      <c r="AB53" s="436"/>
      <c r="AC53" s="436"/>
      <c r="AD53" s="436"/>
      <c r="AE53" s="436"/>
      <c r="AF53" s="439"/>
      <c r="AG53" s="436"/>
      <c r="AH53" s="436"/>
      <c r="AI53" s="436"/>
      <c r="AJ53" s="436"/>
      <c r="AK53" s="436"/>
      <c r="AL53" s="436"/>
      <c r="AM53" s="436"/>
      <c r="AN53" s="436"/>
      <c r="AO53" s="436"/>
      <c r="AP53" s="436"/>
      <c r="AQ53" s="436"/>
      <c r="AR53" s="436"/>
      <c r="AS53" s="436"/>
      <c r="AT53" s="436"/>
      <c r="AU53" s="436"/>
      <c r="AV53" s="436"/>
      <c r="AW53" s="436"/>
      <c r="AX53" s="436"/>
      <c r="AY53" s="436"/>
      <c r="AZ53" s="436"/>
      <c r="BA53" s="436"/>
      <c r="BB53" s="436"/>
      <c r="BC53" s="436"/>
      <c r="BD53" s="440"/>
      <c r="BE53" s="439"/>
      <c r="BF53" s="436"/>
      <c r="BG53" s="436"/>
      <c r="BH53" s="436"/>
      <c r="BI53" s="436"/>
      <c r="BJ53" s="436"/>
      <c r="BK53" s="436"/>
      <c r="BL53" s="436"/>
      <c r="BM53" s="436"/>
      <c r="BN53" s="436"/>
      <c r="BO53" s="436"/>
      <c r="BP53" s="436"/>
      <c r="BQ53" s="436"/>
      <c r="BR53" s="436"/>
      <c r="BS53" s="436"/>
      <c r="BT53" s="436"/>
      <c r="BU53" s="436"/>
      <c r="BV53" s="436"/>
      <c r="BW53" s="436"/>
      <c r="BX53" s="436"/>
      <c r="BY53" s="436"/>
      <c r="BZ53" s="436"/>
      <c r="CA53" s="436"/>
      <c r="CB53" s="436"/>
      <c r="CC53" s="440"/>
      <c r="CD53" s="439"/>
      <c r="CE53" s="436"/>
      <c r="CF53" s="436"/>
      <c r="CG53" s="436"/>
      <c r="CH53" s="436"/>
      <c r="CI53" s="436"/>
      <c r="CJ53" s="436"/>
      <c r="CK53" s="436"/>
      <c r="CL53" s="436"/>
      <c r="CM53" s="436"/>
      <c r="CN53" s="436"/>
      <c r="CO53" s="436"/>
      <c r="CP53" s="436"/>
      <c r="CQ53" s="436"/>
      <c r="CR53" s="436"/>
      <c r="CS53" s="436"/>
      <c r="CT53" s="436"/>
      <c r="CU53" s="436"/>
      <c r="CV53" s="436"/>
      <c r="CW53" s="436"/>
      <c r="CX53" s="436"/>
      <c r="CY53" s="436"/>
      <c r="CZ53" s="436"/>
      <c r="DA53" s="436"/>
      <c r="DB53" s="440"/>
      <c r="DC53" s="439"/>
      <c r="DD53" s="436"/>
      <c r="DE53" s="436"/>
      <c r="DF53" s="436"/>
      <c r="DG53" s="436"/>
      <c r="DH53" s="436"/>
      <c r="DI53" s="436"/>
      <c r="DJ53" s="436"/>
      <c r="DK53" s="436"/>
      <c r="DL53" s="436"/>
      <c r="DM53" s="436"/>
      <c r="DN53" s="436"/>
      <c r="DO53" s="436"/>
      <c r="DP53" s="436"/>
      <c r="DQ53" s="436"/>
      <c r="DR53" s="436"/>
      <c r="DS53" s="436"/>
      <c r="DT53" s="436"/>
      <c r="DU53" s="436"/>
      <c r="DV53" s="436"/>
      <c r="DW53" s="436"/>
      <c r="DX53" s="436"/>
      <c r="DY53" s="436"/>
      <c r="DZ53" s="436"/>
      <c r="EA53" s="440"/>
      <c r="EB53" s="439"/>
      <c r="EC53" s="436"/>
      <c r="ED53" s="436"/>
      <c r="EE53" s="436"/>
      <c r="EF53" s="436"/>
      <c r="EG53" s="436"/>
      <c r="EH53" s="436"/>
      <c r="EI53" s="436"/>
      <c r="EJ53" s="436"/>
      <c r="EK53" s="436"/>
      <c r="EL53" s="436"/>
      <c r="EM53" s="436"/>
      <c r="EN53" s="436"/>
      <c r="EO53" s="436"/>
      <c r="EP53" s="436"/>
      <c r="EQ53" s="436"/>
      <c r="ER53" s="436"/>
      <c r="ES53" s="436"/>
      <c r="ET53" s="436"/>
      <c r="EU53" s="436"/>
      <c r="EV53" s="436"/>
      <c r="EW53" s="436"/>
      <c r="EX53" s="436"/>
      <c r="EY53" s="436"/>
      <c r="EZ53" s="440"/>
      <c r="FA53" s="439"/>
      <c r="FB53" s="436"/>
      <c r="FC53" s="436"/>
      <c r="FD53" s="436"/>
      <c r="FE53" s="436"/>
      <c r="FF53" s="436"/>
      <c r="FG53" s="436"/>
      <c r="FH53" s="436"/>
      <c r="FI53" s="436"/>
      <c r="FJ53" s="436"/>
      <c r="FK53" s="436"/>
      <c r="FL53" s="436"/>
      <c r="FM53" s="436"/>
      <c r="FN53" s="436"/>
      <c r="FO53" s="436"/>
      <c r="FP53" s="436"/>
      <c r="FQ53" s="436"/>
      <c r="FR53" s="436"/>
      <c r="FS53" s="436"/>
      <c r="FT53" s="436"/>
      <c r="FU53" s="436"/>
      <c r="FV53" s="436"/>
      <c r="FW53" s="436"/>
      <c r="FX53" s="436"/>
      <c r="FY53" s="440"/>
      <c r="FZ53" s="439"/>
      <c r="GA53" s="436"/>
      <c r="GB53" s="436"/>
      <c r="GC53" s="436"/>
      <c r="GD53" s="436"/>
      <c r="GE53" s="436"/>
      <c r="GF53" s="436"/>
      <c r="GG53" s="436"/>
      <c r="GH53" s="436"/>
      <c r="GI53" s="436"/>
      <c r="GJ53" s="436"/>
      <c r="GK53" s="436"/>
      <c r="GL53" s="436"/>
      <c r="GM53" s="436"/>
      <c r="GN53" s="436"/>
      <c r="GO53" s="436"/>
      <c r="GP53" s="436"/>
      <c r="GQ53" s="436"/>
      <c r="GR53" s="436"/>
      <c r="GS53" s="436"/>
      <c r="GT53" s="436"/>
      <c r="GU53" s="436"/>
      <c r="GV53" s="436"/>
      <c r="GW53" s="436"/>
      <c r="GX53" s="440"/>
      <c r="GY53" s="439"/>
      <c r="GZ53" s="436"/>
      <c r="HA53" s="436"/>
      <c r="HB53" s="436"/>
      <c r="HC53" s="436"/>
      <c r="HD53" s="436"/>
      <c r="HE53" s="436"/>
      <c r="HF53" s="436"/>
      <c r="HG53" s="436"/>
      <c r="HH53" s="436"/>
      <c r="HI53" s="436"/>
      <c r="HJ53" s="436"/>
      <c r="HK53" s="436"/>
      <c r="HL53" s="436"/>
      <c r="HM53" s="436"/>
      <c r="HN53" s="436"/>
      <c r="HO53" s="436"/>
      <c r="HP53" s="436"/>
      <c r="HQ53" s="436"/>
      <c r="HR53" s="436"/>
      <c r="HS53" s="436"/>
      <c r="HT53" s="436"/>
      <c r="HU53" s="436"/>
      <c r="HV53" s="436"/>
      <c r="HW53" s="440"/>
      <c r="LB53" s="439"/>
      <c r="LC53" s="436"/>
      <c r="LD53" s="436"/>
      <c r="LE53" s="436"/>
      <c r="LF53" s="436"/>
      <c r="LG53" s="436"/>
      <c r="LH53" s="436"/>
      <c r="LI53" s="436"/>
      <c r="LJ53" s="436"/>
      <c r="LK53" s="436"/>
      <c r="LL53" s="436"/>
      <c r="LM53" s="436"/>
      <c r="LN53" s="436"/>
      <c r="LO53" s="436"/>
      <c r="LP53" s="436"/>
      <c r="LQ53" s="436"/>
      <c r="LR53" s="436"/>
      <c r="LS53" s="436"/>
      <c r="LT53" s="436"/>
      <c r="LU53" s="436"/>
      <c r="LV53" s="436"/>
      <c r="LW53" s="436"/>
      <c r="LX53" s="436"/>
      <c r="LY53" s="436"/>
      <c r="LZ53" s="440"/>
      <c r="MA53" s="439"/>
      <c r="MB53" s="436"/>
      <c r="MC53" s="436"/>
      <c r="MD53" s="436"/>
      <c r="ME53" s="436"/>
      <c r="MF53" s="436"/>
      <c r="MG53" s="436"/>
      <c r="MH53" s="436"/>
      <c r="MI53" s="436"/>
      <c r="MJ53" s="436"/>
      <c r="MK53" s="436"/>
      <c r="ML53" s="436"/>
      <c r="MM53" s="436"/>
      <c r="MN53" s="436"/>
      <c r="MO53" s="436"/>
      <c r="MP53" s="436"/>
      <c r="MQ53" s="436"/>
      <c r="MR53" s="436"/>
      <c r="MS53" s="436"/>
      <c r="MT53" s="436"/>
      <c r="MU53" s="436"/>
      <c r="MV53" s="436"/>
      <c r="MW53" s="436"/>
      <c r="MX53" s="436"/>
      <c r="MY53" s="440"/>
      <c r="MZ53" s="439"/>
      <c r="NA53" s="436"/>
      <c r="NB53" s="436"/>
      <c r="NC53" s="436"/>
      <c r="ND53" s="436"/>
      <c r="NE53" s="436"/>
      <c r="NF53" s="436"/>
      <c r="NG53" s="436"/>
      <c r="NH53" s="436"/>
      <c r="NI53" s="436"/>
      <c r="NJ53" s="436"/>
      <c r="NK53" s="436"/>
      <c r="NL53" s="436"/>
      <c r="NM53" s="436"/>
      <c r="NN53" s="436"/>
      <c r="NO53" s="436"/>
      <c r="NP53" s="436"/>
      <c r="NQ53" s="436"/>
      <c r="NR53" s="436"/>
      <c r="NS53" s="436"/>
      <c r="NT53" s="436"/>
      <c r="NU53" s="436"/>
      <c r="NV53" s="436"/>
      <c r="NW53" s="436"/>
      <c r="NX53" s="440"/>
      <c r="NY53" s="439"/>
      <c r="NZ53" s="436"/>
      <c r="OA53" s="436"/>
      <c r="OB53" s="436"/>
      <c r="OC53" s="436"/>
      <c r="OD53" s="436"/>
      <c r="OE53" s="436"/>
      <c r="OF53" s="436"/>
      <c r="OG53" s="436"/>
      <c r="OH53" s="436"/>
      <c r="OI53" s="436"/>
      <c r="OJ53" s="436"/>
      <c r="OK53" s="436"/>
      <c r="OL53" s="436"/>
      <c r="OM53" s="436"/>
      <c r="ON53" s="436"/>
      <c r="OO53" s="436"/>
      <c r="OP53" s="436"/>
      <c r="OQ53" s="436"/>
      <c r="OR53" s="436"/>
      <c r="OS53" s="436"/>
      <c r="OT53" s="436"/>
      <c r="OU53" s="436"/>
      <c r="OV53" s="436"/>
      <c r="OW53" s="440"/>
      <c r="OX53" s="439"/>
      <c r="OY53" s="436"/>
      <c r="OZ53" s="436"/>
      <c r="PA53" s="436"/>
      <c r="PB53" s="436"/>
      <c r="PC53" s="436"/>
      <c r="PD53" s="436"/>
      <c r="PE53" s="436"/>
      <c r="PF53" s="436"/>
      <c r="PG53" s="436"/>
      <c r="PH53" s="436"/>
      <c r="PI53" s="436"/>
      <c r="PJ53" s="436"/>
      <c r="PK53" s="436"/>
      <c r="PL53" s="436"/>
      <c r="PM53" s="436"/>
      <c r="PN53" s="436"/>
      <c r="PO53" s="436"/>
      <c r="PP53" s="436"/>
      <c r="PQ53" s="436"/>
      <c r="PR53" s="436"/>
      <c r="PS53" s="436"/>
      <c r="PT53" s="436"/>
      <c r="PU53" s="436"/>
      <c r="PV53" s="440"/>
      <c r="PW53" s="439"/>
      <c r="PX53" s="436"/>
      <c r="PY53" s="436"/>
      <c r="PZ53" s="436"/>
      <c r="QA53" s="436"/>
      <c r="QB53" s="436"/>
      <c r="QC53" s="436"/>
      <c r="QD53" s="436"/>
      <c r="QE53" s="436"/>
      <c r="QF53" s="436"/>
      <c r="QG53" s="436"/>
      <c r="QH53" s="436"/>
      <c r="QI53" s="436"/>
      <c r="QJ53" s="436"/>
      <c r="QK53" s="436"/>
      <c r="QL53" s="436"/>
      <c r="QM53" s="436"/>
      <c r="QN53" s="436"/>
      <c r="QO53" s="436"/>
      <c r="QP53" s="436"/>
      <c r="QQ53" s="436"/>
      <c r="QR53" s="436"/>
      <c r="QS53" s="436"/>
      <c r="QT53" s="436"/>
      <c r="QU53" s="440"/>
    </row>
    <row r="54" spans="1:463" ht="24" customHeight="1">
      <c r="A54" s="439"/>
      <c r="B54" s="436"/>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40"/>
      <c r="AA54" s="436"/>
      <c r="AB54" s="436"/>
      <c r="AC54" s="436"/>
      <c r="AD54" s="436"/>
      <c r="AE54" s="436"/>
      <c r="AF54" s="439"/>
      <c r="AG54" s="436"/>
      <c r="AH54" s="436"/>
      <c r="AI54" s="436"/>
      <c r="AJ54" s="436"/>
      <c r="AK54" s="436"/>
      <c r="AL54" s="436"/>
      <c r="AM54" s="436"/>
      <c r="AN54" s="436"/>
      <c r="AO54" s="436"/>
      <c r="AP54" s="436"/>
      <c r="AQ54" s="436"/>
      <c r="AR54" s="436"/>
      <c r="AS54" s="436"/>
      <c r="AT54" s="436"/>
      <c r="AU54" s="436"/>
      <c r="AV54" s="436"/>
      <c r="AW54" s="436"/>
      <c r="AX54" s="436"/>
      <c r="AY54" s="436"/>
      <c r="AZ54" s="436"/>
      <c r="BA54" s="436"/>
      <c r="BB54" s="436"/>
      <c r="BC54" s="436"/>
      <c r="BD54" s="440"/>
      <c r="BE54" s="439"/>
      <c r="BF54" s="436"/>
      <c r="BG54" s="436"/>
      <c r="BH54" s="436"/>
      <c r="BI54" s="436"/>
      <c r="BJ54" s="436"/>
      <c r="BK54" s="436"/>
      <c r="BL54" s="436"/>
      <c r="BM54" s="436"/>
      <c r="BN54" s="436"/>
      <c r="BO54" s="436"/>
      <c r="BP54" s="436"/>
      <c r="BQ54" s="436"/>
      <c r="BR54" s="436"/>
      <c r="BS54" s="436"/>
      <c r="BT54" s="436"/>
      <c r="BU54" s="436"/>
      <c r="BV54" s="436"/>
      <c r="BW54" s="436"/>
      <c r="BX54" s="436"/>
      <c r="BY54" s="436"/>
      <c r="BZ54" s="436"/>
      <c r="CA54" s="436"/>
      <c r="CB54" s="436"/>
      <c r="CC54" s="440"/>
      <c r="CD54" s="439"/>
      <c r="CE54" s="436"/>
      <c r="CF54" s="436"/>
      <c r="CG54" s="436"/>
      <c r="CH54" s="436"/>
      <c r="CI54" s="436"/>
      <c r="CJ54" s="436"/>
      <c r="CK54" s="436"/>
      <c r="CL54" s="436"/>
      <c r="CM54" s="436"/>
      <c r="CN54" s="436"/>
      <c r="CO54" s="436"/>
      <c r="CP54" s="436"/>
      <c r="CQ54" s="436"/>
      <c r="CR54" s="436"/>
      <c r="CS54" s="436"/>
      <c r="CT54" s="436"/>
      <c r="CU54" s="436"/>
      <c r="CV54" s="436"/>
      <c r="CW54" s="436"/>
      <c r="CX54" s="436"/>
      <c r="CY54" s="436"/>
      <c r="CZ54" s="436"/>
      <c r="DA54" s="436"/>
      <c r="DB54" s="440"/>
      <c r="DC54" s="439"/>
      <c r="DD54" s="436"/>
      <c r="DE54" s="436"/>
      <c r="DF54" s="436"/>
      <c r="DG54" s="436"/>
      <c r="DH54" s="436"/>
      <c r="DI54" s="436"/>
      <c r="DJ54" s="436"/>
      <c r="DK54" s="436"/>
      <c r="DL54" s="436"/>
      <c r="DM54" s="436"/>
      <c r="DN54" s="436"/>
      <c r="DO54" s="436"/>
      <c r="DP54" s="436"/>
      <c r="DQ54" s="436"/>
      <c r="DR54" s="436"/>
      <c r="DS54" s="436"/>
      <c r="DT54" s="436"/>
      <c r="DU54" s="436"/>
      <c r="DV54" s="436"/>
      <c r="DW54" s="436"/>
      <c r="DX54" s="436"/>
      <c r="DY54" s="436"/>
      <c r="DZ54" s="436"/>
      <c r="EA54" s="440"/>
      <c r="EB54" s="439"/>
      <c r="EC54" s="436"/>
      <c r="ED54" s="436"/>
      <c r="EE54" s="436"/>
      <c r="EF54" s="436"/>
      <c r="EG54" s="436"/>
      <c r="EH54" s="436"/>
      <c r="EI54" s="436"/>
      <c r="EJ54" s="436"/>
      <c r="EK54" s="436"/>
      <c r="EL54" s="436"/>
      <c r="EM54" s="436"/>
      <c r="EN54" s="436"/>
      <c r="EO54" s="436"/>
      <c r="EP54" s="436"/>
      <c r="EQ54" s="436"/>
      <c r="ER54" s="436"/>
      <c r="ES54" s="436"/>
      <c r="ET54" s="436"/>
      <c r="EU54" s="436"/>
      <c r="EV54" s="436"/>
      <c r="EW54" s="436"/>
      <c r="EX54" s="436"/>
      <c r="EY54" s="436"/>
      <c r="EZ54" s="440"/>
      <c r="FA54" s="439"/>
      <c r="FB54" s="436"/>
      <c r="FC54" s="436"/>
      <c r="FD54" s="436"/>
      <c r="FE54" s="436"/>
      <c r="FF54" s="436"/>
      <c r="FG54" s="436"/>
      <c r="FH54" s="436"/>
      <c r="FI54" s="436"/>
      <c r="FJ54" s="436"/>
      <c r="FK54" s="436"/>
      <c r="FL54" s="436"/>
      <c r="FM54" s="436"/>
      <c r="FN54" s="436"/>
      <c r="FO54" s="436"/>
      <c r="FP54" s="436"/>
      <c r="FQ54" s="436"/>
      <c r="FR54" s="436"/>
      <c r="FS54" s="436"/>
      <c r="FT54" s="436"/>
      <c r="FU54" s="436"/>
      <c r="FV54" s="436"/>
      <c r="FW54" s="436"/>
      <c r="FX54" s="436"/>
      <c r="FY54" s="440"/>
      <c r="FZ54" s="439"/>
      <c r="GA54" s="436"/>
      <c r="GB54" s="436"/>
      <c r="GC54" s="436"/>
      <c r="GD54" s="436"/>
      <c r="GE54" s="436"/>
      <c r="GF54" s="436"/>
      <c r="GG54" s="436"/>
      <c r="GH54" s="436"/>
      <c r="GI54" s="436"/>
      <c r="GJ54" s="436"/>
      <c r="GK54" s="436"/>
      <c r="GL54" s="436"/>
      <c r="GM54" s="436"/>
      <c r="GN54" s="436"/>
      <c r="GO54" s="436"/>
      <c r="GP54" s="436"/>
      <c r="GQ54" s="436"/>
      <c r="GR54" s="436"/>
      <c r="GS54" s="436"/>
      <c r="GT54" s="436"/>
      <c r="GU54" s="436"/>
      <c r="GV54" s="436"/>
      <c r="GW54" s="436"/>
      <c r="GX54" s="440"/>
      <c r="GY54" s="439"/>
      <c r="GZ54" s="436"/>
      <c r="HA54" s="436"/>
      <c r="HB54" s="436"/>
      <c r="HC54" s="436"/>
      <c r="HD54" s="436"/>
      <c r="HE54" s="436"/>
      <c r="HF54" s="436"/>
      <c r="HG54" s="436"/>
      <c r="HH54" s="436"/>
      <c r="HI54" s="436"/>
      <c r="HJ54" s="436"/>
      <c r="HK54" s="436"/>
      <c r="HL54" s="436"/>
      <c r="HM54" s="436"/>
      <c r="HN54" s="436"/>
      <c r="HO54" s="436"/>
      <c r="HP54" s="436"/>
      <c r="HQ54" s="436"/>
      <c r="HR54" s="436"/>
      <c r="HS54" s="436"/>
      <c r="HT54" s="436"/>
      <c r="HU54" s="436"/>
      <c r="HV54" s="436"/>
      <c r="HW54" s="440"/>
      <c r="LB54" s="439"/>
      <c r="LC54" s="436"/>
      <c r="LD54" s="436"/>
      <c r="LE54" s="436"/>
      <c r="LF54" s="436"/>
      <c r="LG54" s="436"/>
      <c r="LH54" s="436"/>
      <c r="LI54" s="436"/>
      <c r="LJ54" s="436"/>
      <c r="LK54" s="436"/>
      <c r="LL54" s="436"/>
      <c r="LM54" s="436"/>
      <c r="LN54" s="436"/>
      <c r="LO54" s="436"/>
      <c r="LP54" s="436"/>
      <c r="LQ54" s="436"/>
      <c r="LR54" s="436"/>
      <c r="LS54" s="436"/>
      <c r="LT54" s="436"/>
      <c r="LU54" s="436"/>
      <c r="LV54" s="436"/>
      <c r="LW54" s="436"/>
      <c r="LX54" s="436"/>
      <c r="LY54" s="436"/>
      <c r="LZ54" s="440"/>
      <c r="MA54" s="439"/>
      <c r="MB54" s="436"/>
      <c r="MC54" s="436"/>
      <c r="MD54" s="436"/>
      <c r="ME54" s="436"/>
      <c r="MF54" s="436"/>
      <c r="MG54" s="436"/>
      <c r="MH54" s="436"/>
      <c r="MI54" s="436"/>
      <c r="MJ54" s="436"/>
      <c r="MK54" s="436"/>
      <c r="ML54" s="436"/>
      <c r="MM54" s="436"/>
      <c r="MN54" s="436"/>
      <c r="MO54" s="436"/>
      <c r="MP54" s="436"/>
      <c r="MQ54" s="436"/>
      <c r="MR54" s="436"/>
      <c r="MS54" s="436"/>
      <c r="MT54" s="436"/>
      <c r="MU54" s="436"/>
      <c r="MV54" s="436"/>
      <c r="MW54" s="436"/>
      <c r="MX54" s="436"/>
      <c r="MY54" s="440"/>
      <c r="MZ54" s="439"/>
      <c r="NA54" s="436"/>
      <c r="NB54" s="436"/>
      <c r="NC54" s="436"/>
      <c r="ND54" s="436"/>
      <c r="NE54" s="436"/>
      <c r="NF54" s="436"/>
      <c r="NG54" s="436"/>
      <c r="NH54" s="436"/>
      <c r="NI54" s="436"/>
      <c r="NJ54" s="436"/>
      <c r="NK54" s="436"/>
      <c r="NL54" s="436"/>
      <c r="NM54" s="436"/>
      <c r="NN54" s="436"/>
      <c r="NO54" s="436"/>
      <c r="NP54" s="436"/>
      <c r="NQ54" s="436"/>
      <c r="NR54" s="436"/>
      <c r="NS54" s="436"/>
      <c r="NT54" s="436"/>
      <c r="NU54" s="436"/>
      <c r="NV54" s="436"/>
      <c r="NW54" s="436"/>
      <c r="NX54" s="440"/>
      <c r="NY54" s="439"/>
      <c r="NZ54" s="436"/>
      <c r="OA54" s="436"/>
      <c r="OB54" s="436"/>
      <c r="OC54" s="436"/>
      <c r="OD54" s="436"/>
      <c r="OE54" s="436"/>
      <c r="OF54" s="436"/>
      <c r="OG54" s="436"/>
      <c r="OH54" s="436"/>
      <c r="OI54" s="436"/>
      <c r="OJ54" s="436"/>
      <c r="OK54" s="436"/>
      <c r="OL54" s="436"/>
      <c r="OM54" s="436"/>
      <c r="ON54" s="436"/>
      <c r="OO54" s="436"/>
      <c r="OP54" s="436"/>
      <c r="OQ54" s="436"/>
      <c r="OR54" s="436"/>
      <c r="OS54" s="436"/>
      <c r="OT54" s="436"/>
      <c r="OU54" s="436"/>
      <c r="OV54" s="436"/>
      <c r="OW54" s="440"/>
      <c r="OX54" s="439"/>
      <c r="OY54" s="436"/>
      <c r="OZ54" s="436"/>
      <c r="PA54" s="436"/>
      <c r="PB54" s="436"/>
      <c r="PC54" s="436"/>
      <c r="PD54" s="436"/>
      <c r="PE54" s="436"/>
      <c r="PF54" s="436"/>
      <c r="PG54" s="436"/>
      <c r="PH54" s="436"/>
      <c r="PI54" s="436"/>
      <c r="PJ54" s="436"/>
      <c r="PK54" s="436"/>
      <c r="PL54" s="436"/>
      <c r="PM54" s="436"/>
      <c r="PN54" s="436"/>
      <c r="PO54" s="436"/>
      <c r="PP54" s="436"/>
      <c r="PQ54" s="436"/>
      <c r="PR54" s="436"/>
      <c r="PS54" s="436"/>
      <c r="PT54" s="436"/>
      <c r="PU54" s="436"/>
      <c r="PV54" s="440"/>
      <c r="PW54" s="439"/>
      <c r="PX54" s="436"/>
      <c r="PY54" s="436"/>
      <c r="PZ54" s="436"/>
      <c r="QA54" s="436"/>
      <c r="QB54" s="436"/>
      <c r="QC54" s="436"/>
      <c r="QD54" s="436"/>
      <c r="QE54" s="436"/>
      <c r="QF54" s="436"/>
      <c r="QG54" s="436"/>
      <c r="QH54" s="436"/>
      <c r="QI54" s="436"/>
      <c r="QJ54" s="436"/>
      <c r="QK54" s="436"/>
      <c r="QL54" s="436"/>
      <c r="QM54" s="436"/>
      <c r="QN54" s="436"/>
      <c r="QO54" s="436"/>
      <c r="QP54" s="436"/>
      <c r="QQ54" s="436"/>
      <c r="QR54" s="436"/>
      <c r="QS54" s="436"/>
      <c r="QT54" s="436"/>
      <c r="QU54" s="440"/>
    </row>
    <row r="55" spans="1:463" ht="24" customHeight="1">
      <c r="A55" s="439"/>
      <c r="B55" s="436"/>
      <c r="C55" s="436"/>
      <c r="D55" s="436"/>
      <c r="E55" s="436"/>
      <c r="F55" s="436"/>
      <c r="G55" s="436"/>
      <c r="H55" s="436"/>
      <c r="I55" s="436"/>
      <c r="J55" s="436"/>
      <c r="K55" s="436"/>
      <c r="L55" s="436"/>
      <c r="M55" s="436"/>
      <c r="N55" s="436"/>
      <c r="O55" s="436"/>
      <c r="P55" s="436"/>
      <c r="Q55" s="436"/>
      <c r="R55" s="436"/>
      <c r="S55" s="436"/>
      <c r="T55" s="436"/>
      <c r="U55" s="436"/>
      <c r="V55" s="436"/>
      <c r="W55" s="436"/>
      <c r="X55" s="436"/>
      <c r="Y55" s="436"/>
      <c r="Z55" s="440"/>
      <c r="AA55" s="436"/>
      <c r="AB55" s="436"/>
      <c r="AC55" s="436"/>
      <c r="AD55" s="436"/>
      <c r="AE55" s="436"/>
      <c r="AF55" s="439"/>
      <c r="AG55" s="436"/>
      <c r="AH55" s="436"/>
      <c r="AI55" s="436"/>
      <c r="AJ55" s="436"/>
      <c r="AK55" s="436"/>
      <c r="AL55" s="436"/>
      <c r="AM55" s="436"/>
      <c r="AN55" s="436"/>
      <c r="AO55" s="436"/>
      <c r="AP55" s="436"/>
      <c r="AQ55" s="436"/>
      <c r="AR55" s="436"/>
      <c r="AS55" s="436"/>
      <c r="AT55" s="436"/>
      <c r="AU55" s="436"/>
      <c r="AV55" s="436"/>
      <c r="AW55" s="436"/>
      <c r="AX55" s="436"/>
      <c r="AY55" s="436"/>
      <c r="AZ55" s="436"/>
      <c r="BA55" s="436"/>
      <c r="BB55" s="436"/>
      <c r="BC55" s="436"/>
      <c r="BD55" s="440"/>
      <c r="BE55" s="439"/>
      <c r="BF55" s="436"/>
      <c r="BG55" s="436"/>
      <c r="BH55" s="436"/>
      <c r="BI55" s="436"/>
      <c r="BJ55" s="436"/>
      <c r="BK55" s="436"/>
      <c r="BL55" s="436"/>
      <c r="BM55" s="436"/>
      <c r="BN55" s="436"/>
      <c r="BO55" s="436"/>
      <c r="BP55" s="436"/>
      <c r="BQ55" s="436"/>
      <c r="BR55" s="436"/>
      <c r="BS55" s="436"/>
      <c r="BT55" s="436"/>
      <c r="BU55" s="436"/>
      <c r="BV55" s="436"/>
      <c r="BW55" s="436"/>
      <c r="BX55" s="436"/>
      <c r="BY55" s="436"/>
      <c r="BZ55" s="436"/>
      <c r="CA55" s="436"/>
      <c r="CB55" s="436"/>
      <c r="CC55" s="440"/>
      <c r="CD55" s="439"/>
      <c r="CE55" s="436"/>
      <c r="CF55" s="436"/>
      <c r="CG55" s="436"/>
      <c r="CH55" s="436"/>
      <c r="CI55" s="436"/>
      <c r="CJ55" s="436"/>
      <c r="CK55" s="436"/>
      <c r="CL55" s="436"/>
      <c r="CM55" s="436"/>
      <c r="CN55" s="436"/>
      <c r="CO55" s="436"/>
      <c r="CP55" s="436"/>
      <c r="CQ55" s="436"/>
      <c r="CR55" s="436"/>
      <c r="CS55" s="436"/>
      <c r="CT55" s="436"/>
      <c r="CU55" s="436"/>
      <c r="CV55" s="436"/>
      <c r="CW55" s="436"/>
      <c r="CX55" s="436"/>
      <c r="CY55" s="436"/>
      <c r="CZ55" s="436"/>
      <c r="DA55" s="436"/>
      <c r="DB55" s="440"/>
      <c r="DC55" s="439"/>
      <c r="DD55" s="436"/>
      <c r="DE55" s="436"/>
      <c r="DF55" s="436"/>
      <c r="DG55" s="436"/>
      <c r="DH55" s="436"/>
      <c r="DI55" s="436"/>
      <c r="DJ55" s="436"/>
      <c r="DK55" s="436"/>
      <c r="DL55" s="436"/>
      <c r="DM55" s="436"/>
      <c r="DN55" s="436"/>
      <c r="DO55" s="436"/>
      <c r="DP55" s="436"/>
      <c r="DQ55" s="436"/>
      <c r="DR55" s="436"/>
      <c r="DS55" s="436"/>
      <c r="DT55" s="436"/>
      <c r="DU55" s="436"/>
      <c r="DV55" s="436"/>
      <c r="DW55" s="436"/>
      <c r="DX55" s="436"/>
      <c r="DY55" s="436"/>
      <c r="DZ55" s="436"/>
      <c r="EA55" s="440"/>
      <c r="EB55" s="439"/>
      <c r="EC55" s="436"/>
      <c r="ED55" s="436"/>
      <c r="EE55" s="436"/>
      <c r="EF55" s="436"/>
      <c r="EG55" s="436"/>
      <c r="EH55" s="436"/>
      <c r="EI55" s="436"/>
      <c r="EJ55" s="436"/>
      <c r="EK55" s="436"/>
      <c r="EL55" s="436"/>
      <c r="EM55" s="436"/>
      <c r="EN55" s="436"/>
      <c r="EO55" s="436"/>
      <c r="EP55" s="436"/>
      <c r="EQ55" s="436"/>
      <c r="ER55" s="436"/>
      <c r="ES55" s="436"/>
      <c r="ET55" s="436"/>
      <c r="EU55" s="436"/>
      <c r="EV55" s="436"/>
      <c r="EW55" s="436"/>
      <c r="EX55" s="436"/>
      <c r="EY55" s="436"/>
      <c r="EZ55" s="440"/>
      <c r="FA55" s="439"/>
      <c r="FB55" s="436"/>
      <c r="FC55" s="436"/>
      <c r="FD55" s="436"/>
      <c r="FE55" s="436"/>
      <c r="FF55" s="436"/>
      <c r="FG55" s="436"/>
      <c r="FH55" s="436"/>
      <c r="FI55" s="436"/>
      <c r="FJ55" s="436"/>
      <c r="FK55" s="436"/>
      <c r="FL55" s="436"/>
      <c r="FM55" s="436"/>
      <c r="FN55" s="436"/>
      <c r="FO55" s="436"/>
      <c r="FP55" s="436"/>
      <c r="FQ55" s="436"/>
      <c r="FR55" s="436"/>
      <c r="FS55" s="436"/>
      <c r="FT55" s="436"/>
      <c r="FU55" s="436"/>
      <c r="FV55" s="436"/>
      <c r="FW55" s="436"/>
      <c r="FX55" s="436"/>
      <c r="FY55" s="440"/>
      <c r="FZ55" s="439"/>
      <c r="GA55" s="436"/>
      <c r="GB55" s="436"/>
      <c r="GC55" s="436"/>
      <c r="GD55" s="436"/>
      <c r="GE55" s="436"/>
      <c r="GF55" s="436"/>
      <c r="GG55" s="436"/>
      <c r="GH55" s="436"/>
      <c r="GI55" s="436"/>
      <c r="GJ55" s="436"/>
      <c r="GK55" s="436"/>
      <c r="GL55" s="436"/>
      <c r="GM55" s="436"/>
      <c r="GN55" s="436"/>
      <c r="GO55" s="436"/>
      <c r="GP55" s="436"/>
      <c r="GQ55" s="436"/>
      <c r="GR55" s="436"/>
      <c r="GS55" s="436"/>
      <c r="GT55" s="436"/>
      <c r="GU55" s="436"/>
      <c r="GV55" s="436"/>
      <c r="GW55" s="436"/>
      <c r="GX55" s="440"/>
      <c r="GY55" s="439"/>
      <c r="GZ55" s="436"/>
      <c r="HA55" s="436"/>
      <c r="HB55" s="436"/>
      <c r="HC55" s="436"/>
      <c r="HD55" s="436"/>
      <c r="HE55" s="436"/>
      <c r="HF55" s="436"/>
      <c r="HG55" s="436"/>
      <c r="HH55" s="436"/>
      <c r="HI55" s="436"/>
      <c r="HJ55" s="436"/>
      <c r="HK55" s="436"/>
      <c r="HL55" s="436"/>
      <c r="HM55" s="436"/>
      <c r="HN55" s="436"/>
      <c r="HO55" s="436"/>
      <c r="HP55" s="436"/>
      <c r="HQ55" s="436"/>
      <c r="HR55" s="436"/>
      <c r="HS55" s="436"/>
      <c r="HT55" s="436"/>
      <c r="HU55" s="436"/>
      <c r="HV55" s="436"/>
      <c r="HW55" s="440"/>
      <c r="LB55" s="439"/>
      <c r="LC55" s="436"/>
      <c r="LD55" s="436"/>
      <c r="LE55" s="436"/>
      <c r="LF55" s="436"/>
      <c r="LG55" s="436"/>
      <c r="LH55" s="436"/>
      <c r="LI55" s="436"/>
      <c r="LJ55" s="436"/>
      <c r="LK55" s="436"/>
      <c r="LL55" s="436"/>
      <c r="LM55" s="436"/>
      <c r="LN55" s="436"/>
      <c r="LO55" s="436"/>
      <c r="LP55" s="436"/>
      <c r="LQ55" s="436"/>
      <c r="LR55" s="436"/>
      <c r="LS55" s="436"/>
      <c r="LT55" s="436"/>
      <c r="LU55" s="436"/>
      <c r="LV55" s="436"/>
      <c r="LW55" s="436"/>
      <c r="LX55" s="436"/>
      <c r="LY55" s="436"/>
      <c r="LZ55" s="440"/>
      <c r="MA55" s="439"/>
      <c r="MB55" s="436"/>
      <c r="MC55" s="436"/>
      <c r="MD55" s="436"/>
      <c r="ME55" s="436"/>
      <c r="MF55" s="436"/>
      <c r="MG55" s="436"/>
      <c r="MH55" s="436"/>
      <c r="MI55" s="436"/>
      <c r="MJ55" s="436"/>
      <c r="MK55" s="436"/>
      <c r="ML55" s="436"/>
      <c r="MM55" s="436"/>
      <c r="MN55" s="436"/>
      <c r="MO55" s="436"/>
      <c r="MP55" s="436"/>
      <c r="MQ55" s="436"/>
      <c r="MR55" s="436"/>
      <c r="MS55" s="436"/>
      <c r="MT55" s="436"/>
      <c r="MU55" s="436"/>
      <c r="MV55" s="436"/>
      <c r="MW55" s="436"/>
      <c r="MX55" s="436"/>
      <c r="MY55" s="440"/>
      <c r="MZ55" s="439"/>
      <c r="NA55" s="436"/>
      <c r="NB55" s="436"/>
      <c r="NC55" s="436"/>
      <c r="ND55" s="436"/>
      <c r="NE55" s="436"/>
      <c r="NF55" s="436"/>
      <c r="NG55" s="436"/>
      <c r="NH55" s="436"/>
      <c r="NI55" s="436"/>
      <c r="NJ55" s="436"/>
      <c r="NK55" s="436"/>
      <c r="NL55" s="436"/>
      <c r="NM55" s="436"/>
      <c r="NN55" s="436"/>
      <c r="NO55" s="436"/>
      <c r="NP55" s="436"/>
      <c r="NQ55" s="436"/>
      <c r="NR55" s="436"/>
      <c r="NS55" s="436"/>
      <c r="NT55" s="436"/>
      <c r="NU55" s="436"/>
      <c r="NV55" s="436"/>
      <c r="NW55" s="436"/>
      <c r="NX55" s="440"/>
      <c r="NY55" s="439"/>
      <c r="NZ55" s="436"/>
      <c r="OA55" s="436"/>
      <c r="OB55" s="436"/>
      <c r="OC55" s="436"/>
      <c r="OD55" s="436"/>
      <c r="OE55" s="436"/>
      <c r="OF55" s="436"/>
      <c r="OG55" s="436"/>
      <c r="OH55" s="436"/>
      <c r="OI55" s="436"/>
      <c r="OJ55" s="436"/>
      <c r="OK55" s="436"/>
      <c r="OL55" s="436"/>
      <c r="OM55" s="436"/>
      <c r="ON55" s="436"/>
      <c r="OO55" s="436"/>
      <c r="OP55" s="436"/>
      <c r="OQ55" s="436"/>
      <c r="OR55" s="436"/>
      <c r="OS55" s="436"/>
      <c r="OT55" s="436"/>
      <c r="OU55" s="436"/>
      <c r="OV55" s="436"/>
      <c r="OW55" s="440"/>
      <c r="OX55" s="439"/>
      <c r="OY55" s="436"/>
      <c r="OZ55" s="436"/>
      <c r="PA55" s="436"/>
      <c r="PB55" s="436"/>
      <c r="PC55" s="436"/>
      <c r="PD55" s="436"/>
      <c r="PE55" s="436"/>
      <c r="PF55" s="436"/>
      <c r="PG55" s="436"/>
      <c r="PH55" s="436"/>
      <c r="PI55" s="436"/>
      <c r="PJ55" s="436"/>
      <c r="PK55" s="436"/>
      <c r="PL55" s="436"/>
      <c r="PM55" s="436"/>
      <c r="PN55" s="436"/>
      <c r="PO55" s="436"/>
      <c r="PP55" s="436"/>
      <c r="PQ55" s="436"/>
      <c r="PR55" s="436"/>
      <c r="PS55" s="436"/>
      <c r="PT55" s="436"/>
      <c r="PU55" s="436"/>
      <c r="PV55" s="440"/>
      <c r="PW55" s="439"/>
      <c r="PX55" s="436"/>
      <c r="PY55" s="436"/>
      <c r="PZ55" s="436"/>
      <c r="QA55" s="436"/>
      <c r="QB55" s="436"/>
      <c r="QC55" s="436"/>
      <c r="QD55" s="436"/>
      <c r="QE55" s="436"/>
      <c r="QF55" s="436"/>
      <c r="QG55" s="436"/>
      <c r="QH55" s="436"/>
      <c r="QI55" s="436"/>
      <c r="QJ55" s="436"/>
      <c r="QK55" s="436"/>
      <c r="QL55" s="436"/>
      <c r="QM55" s="436"/>
      <c r="QN55" s="436"/>
      <c r="QO55" s="436"/>
      <c r="QP55" s="436"/>
      <c r="QQ55" s="436"/>
      <c r="QR55" s="436"/>
      <c r="QS55" s="436"/>
      <c r="QT55" s="436"/>
      <c r="QU55" s="440"/>
    </row>
    <row r="56" spans="1:463" ht="24" customHeight="1" thickBot="1">
      <c r="A56" s="439"/>
      <c r="B56" s="441"/>
      <c r="C56" s="441"/>
      <c r="D56" s="441"/>
      <c r="E56" s="436"/>
      <c r="F56" s="436"/>
      <c r="G56" s="436"/>
      <c r="H56" s="436"/>
      <c r="I56" s="436"/>
      <c r="J56" s="436"/>
      <c r="K56" s="436"/>
      <c r="L56" s="436"/>
      <c r="M56" s="436"/>
      <c r="N56" s="436"/>
      <c r="O56" s="436"/>
      <c r="P56" s="436"/>
      <c r="Q56" s="436"/>
      <c r="R56" s="436"/>
      <c r="S56" s="436"/>
      <c r="T56" s="436"/>
      <c r="U56" s="436"/>
      <c r="V56" s="436"/>
      <c r="W56" s="436"/>
      <c r="X56" s="436"/>
      <c r="Y56" s="436"/>
      <c r="Z56" s="440"/>
      <c r="AA56" s="436"/>
      <c r="AB56" s="436"/>
      <c r="AC56" s="436"/>
      <c r="AD56" s="436"/>
      <c r="AE56" s="436"/>
      <c r="AF56" s="439"/>
      <c r="AG56" s="441"/>
      <c r="AH56" s="441"/>
      <c r="AI56" s="441"/>
      <c r="AJ56" s="436"/>
      <c r="AK56" s="436"/>
      <c r="AL56" s="436"/>
      <c r="AM56" s="436"/>
      <c r="AN56" s="436"/>
      <c r="AO56" s="436"/>
      <c r="AP56" s="436"/>
      <c r="AQ56" s="436"/>
      <c r="AR56" s="436"/>
      <c r="AS56" s="436"/>
      <c r="AT56" s="436"/>
      <c r="AU56" s="436"/>
      <c r="AV56" s="436"/>
      <c r="AW56" s="436"/>
      <c r="AX56" s="436"/>
      <c r="AY56" s="436"/>
      <c r="AZ56" s="436"/>
      <c r="BA56" s="436"/>
      <c r="BB56" s="436"/>
      <c r="BC56" s="436"/>
      <c r="BD56" s="440"/>
      <c r="BE56" s="439"/>
      <c r="BF56" s="441"/>
      <c r="BG56" s="441"/>
      <c r="BH56" s="441"/>
      <c r="BI56" s="436"/>
      <c r="BJ56" s="436"/>
      <c r="BK56" s="436"/>
      <c r="BL56" s="436"/>
      <c r="BM56" s="436"/>
      <c r="BN56" s="436"/>
      <c r="BO56" s="436"/>
      <c r="BP56" s="436"/>
      <c r="BQ56" s="436"/>
      <c r="BR56" s="436"/>
      <c r="BS56" s="436"/>
      <c r="BT56" s="436"/>
      <c r="BU56" s="436"/>
      <c r="BV56" s="436"/>
      <c r="BW56" s="436"/>
      <c r="BX56" s="436"/>
      <c r="BY56" s="436"/>
      <c r="BZ56" s="436"/>
      <c r="CA56" s="436"/>
      <c r="CB56" s="436"/>
      <c r="CC56" s="440"/>
      <c r="CD56" s="439"/>
      <c r="CE56" s="441"/>
      <c r="CF56" s="441"/>
      <c r="CG56" s="441"/>
      <c r="CH56" s="436"/>
      <c r="CI56" s="436"/>
      <c r="CJ56" s="436"/>
      <c r="CK56" s="436"/>
      <c r="CL56" s="436"/>
      <c r="CM56" s="436"/>
      <c r="CN56" s="436"/>
      <c r="CO56" s="436"/>
      <c r="CP56" s="436"/>
      <c r="CQ56" s="436"/>
      <c r="CR56" s="436"/>
      <c r="CS56" s="436"/>
      <c r="CT56" s="436"/>
      <c r="CU56" s="436"/>
      <c r="CV56" s="436"/>
      <c r="CW56" s="436"/>
      <c r="CX56" s="436"/>
      <c r="CY56" s="436"/>
      <c r="CZ56" s="436"/>
      <c r="DA56" s="436"/>
      <c r="DB56" s="440"/>
      <c r="DC56" s="439"/>
      <c r="DD56" s="441"/>
      <c r="DE56" s="441"/>
      <c r="DF56" s="441"/>
      <c r="DG56" s="436"/>
      <c r="DH56" s="436"/>
      <c r="DI56" s="436"/>
      <c r="DJ56" s="436"/>
      <c r="DK56" s="436"/>
      <c r="DL56" s="436"/>
      <c r="DM56" s="436"/>
      <c r="DN56" s="436"/>
      <c r="DO56" s="436"/>
      <c r="DP56" s="436"/>
      <c r="DQ56" s="436"/>
      <c r="DR56" s="436"/>
      <c r="DS56" s="436"/>
      <c r="DT56" s="436"/>
      <c r="DU56" s="436"/>
      <c r="DV56" s="436"/>
      <c r="DW56" s="436"/>
      <c r="DX56" s="436"/>
      <c r="DY56" s="436"/>
      <c r="DZ56" s="436"/>
      <c r="EA56" s="440"/>
      <c r="EB56" s="439"/>
      <c r="EC56" s="441"/>
      <c r="ED56" s="441"/>
      <c r="EE56" s="441"/>
      <c r="EF56" s="436"/>
      <c r="EG56" s="436"/>
      <c r="EH56" s="436"/>
      <c r="EI56" s="436"/>
      <c r="EJ56" s="436"/>
      <c r="EK56" s="436"/>
      <c r="EL56" s="436"/>
      <c r="EM56" s="436"/>
      <c r="EN56" s="436"/>
      <c r="EO56" s="436"/>
      <c r="EP56" s="436"/>
      <c r="EQ56" s="436"/>
      <c r="ER56" s="436"/>
      <c r="ES56" s="436"/>
      <c r="ET56" s="436"/>
      <c r="EU56" s="436"/>
      <c r="EV56" s="436"/>
      <c r="EW56" s="436"/>
      <c r="EX56" s="436"/>
      <c r="EY56" s="436"/>
      <c r="EZ56" s="440"/>
      <c r="FA56" s="439"/>
      <c r="FB56" s="441"/>
      <c r="FC56" s="441"/>
      <c r="FD56" s="441"/>
      <c r="FE56" s="436"/>
      <c r="FF56" s="436"/>
      <c r="FG56" s="436"/>
      <c r="FH56" s="436"/>
      <c r="FI56" s="436"/>
      <c r="FJ56" s="436"/>
      <c r="FK56" s="436"/>
      <c r="FL56" s="436"/>
      <c r="FM56" s="436"/>
      <c r="FN56" s="436"/>
      <c r="FO56" s="436"/>
      <c r="FP56" s="436"/>
      <c r="FQ56" s="436"/>
      <c r="FR56" s="436"/>
      <c r="FS56" s="436"/>
      <c r="FT56" s="436"/>
      <c r="FU56" s="436"/>
      <c r="FV56" s="436"/>
      <c r="FW56" s="436"/>
      <c r="FX56" s="436"/>
      <c r="FY56" s="440"/>
      <c r="FZ56" s="439"/>
      <c r="GA56" s="441"/>
      <c r="GB56" s="441"/>
      <c r="GC56" s="441"/>
      <c r="GD56" s="436"/>
      <c r="GE56" s="436"/>
      <c r="GF56" s="436"/>
      <c r="GG56" s="436"/>
      <c r="GH56" s="436"/>
      <c r="GI56" s="436"/>
      <c r="GJ56" s="436"/>
      <c r="GK56" s="436"/>
      <c r="GL56" s="436"/>
      <c r="GM56" s="436"/>
      <c r="GN56" s="436"/>
      <c r="GO56" s="436"/>
      <c r="GP56" s="436"/>
      <c r="GQ56" s="436"/>
      <c r="GR56" s="436"/>
      <c r="GS56" s="436"/>
      <c r="GT56" s="436"/>
      <c r="GU56" s="436"/>
      <c r="GV56" s="436"/>
      <c r="GW56" s="436"/>
      <c r="GX56" s="440"/>
      <c r="GY56" s="439"/>
      <c r="GZ56" s="441"/>
      <c r="HA56" s="441"/>
      <c r="HB56" s="441"/>
      <c r="HC56" s="436"/>
      <c r="HD56" s="436"/>
      <c r="HE56" s="436"/>
      <c r="HF56" s="436"/>
      <c r="HG56" s="436"/>
      <c r="HH56" s="436"/>
      <c r="HI56" s="436"/>
      <c r="HJ56" s="436"/>
      <c r="HK56" s="436"/>
      <c r="HL56" s="436"/>
      <c r="HM56" s="436"/>
      <c r="HN56" s="436"/>
      <c r="HO56" s="436"/>
      <c r="HP56" s="436"/>
      <c r="HQ56" s="436"/>
      <c r="HR56" s="436"/>
      <c r="HS56" s="436"/>
      <c r="HT56" s="436"/>
      <c r="HU56" s="436"/>
      <c r="HV56" s="436"/>
      <c r="HW56" s="440"/>
      <c r="KE56" s="435"/>
      <c r="KF56" s="435"/>
      <c r="KG56" s="435"/>
      <c r="KH56" s="435"/>
      <c r="KI56" s="435"/>
      <c r="KJ56" s="435"/>
      <c r="KK56" s="435"/>
      <c r="KL56" s="435"/>
      <c r="KM56" s="435"/>
      <c r="LB56" s="439"/>
      <c r="LC56" s="436"/>
      <c r="LD56" s="436"/>
      <c r="LE56" s="436"/>
      <c r="LF56" s="436"/>
      <c r="LG56" s="436"/>
      <c r="LH56" s="436"/>
      <c r="LI56" s="436"/>
      <c r="LJ56" s="436"/>
      <c r="LK56" s="436"/>
      <c r="LL56" s="436"/>
      <c r="LM56" s="436"/>
      <c r="LN56" s="436"/>
      <c r="LO56" s="436"/>
      <c r="LP56" s="436"/>
      <c r="LQ56" s="436"/>
      <c r="LR56" s="436"/>
      <c r="LS56" s="436"/>
      <c r="LT56" s="436"/>
      <c r="LU56" s="436"/>
      <c r="LV56" s="436"/>
      <c r="LW56" s="436"/>
      <c r="LX56" s="436"/>
      <c r="LY56" s="436"/>
      <c r="LZ56" s="440"/>
      <c r="MA56" s="439"/>
      <c r="MB56" s="436"/>
      <c r="MC56" s="436"/>
      <c r="MD56" s="436"/>
      <c r="ME56" s="436"/>
      <c r="MF56" s="436"/>
      <c r="MG56" s="436"/>
      <c r="MH56" s="436"/>
      <c r="MI56" s="436"/>
      <c r="MJ56" s="436"/>
      <c r="MK56" s="436"/>
      <c r="ML56" s="436"/>
      <c r="MM56" s="436"/>
      <c r="MN56" s="436"/>
      <c r="MO56" s="436"/>
      <c r="MP56" s="436"/>
      <c r="MQ56" s="436"/>
      <c r="MR56" s="436"/>
      <c r="MS56" s="436"/>
      <c r="MT56" s="436"/>
      <c r="MU56" s="436"/>
      <c r="MV56" s="436"/>
      <c r="MW56" s="436"/>
      <c r="MX56" s="436"/>
      <c r="MY56" s="440"/>
      <c r="MZ56" s="439"/>
      <c r="NA56" s="436"/>
      <c r="NB56" s="436"/>
      <c r="NC56" s="436"/>
      <c r="ND56" s="436"/>
      <c r="NE56" s="436"/>
      <c r="NF56" s="436"/>
      <c r="NG56" s="436"/>
      <c r="NH56" s="436"/>
      <c r="NI56" s="436"/>
      <c r="NJ56" s="436"/>
      <c r="NK56" s="436"/>
      <c r="NL56" s="436"/>
      <c r="NM56" s="436"/>
      <c r="NN56" s="436"/>
      <c r="NO56" s="436"/>
      <c r="NP56" s="436"/>
      <c r="NQ56" s="436"/>
      <c r="NR56" s="436"/>
      <c r="NS56" s="436"/>
      <c r="NT56" s="436"/>
      <c r="NU56" s="436"/>
      <c r="NV56" s="436"/>
      <c r="NW56" s="436"/>
      <c r="NX56" s="440"/>
      <c r="NY56" s="439"/>
      <c r="NZ56" s="436"/>
      <c r="OA56" s="436"/>
      <c r="OB56" s="436"/>
      <c r="OC56" s="436"/>
      <c r="OD56" s="436"/>
      <c r="OE56" s="436"/>
      <c r="OF56" s="436"/>
      <c r="OG56" s="436"/>
      <c r="OH56" s="436"/>
      <c r="OI56" s="436"/>
      <c r="OJ56" s="436"/>
      <c r="OK56" s="436"/>
      <c r="OL56" s="436"/>
      <c r="OM56" s="436"/>
      <c r="ON56" s="436"/>
      <c r="OO56" s="436"/>
      <c r="OP56" s="436"/>
      <c r="OQ56" s="436"/>
      <c r="OR56" s="436"/>
      <c r="OS56" s="436"/>
      <c r="OT56" s="436"/>
      <c r="OU56" s="436"/>
      <c r="OV56" s="436"/>
      <c r="OW56" s="440"/>
      <c r="OX56" s="439"/>
      <c r="OY56" s="436"/>
      <c r="OZ56" s="436"/>
      <c r="PA56" s="436"/>
      <c r="PB56" s="436"/>
      <c r="PC56" s="436"/>
      <c r="PD56" s="436"/>
      <c r="PE56" s="436"/>
      <c r="PF56" s="436"/>
      <c r="PG56" s="436"/>
      <c r="PH56" s="436"/>
      <c r="PI56" s="436"/>
      <c r="PJ56" s="436"/>
      <c r="PK56" s="436"/>
      <c r="PL56" s="436"/>
      <c r="PM56" s="436"/>
      <c r="PN56" s="436"/>
      <c r="PO56" s="436"/>
      <c r="PP56" s="436"/>
      <c r="PQ56" s="436"/>
      <c r="PR56" s="436"/>
      <c r="PS56" s="436"/>
      <c r="PT56" s="436"/>
      <c r="PU56" s="436"/>
      <c r="PV56" s="440"/>
      <c r="PW56" s="439"/>
      <c r="PX56" s="436"/>
      <c r="PY56" s="436"/>
      <c r="PZ56" s="436"/>
      <c r="QA56" s="436"/>
      <c r="QB56" s="436"/>
      <c r="QC56" s="436"/>
      <c r="QD56" s="436"/>
      <c r="QE56" s="436"/>
      <c r="QF56" s="436"/>
      <c r="QG56" s="436"/>
      <c r="QH56" s="436"/>
      <c r="QI56" s="436"/>
      <c r="QJ56" s="436"/>
      <c r="QK56" s="436"/>
      <c r="QL56" s="436"/>
      <c r="QM56" s="436"/>
      <c r="QN56" s="436"/>
      <c r="QO56" s="436"/>
      <c r="QP56" s="436"/>
      <c r="QQ56" s="436"/>
      <c r="QR56" s="436"/>
      <c r="QS56" s="436"/>
      <c r="QT56" s="436"/>
      <c r="QU56" s="440"/>
    </row>
    <row r="57" spans="1:463" ht="24" customHeight="1" thickBot="1">
      <c r="A57" s="444"/>
      <c r="B57" s="1917" t="str">
        <f>'Вывод расчетов'!$AK$9</f>
        <v>Раздел 1</v>
      </c>
      <c r="C57" s="1915"/>
      <c r="D57" s="1915"/>
      <c r="E57" s="445"/>
      <c r="F57" s="1917" t="str">
        <f>'Вывод расчетов'!$AN$9</f>
        <v>Определение главных размеров асинхронного двигателя</v>
      </c>
      <c r="G57" s="1915"/>
      <c r="H57" s="1915"/>
      <c r="I57" s="1915"/>
      <c r="J57" s="1915"/>
      <c r="K57" s="1915"/>
      <c r="L57" s="1915"/>
      <c r="M57" s="1915"/>
      <c r="N57" s="1915"/>
      <c r="O57" s="1915"/>
      <c r="P57" s="1915"/>
      <c r="Q57" s="1915"/>
      <c r="R57" s="1918"/>
      <c r="S57" s="445"/>
      <c r="T57" s="1917" t="s">
        <v>1502</v>
      </c>
      <c r="U57" s="1915"/>
      <c r="V57" s="1918"/>
      <c r="W57" s="445"/>
      <c r="X57" s="1917">
        <v>3</v>
      </c>
      <c r="Y57" s="1918"/>
      <c r="Z57" s="446"/>
      <c r="AA57" s="608"/>
      <c r="AB57" s="608"/>
      <c r="AC57" s="608"/>
      <c r="AD57" s="608"/>
      <c r="AE57" s="608"/>
      <c r="AF57" s="444"/>
      <c r="AG57" s="1917" t="str">
        <f>'Вывод расчетов'!$CC$9</f>
        <v>Раздел 3</v>
      </c>
      <c r="AH57" s="1915"/>
      <c r="AI57" s="1915"/>
      <c r="AJ57" s="445"/>
      <c r="AK57" s="1917" t="str">
        <f>'Вывод расчетов'!$CF$9</f>
        <v>Расчет обмотки статора</v>
      </c>
      <c r="AL57" s="1915"/>
      <c r="AM57" s="1915"/>
      <c r="AN57" s="1915"/>
      <c r="AO57" s="1915"/>
      <c r="AP57" s="1915"/>
      <c r="AQ57" s="1915"/>
      <c r="AR57" s="1915"/>
      <c r="AS57" s="1915"/>
      <c r="AT57" s="1915"/>
      <c r="AU57" s="1915"/>
      <c r="AV57" s="1918"/>
      <c r="AW57" s="445"/>
      <c r="AX57" s="1917" t="s">
        <v>1502</v>
      </c>
      <c r="AY57" s="1915"/>
      <c r="AZ57" s="1918"/>
      <c r="BA57" s="445"/>
      <c r="BB57" s="1917">
        <v>10</v>
      </c>
      <c r="BC57" s="1918"/>
      <c r="BD57" s="446"/>
      <c r="BE57" s="444"/>
      <c r="BF57" s="1917" t="str">
        <f>'Вывод расчетов'!$CC$9</f>
        <v>Раздел 3</v>
      </c>
      <c r="BG57" s="1915"/>
      <c r="BH57" s="1915"/>
      <c r="BI57" s="445"/>
      <c r="BJ57" s="1917" t="str">
        <f>'Вывод расчетов'!$CF$9</f>
        <v>Расчет обмотки статора</v>
      </c>
      <c r="BK57" s="1915"/>
      <c r="BL57" s="1915"/>
      <c r="BM57" s="1915"/>
      <c r="BN57" s="1915"/>
      <c r="BO57" s="1915"/>
      <c r="BP57" s="1915"/>
      <c r="BQ57" s="1915"/>
      <c r="BR57" s="1915"/>
      <c r="BS57" s="1915"/>
      <c r="BT57" s="1915"/>
      <c r="BU57" s="1918"/>
      <c r="BV57" s="445"/>
      <c r="BW57" s="1917" t="s">
        <v>1502</v>
      </c>
      <c r="BX57" s="1915"/>
      <c r="BY57" s="1918"/>
      <c r="BZ57" s="445"/>
      <c r="CA57" s="1917">
        <v>11</v>
      </c>
      <c r="CB57" s="1918"/>
      <c r="CC57" s="446"/>
      <c r="CD57" s="444"/>
      <c r="CE57" s="1917" t="str">
        <f>'Вывод расчетов'!$CC$9</f>
        <v>Раздел 3</v>
      </c>
      <c r="CF57" s="1915"/>
      <c r="CG57" s="1915"/>
      <c r="CH57" s="445"/>
      <c r="CI57" s="1917" t="str">
        <f>'Вывод расчетов'!$CF$9</f>
        <v>Расчет обмотки статора</v>
      </c>
      <c r="CJ57" s="1915"/>
      <c r="CK57" s="1915"/>
      <c r="CL57" s="1915"/>
      <c r="CM57" s="1915"/>
      <c r="CN57" s="1915"/>
      <c r="CO57" s="1915"/>
      <c r="CP57" s="1915"/>
      <c r="CQ57" s="1915"/>
      <c r="CR57" s="1915"/>
      <c r="CS57" s="1915"/>
      <c r="CT57" s="1918"/>
      <c r="CU57" s="445"/>
      <c r="CV57" s="1917" t="s">
        <v>1502</v>
      </c>
      <c r="CW57" s="1915"/>
      <c r="CX57" s="1918"/>
      <c r="CY57" s="445"/>
      <c r="CZ57" s="1917">
        <v>11</v>
      </c>
      <c r="DA57" s="1918"/>
      <c r="DB57" s="446"/>
      <c r="DC57" s="444"/>
      <c r="DD57" s="1917" t="str">
        <f>'Вывод расчетов'!$CC$9</f>
        <v>Раздел 3</v>
      </c>
      <c r="DE57" s="1915"/>
      <c r="DF57" s="1915"/>
      <c r="DG57" s="445"/>
      <c r="DH57" s="1917" t="str">
        <f>'Вывод расчетов'!$CF$9</f>
        <v>Расчет обмотки статора</v>
      </c>
      <c r="DI57" s="1915"/>
      <c r="DJ57" s="1915"/>
      <c r="DK57" s="1915"/>
      <c r="DL57" s="1915"/>
      <c r="DM57" s="1915"/>
      <c r="DN57" s="1915"/>
      <c r="DO57" s="1915"/>
      <c r="DP57" s="1915"/>
      <c r="DQ57" s="1915"/>
      <c r="DR57" s="1915"/>
      <c r="DS57" s="1918"/>
      <c r="DT57" s="445"/>
      <c r="DU57" s="1917" t="s">
        <v>1502</v>
      </c>
      <c r="DV57" s="1915"/>
      <c r="DW57" s="1918"/>
      <c r="DX57" s="445"/>
      <c r="DY57" s="1917">
        <v>11</v>
      </c>
      <c r="DZ57" s="1918"/>
      <c r="EA57" s="446"/>
      <c r="EB57" s="444"/>
      <c r="EC57" s="1917" t="str">
        <f>'Вывод расчетов'!$CC$9</f>
        <v>Раздел 3</v>
      </c>
      <c r="ED57" s="1915"/>
      <c r="EE57" s="1915"/>
      <c r="EF57" s="445"/>
      <c r="EG57" s="1917" t="str">
        <f>'Вывод расчетов'!$CF$9</f>
        <v>Расчет обмотки статора</v>
      </c>
      <c r="EH57" s="1915"/>
      <c r="EI57" s="1915"/>
      <c r="EJ57" s="1915"/>
      <c r="EK57" s="1915"/>
      <c r="EL57" s="1915"/>
      <c r="EM57" s="1915"/>
      <c r="EN57" s="1915"/>
      <c r="EO57" s="1915"/>
      <c r="EP57" s="1915"/>
      <c r="EQ57" s="1915"/>
      <c r="ER57" s="1918"/>
      <c r="ES57" s="445"/>
      <c r="ET57" s="1917" t="s">
        <v>1502</v>
      </c>
      <c r="EU57" s="1915"/>
      <c r="EV57" s="1918"/>
      <c r="EW57" s="445"/>
      <c r="EX57" s="1917">
        <v>11</v>
      </c>
      <c r="EY57" s="1918"/>
      <c r="EZ57" s="446"/>
      <c r="FA57" s="444"/>
      <c r="FB57" s="1917" t="str">
        <f>'Вывод расчетов'!$CC$9</f>
        <v>Раздел 3</v>
      </c>
      <c r="FC57" s="1915"/>
      <c r="FD57" s="1915"/>
      <c r="FE57" s="445"/>
      <c r="FF57" s="1917" t="str">
        <f>'Вывод расчетов'!$CF$9</f>
        <v>Расчет обмотки статора</v>
      </c>
      <c r="FG57" s="1915"/>
      <c r="FH57" s="1915"/>
      <c r="FI57" s="1915"/>
      <c r="FJ57" s="1915"/>
      <c r="FK57" s="1915"/>
      <c r="FL57" s="1915"/>
      <c r="FM57" s="1915"/>
      <c r="FN57" s="1915"/>
      <c r="FO57" s="1915"/>
      <c r="FP57" s="1915"/>
      <c r="FQ57" s="1918"/>
      <c r="FR57" s="445"/>
      <c r="FS57" s="1917" t="s">
        <v>1502</v>
      </c>
      <c r="FT57" s="1915"/>
      <c r="FU57" s="1918"/>
      <c r="FV57" s="445"/>
      <c r="FW57" s="1917">
        <v>11</v>
      </c>
      <c r="FX57" s="1918"/>
      <c r="FY57" s="446"/>
      <c r="FZ57" s="444"/>
      <c r="GA57" s="1917" t="str">
        <f>'Вывод расчетов'!$CC$9</f>
        <v>Раздел 3</v>
      </c>
      <c r="GB57" s="1915"/>
      <c r="GC57" s="1915"/>
      <c r="GD57" s="445"/>
      <c r="GE57" s="1917" t="str">
        <f>'Вывод расчетов'!$CF$9</f>
        <v>Расчет обмотки статора</v>
      </c>
      <c r="GF57" s="1915"/>
      <c r="GG57" s="1915"/>
      <c r="GH57" s="1915"/>
      <c r="GI57" s="1915"/>
      <c r="GJ57" s="1915"/>
      <c r="GK57" s="1915"/>
      <c r="GL57" s="1915"/>
      <c r="GM57" s="1915"/>
      <c r="GN57" s="1915"/>
      <c r="GO57" s="1915"/>
      <c r="GP57" s="1918"/>
      <c r="GQ57" s="445"/>
      <c r="GR57" s="1917" t="s">
        <v>1502</v>
      </c>
      <c r="GS57" s="1915"/>
      <c r="GT57" s="1918"/>
      <c r="GU57" s="445"/>
      <c r="GV57" s="1917">
        <v>11</v>
      </c>
      <c r="GW57" s="1918"/>
      <c r="GX57" s="446"/>
      <c r="GY57" s="444"/>
      <c r="GZ57" s="1917" t="str">
        <f>'Вывод расчетов'!$CC$9</f>
        <v>Раздел 3</v>
      </c>
      <c r="HA57" s="1915"/>
      <c r="HB57" s="1915"/>
      <c r="HC57" s="445"/>
      <c r="HD57" s="1917" t="str">
        <f>'Вывод расчетов'!$CF$9</f>
        <v>Расчет обмотки статора</v>
      </c>
      <c r="HE57" s="1915"/>
      <c r="HF57" s="1915"/>
      <c r="HG57" s="1915"/>
      <c r="HH57" s="1915"/>
      <c r="HI57" s="1915"/>
      <c r="HJ57" s="1915"/>
      <c r="HK57" s="1915"/>
      <c r="HL57" s="1915"/>
      <c r="HM57" s="1915"/>
      <c r="HN57" s="1915"/>
      <c r="HO57" s="1918"/>
      <c r="HP57" s="445"/>
      <c r="HQ57" s="1917" t="s">
        <v>1502</v>
      </c>
      <c r="HR57" s="1915"/>
      <c r="HS57" s="1918"/>
      <c r="HT57" s="445"/>
      <c r="HU57" s="1917">
        <v>11</v>
      </c>
      <c r="HV57" s="1918"/>
      <c r="HW57" s="446"/>
      <c r="KE57" s="435"/>
      <c r="KF57" s="435"/>
      <c r="KG57" s="435"/>
      <c r="KH57" s="435"/>
      <c r="KI57" s="435"/>
      <c r="KJ57" s="435"/>
      <c r="KK57" s="435"/>
      <c r="KL57" s="435"/>
      <c r="KM57" s="435"/>
      <c r="LB57" s="439"/>
      <c r="LC57" s="436"/>
      <c r="LD57" s="436"/>
      <c r="LE57" s="436"/>
      <c r="LF57" s="436"/>
      <c r="LG57" s="436"/>
      <c r="LH57" s="436"/>
      <c r="LI57" s="436"/>
      <c r="LJ57" s="436"/>
      <c r="LK57" s="436"/>
      <c r="LL57" s="436"/>
      <c r="LM57" s="436"/>
      <c r="LN57" s="436"/>
      <c r="LO57" s="436"/>
      <c r="LP57" s="436"/>
      <c r="LQ57" s="436"/>
      <c r="LR57" s="436"/>
      <c r="LS57" s="436"/>
      <c r="LT57" s="436"/>
      <c r="LU57" s="436"/>
      <c r="LV57" s="436"/>
      <c r="LW57" s="436"/>
      <c r="LX57" s="436"/>
      <c r="LY57" s="436"/>
      <c r="LZ57" s="440"/>
      <c r="MA57" s="439"/>
      <c r="MB57" s="436"/>
      <c r="MC57" s="436"/>
      <c r="MD57" s="436"/>
      <c r="ME57" s="436"/>
      <c r="MF57" s="436"/>
      <c r="MG57" s="436"/>
      <c r="MH57" s="436"/>
      <c r="MI57" s="436"/>
      <c r="MJ57" s="436"/>
      <c r="MK57" s="436"/>
      <c r="ML57" s="436"/>
      <c r="MM57" s="436"/>
      <c r="MN57" s="436"/>
      <c r="MO57" s="436"/>
      <c r="MP57" s="436"/>
      <c r="MQ57" s="436"/>
      <c r="MR57" s="436"/>
      <c r="MS57" s="436"/>
      <c r="MT57" s="436"/>
      <c r="MU57" s="436"/>
      <c r="MV57" s="436"/>
      <c r="MW57" s="436"/>
      <c r="MX57" s="436"/>
      <c r="MY57" s="440"/>
      <c r="MZ57" s="439"/>
      <c r="NA57" s="436"/>
      <c r="NB57" s="436"/>
      <c r="NC57" s="436"/>
      <c r="ND57" s="436"/>
      <c r="NE57" s="436"/>
      <c r="NF57" s="436"/>
      <c r="NG57" s="436"/>
      <c r="NH57" s="436"/>
      <c r="NI57" s="436"/>
      <c r="NJ57" s="436"/>
      <c r="NK57" s="436"/>
      <c r="NL57" s="436"/>
      <c r="NM57" s="436"/>
      <c r="NN57" s="436"/>
      <c r="NO57" s="436"/>
      <c r="NP57" s="436"/>
      <c r="NQ57" s="436"/>
      <c r="NR57" s="436"/>
      <c r="NS57" s="436"/>
      <c r="NT57" s="436"/>
      <c r="NU57" s="436"/>
      <c r="NV57" s="436"/>
      <c r="NW57" s="436"/>
      <c r="NX57" s="440"/>
      <c r="NY57" s="439"/>
      <c r="NZ57" s="436"/>
      <c r="OA57" s="436"/>
      <c r="OB57" s="436"/>
      <c r="OC57" s="436"/>
      <c r="OD57" s="436"/>
      <c r="OE57" s="436"/>
      <c r="OF57" s="436"/>
      <c r="OG57" s="436"/>
      <c r="OH57" s="436"/>
      <c r="OI57" s="436"/>
      <c r="OJ57" s="436"/>
      <c r="OK57" s="436"/>
      <c r="OL57" s="436"/>
      <c r="OM57" s="436"/>
      <c r="ON57" s="436"/>
      <c r="OO57" s="436"/>
      <c r="OP57" s="436"/>
      <c r="OQ57" s="436"/>
      <c r="OR57" s="436"/>
      <c r="OS57" s="436"/>
      <c r="OT57" s="436"/>
      <c r="OU57" s="436"/>
      <c r="OV57" s="436"/>
      <c r="OW57" s="440"/>
      <c r="OX57" s="439"/>
      <c r="OY57" s="436"/>
      <c r="OZ57" s="436"/>
      <c r="PA57" s="436"/>
      <c r="PB57" s="436"/>
      <c r="PC57" s="436"/>
      <c r="PD57" s="436"/>
      <c r="PE57" s="436"/>
      <c r="PF57" s="436"/>
      <c r="PG57" s="436"/>
      <c r="PH57" s="436"/>
      <c r="PI57" s="436"/>
      <c r="PJ57" s="436"/>
      <c r="PK57" s="436"/>
      <c r="PL57" s="436"/>
      <c r="PM57" s="436"/>
      <c r="PN57" s="436"/>
      <c r="PO57" s="436"/>
      <c r="PP57" s="436"/>
      <c r="PQ57" s="436"/>
      <c r="PR57" s="436"/>
      <c r="PS57" s="436"/>
      <c r="PT57" s="436"/>
      <c r="PU57" s="436"/>
      <c r="PV57" s="440"/>
      <c r="PW57" s="439"/>
      <c r="PX57" s="436"/>
      <c r="PY57" s="436"/>
      <c r="PZ57" s="436"/>
      <c r="QA57" s="436"/>
      <c r="QB57" s="436"/>
      <c r="QC57" s="436"/>
      <c r="QD57" s="436"/>
      <c r="QE57" s="436"/>
      <c r="QF57" s="436"/>
      <c r="QG57" s="436"/>
      <c r="QH57" s="436"/>
      <c r="QI57" s="436"/>
      <c r="QJ57" s="436"/>
      <c r="QK57" s="436"/>
      <c r="QL57" s="436"/>
      <c r="QM57" s="436"/>
      <c r="QN57" s="436"/>
      <c r="QO57" s="436"/>
      <c r="QP57" s="436"/>
      <c r="QQ57" s="436"/>
      <c r="QR57" s="436"/>
      <c r="QS57" s="436"/>
      <c r="QT57" s="436"/>
      <c r="QU57" s="440"/>
    </row>
    <row r="58" spans="1:463" ht="24" customHeight="1" thickBot="1">
      <c r="A58" s="1914" t="s">
        <v>1230</v>
      </c>
      <c r="B58" s="1915"/>
      <c r="C58" s="1915"/>
      <c r="D58" s="1915"/>
      <c r="E58" s="1915"/>
      <c r="F58" s="1915"/>
      <c r="G58" s="1915"/>
      <c r="H58" s="1915"/>
      <c r="I58" s="1915"/>
      <c r="J58" s="1915"/>
      <c r="K58" s="1915"/>
      <c r="L58" s="1915"/>
      <c r="M58" s="1915"/>
      <c r="N58" s="1915"/>
      <c r="O58" s="1915"/>
      <c r="P58" s="1915"/>
      <c r="Q58" s="1915"/>
      <c r="R58" s="1915"/>
      <c r="S58" s="1915"/>
      <c r="T58" s="1915"/>
      <c r="U58" s="1915"/>
      <c r="V58" s="1915"/>
      <c r="W58" s="1915"/>
      <c r="X58" s="1915"/>
      <c r="Y58" s="1915"/>
      <c r="Z58" s="1916"/>
      <c r="AA58" s="605"/>
      <c r="AB58" s="605"/>
      <c r="AC58" s="605"/>
      <c r="AD58" s="605"/>
      <c r="AE58" s="605"/>
      <c r="AF58" s="1914" t="s">
        <v>1230</v>
      </c>
      <c r="AG58" s="1915"/>
      <c r="AH58" s="1915"/>
      <c r="AI58" s="1915"/>
      <c r="AJ58" s="1915"/>
      <c r="AK58" s="1915"/>
      <c r="AL58" s="1915"/>
      <c r="AM58" s="1915"/>
      <c r="AN58" s="1915"/>
      <c r="AO58" s="1915"/>
      <c r="AP58" s="1915"/>
      <c r="AQ58" s="1915"/>
      <c r="AR58" s="1915"/>
      <c r="AS58" s="1915"/>
      <c r="AT58" s="1915"/>
      <c r="AU58" s="1915"/>
      <c r="AV58" s="1915"/>
      <c r="AW58" s="1915"/>
      <c r="AX58" s="1915"/>
      <c r="AY58" s="1915"/>
      <c r="AZ58" s="1915"/>
      <c r="BA58" s="1915"/>
      <c r="BB58" s="1915"/>
      <c r="BC58" s="1915"/>
      <c r="BD58" s="1916"/>
      <c r="BE58" s="1914" t="s">
        <v>1230</v>
      </c>
      <c r="BF58" s="1915"/>
      <c r="BG58" s="1915"/>
      <c r="BH58" s="1915"/>
      <c r="BI58" s="1915"/>
      <c r="BJ58" s="1915"/>
      <c r="BK58" s="1915"/>
      <c r="BL58" s="1915"/>
      <c r="BM58" s="1915"/>
      <c r="BN58" s="1915"/>
      <c r="BO58" s="1915"/>
      <c r="BP58" s="1915"/>
      <c r="BQ58" s="1915"/>
      <c r="BR58" s="1915"/>
      <c r="BS58" s="1915"/>
      <c r="BT58" s="1915"/>
      <c r="BU58" s="1915"/>
      <c r="BV58" s="1915"/>
      <c r="BW58" s="1915"/>
      <c r="BX58" s="1915"/>
      <c r="BY58" s="1915"/>
      <c r="BZ58" s="1915"/>
      <c r="CA58" s="1915"/>
      <c r="CB58" s="1915"/>
      <c r="CC58" s="1916"/>
      <c r="CD58" s="1914" t="s">
        <v>1230</v>
      </c>
      <c r="CE58" s="1915"/>
      <c r="CF58" s="1915"/>
      <c r="CG58" s="1915"/>
      <c r="CH58" s="1915"/>
      <c r="CI58" s="1915"/>
      <c r="CJ58" s="1915"/>
      <c r="CK58" s="1915"/>
      <c r="CL58" s="1915"/>
      <c r="CM58" s="1915"/>
      <c r="CN58" s="1915"/>
      <c r="CO58" s="1915"/>
      <c r="CP58" s="1915"/>
      <c r="CQ58" s="1915"/>
      <c r="CR58" s="1915"/>
      <c r="CS58" s="1915"/>
      <c r="CT58" s="1915"/>
      <c r="CU58" s="1915"/>
      <c r="CV58" s="1915"/>
      <c r="CW58" s="1915"/>
      <c r="CX58" s="1915"/>
      <c r="CY58" s="1915"/>
      <c r="CZ58" s="1915"/>
      <c r="DA58" s="1915"/>
      <c r="DB58" s="1916"/>
      <c r="DC58" s="1914" t="s">
        <v>1230</v>
      </c>
      <c r="DD58" s="1915"/>
      <c r="DE58" s="1915"/>
      <c r="DF58" s="1915"/>
      <c r="DG58" s="1915"/>
      <c r="DH58" s="1915"/>
      <c r="DI58" s="1915"/>
      <c r="DJ58" s="1915"/>
      <c r="DK58" s="1915"/>
      <c r="DL58" s="1915"/>
      <c r="DM58" s="1915"/>
      <c r="DN58" s="1915"/>
      <c r="DO58" s="1915"/>
      <c r="DP58" s="1915"/>
      <c r="DQ58" s="1915"/>
      <c r="DR58" s="1915"/>
      <c r="DS58" s="1915"/>
      <c r="DT58" s="1915"/>
      <c r="DU58" s="1915"/>
      <c r="DV58" s="1915"/>
      <c r="DW58" s="1915"/>
      <c r="DX58" s="1915"/>
      <c r="DY58" s="1915"/>
      <c r="DZ58" s="1915"/>
      <c r="EA58" s="1916"/>
      <c r="EB58" s="1914" t="s">
        <v>1230</v>
      </c>
      <c r="EC58" s="1915"/>
      <c r="ED58" s="1915"/>
      <c r="EE58" s="1915"/>
      <c r="EF58" s="1915"/>
      <c r="EG58" s="1915"/>
      <c r="EH58" s="1915"/>
      <c r="EI58" s="1915"/>
      <c r="EJ58" s="1915"/>
      <c r="EK58" s="1915"/>
      <c r="EL58" s="1915"/>
      <c r="EM58" s="1915"/>
      <c r="EN58" s="1915"/>
      <c r="EO58" s="1915"/>
      <c r="EP58" s="1915"/>
      <c r="EQ58" s="1915"/>
      <c r="ER58" s="1915"/>
      <c r="ES58" s="1915"/>
      <c r="ET58" s="1915"/>
      <c r="EU58" s="1915"/>
      <c r="EV58" s="1915"/>
      <c r="EW58" s="1915"/>
      <c r="EX58" s="1915"/>
      <c r="EY58" s="1915"/>
      <c r="EZ58" s="1916"/>
      <c r="FA58" s="1914" t="s">
        <v>1230</v>
      </c>
      <c r="FB58" s="1915"/>
      <c r="FC58" s="1915"/>
      <c r="FD58" s="1915"/>
      <c r="FE58" s="1915"/>
      <c r="FF58" s="1915"/>
      <c r="FG58" s="1915"/>
      <c r="FH58" s="1915"/>
      <c r="FI58" s="1915"/>
      <c r="FJ58" s="1915"/>
      <c r="FK58" s="1915"/>
      <c r="FL58" s="1915"/>
      <c r="FM58" s="1915"/>
      <c r="FN58" s="1915"/>
      <c r="FO58" s="1915"/>
      <c r="FP58" s="1915"/>
      <c r="FQ58" s="1915"/>
      <c r="FR58" s="1915"/>
      <c r="FS58" s="1915"/>
      <c r="FT58" s="1915"/>
      <c r="FU58" s="1915"/>
      <c r="FV58" s="1915"/>
      <c r="FW58" s="1915"/>
      <c r="FX58" s="1915"/>
      <c r="FY58" s="1916"/>
      <c r="FZ58" s="1914" t="s">
        <v>1230</v>
      </c>
      <c r="GA58" s="1915"/>
      <c r="GB58" s="1915"/>
      <c r="GC58" s="1915"/>
      <c r="GD58" s="1915"/>
      <c r="GE58" s="1915"/>
      <c r="GF58" s="1915"/>
      <c r="GG58" s="1915"/>
      <c r="GH58" s="1915"/>
      <c r="GI58" s="1915"/>
      <c r="GJ58" s="1915"/>
      <c r="GK58" s="1915"/>
      <c r="GL58" s="1915"/>
      <c r="GM58" s="1915"/>
      <c r="GN58" s="1915"/>
      <c r="GO58" s="1915"/>
      <c r="GP58" s="1915"/>
      <c r="GQ58" s="1915"/>
      <c r="GR58" s="1915"/>
      <c r="GS58" s="1915"/>
      <c r="GT58" s="1915"/>
      <c r="GU58" s="1915"/>
      <c r="GV58" s="1915"/>
      <c r="GW58" s="1915"/>
      <c r="GX58" s="1916"/>
      <c r="GY58" s="1914" t="s">
        <v>1230</v>
      </c>
      <c r="GZ58" s="1915"/>
      <c r="HA58" s="1915"/>
      <c r="HB58" s="1915"/>
      <c r="HC58" s="1915"/>
      <c r="HD58" s="1915"/>
      <c r="HE58" s="1915"/>
      <c r="HF58" s="1915"/>
      <c r="HG58" s="1915"/>
      <c r="HH58" s="1915"/>
      <c r="HI58" s="1915"/>
      <c r="HJ58" s="1915"/>
      <c r="HK58" s="1915"/>
      <c r="HL58" s="1915"/>
      <c r="HM58" s="1915"/>
      <c r="HN58" s="1915"/>
      <c r="HO58" s="1915"/>
      <c r="HP58" s="1915"/>
      <c r="HQ58" s="1915"/>
      <c r="HR58" s="1915"/>
      <c r="HS58" s="1915"/>
      <c r="HT58" s="1915"/>
      <c r="HU58" s="1915"/>
      <c r="HV58" s="1915"/>
      <c r="HW58" s="1916"/>
      <c r="KE58" s="435"/>
      <c r="KF58" s="435"/>
      <c r="KG58" s="435"/>
      <c r="KH58" s="435"/>
      <c r="KI58" s="435"/>
      <c r="KJ58" s="435"/>
      <c r="KK58" s="435"/>
      <c r="KL58" s="435"/>
      <c r="KM58" s="435"/>
      <c r="LB58" s="439"/>
      <c r="LC58" s="436"/>
      <c r="LD58" s="436"/>
      <c r="LE58" s="436"/>
      <c r="LF58" s="436"/>
      <c r="LG58" s="436"/>
      <c r="LH58" s="436"/>
      <c r="LI58" s="436"/>
      <c r="LJ58" s="436"/>
      <c r="LK58" s="436"/>
      <c r="LL58" s="436"/>
      <c r="LM58" s="436"/>
      <c r="LN58" s="436"/>
      <c r="LO58" s="436"/>
      <c r="LP58" s="436"/>
      <c r="LQ58" s="436"/>
      <c r="LR58" s="436"/>
      <c r="LS58" s="436"/>
      <c r="LT58" s="436"/>
      <c r="LU58" s="436"/>
      <c r="LV58" s="436"/>
      <c r="LW58" s="436"/>
      <c r="LX58" s="436"/>
      <c r="LY58" s="436"/>
      <c r="LZ58" s="440"/>
      <c r="MA58" s="439"/>
      <c r="MB58" s="436"/>
      <c r="MC58" s="436"/>
      <c r="MD58" s="436"/>
      <c r="ME58" s="436"/>
      <c r="MF58" s="436"/>
      <c r="MG58" s="436"/>
      <c r="MH58" s="436"/>
      <c r="MI58" s="436"/>
      <c r="MJ58" s="436"/>
      <c r="MK58" s="436"/>
      <c r="ML58" s="436"/>
      <c r="MM58" s="436"/>
      <c r="MN58" s="436"/>
      <c r="MO58" s="436"/>
      <c r="MP58" s="436"/>
      <c r="MQ58" s="436"/>
      <c r="MR58" s="436"/>
      <c r="MS58" s="436"/>
      <c r="MT58" s="436"/>
      <c r="MU58" s="436"/>
      <c r="MV58" s="436"/>
      <c r="MW58" s="436"/>
      <c r="MX58" s="436"/>
      <c r="MY58" s="440"/>
      <c r="MZ58" s="439"/>
      <c r="NA58" s="436"/>
      <c r="NB58" s="436"/>
      <c r="NC58" s="436"/>
      <c r="ND58" s="436"/>
      <c r="NE58" s="436"/>
      <c r="NF58" s="436"/>
      <c r="NG58" s="436"/>
      <c r="NH58" s="436"/>
      <c r="NI58" s="436"/>
      <c r="NJ58" s="436"/>
      <c r="NK58" s="436"/>
      <c r="NL58" s="436"/>
      <c r="NM58" s="436"/>
      <c r="NN58" s="436"/>
      <c r="NO58" s="436"/>
      <c r="NP58" s="436"/>
      <c r="NQ58" s="436"/>
      <c r="NR58" s="436"/>
      <c r="NS58" s="436"/>
      <c r="NT58" s="436"/>
      <c r="NU58" s="436"/>
      <c r="NV58" s="436"/>
      <c r="NW58" s="436"/>
      <c r="NX58" s="440"/>
      <c r="NY58" s="439"/>
      <c r="NZ58" s="436"/>
      <c r="OA58" s="436"/>
      <c r="OB58" s="436"/>
      <c r="OC58" s="436"/>
      <c r="OD58" s="436"/>
      <c r="OE58" s="436"/>
      <c r="OF58" s="436"/>
      <c r="OG58" s="436"/>
      <c r="OH58" s="436"/>
      <c r="OI58" s="436"/>
      <c r="OJ58" s="436"/>
      <c r="OK58" s="436"/>
      <c r="OL58" s="436"/>
      <c r="OM58" s="436"/>
      <c r="ON58" s="436"/>
      <c r="OO58" s="436"/>
      <c r="OP58" s="436"/>
      <c r="OQ58" s="436"/>
      <c r="OR58" s="436"/>
      <c r="OS58" s="436"/>
      <c r="OT58" s="436"/>
      <c r="OU58" s="436"/>
      <c r="OV58" s="436"/>
      <c r="OW58" s="440"/>
      <c r="OX58" s="439"/>
      <c r="OY58" s="436"/>
      <c r="OZ58" s="436"/>
      <c r="PA58" s="436"/>
      <c r="PB58" s="436"/>
      <c r="PC58" s="436"/>
      <c r="PD58" s="436"/>
      <c r="PE58" s="436"/>
      <c r="PF58" s="436"/>
      <c r="PG58" s="436"/>
      <c r="PH58" s="436"/>
      <c r="PI58" s="436"/>
      <c r="PJ58" s="436"/>
      <c r="PK58" s="436"/>
      <c r="PL58" s="436"/>
      <c r="PM58" s="436"/>
      <c r="PN58" s="436"/>
      <c r="PO58" s="436"/>
      <c r="PP58" s="436"/>
      <c r="PQ58" s="436"/>
      <c r="PR58" s="436"/>
      <c r="PS58" s="436"/>
      <c r="PT58" s="436"/>
      <c r="PU58" s="436"/>
      <c r="PV58" s="440"/>
      <c r="PW58" s="439"/>
      <c r="PX58" s="436"/>
      <c r="PY58" s="436"/>
      <c r="PZ58" s="436"/>
      <c r="QA58" s="436"/>
      <c r="QB58" s="436"/>
      <c r="QC58" s="436"/>
      <c r="QD58" s="436"/>
      <c r="QE58" s="436"/>
      <c r="QF58" s="436"/>
      <c r="QG58" s="436"/>
      <c r="QH58" s="436"/>
      <c r="QI58" s="436"/>
      <c r="QJ58" s="436"/>
      <c r="QK58" s="436"/>
      <c r="QL58" s="436"/>
      <c r="QM58" s="436"/>
      <c r="QN58" s="436"/>
      <c r="QO58" s="436"/>
      <c r="QP58" s="436"/>
      <c r="QQ58" s="436"/>
      <c r="QR58" s="436"/>
      <c r="QS58" s="436"/>
      <c r="QT58" s="436"/>
      <c r="QU58" s="440"/>
    </row>
    <row r="59" spans="1:463" ht="24" customHeight="1">
      <c r="A59" s="437"/>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47"/>
      <c r="AA59" s="438"/>
      <c r="AB59" s="438"/>
      <c r="AC59" s="438"/>
      <c r="AD59" s="438"/>
      <c r="AE59" s="438"/>
      <c r="AF59" s="437"/>
      <c r="AG59" s="438"/>
      <c r="AH59" s="438"/>
      <c r="AI59" s="438"/>
      <c r="AJ59" s="438"/>
      <c r="AK59" s="438"/>
      <c r="AL59" s="438"/>
      <c r="AM59" s="438"/>
      <c r="AN59" s="438"/>
      <c r="AO59" s="438"/>
      <c r="AP59" s="438"/>
      <c r="AQ59" s="438"/>
      <c r="AR59" s="438"/>
      <c r="AS59" s="438"/>
      <c r="AT59" s="438"/>
      <c r="AU59" s="438"/>
      <c r="AV59" s="438"/>
      <c r="AW59" s="438"/>
      <c r="AX59" s="438"/>
      <c r="AY59" s="438"/>
      <c r="AZ59" s="438"/>
      <c r="BA59" s="438"/>
      <c r="BB59" s="438"/>
      <c r="BC59" s="438"/>
      <c r="BD59" s="447"/>
      <c r="BE59" s="437"/>
      <c r="BF59" s="438"/>
      <c r="BG59" s="438"/>
      <c r="BH59" s="438"/>
      <c r="BI59" s="438"/>
      <c r="BJ59" s="438"/>
      <c r="BK59" s="438"/>
      <c r="BL59" s="438"/>
      <c r="BM59" s="438"/>
      <c r="BN59" s="438"/>
      <c r="BO59" s="438"/>
      <c r="BP59" s="438"/>
      <c r="BQ59" s="438"/>
      <c r="BR59" s="438"/>
      <c r="BS59" s="438"/>
      <c r="BT59" s="438"/>
      <c r="BU59" s="438"/>
      <c r="BV59" s="438"/>
      <c r="BW59" s="438"/>
      <c r="BX59" s="438"/>
      <c r="BY59" s="438"/>
      <c r="BZ59" s="438"/>
      <c r="CA59" s="438"/>
      <c r="CB59" s="438"/>
      <c r="CC59" s="447"/>
      <c r="CD59" s="437"/>
      <c r="CE59" s="438"/>
      <c r="CF59" s="438"/>
      <c r="CG59" s="438"/>
      <c r="CH59" s="438"/>
      <c r="CI59" s="438"/>
      <c r="CJ59" s="438"/>
      <c r="CK59" s="438"/>
      <c r="CL59" s="438"/>
      <c r="CM59" s="438"/>
      <c r="CN59" s="438"/>
      <c r="CO59" s="438"/>
      <c r="CP59" s="438"/>
      <c r="CQ59" s="438"/>
      <c r="CR59" s="438"/>
      <c r="CS59" s="438"/>
      <c r="CT59" s="438"/>
      <c r="CU59" s="438"/>
      <c r="CV59" s="438"/>
      <c r="CW59" s="438"/>
      <c r="CX59" s="438"/>
      <c r="CY59" s="438"/>
      <c r="CZ59" s="438"/>
      <c r="DA59" s="438"/>
      <c r="DB59" s="447"/>
      <c r="DC59" s="437"/>
      <c r="DD59" s="438"/>
      <c r="DE59" s="438"/>
      <c r="DF59" s="438"/>
      <c r="DG59" s="438"/>
      <c r="DH59" s="438"/>
      <c r="DI59" s="438"/>
      <c r="DJ59" s="438"/>
      <c r="DK59" s="438"/>
      <c r="DL59" s="438"/>
      <c r="DM59" s="438"/>
      <c r="DN59" s="438"/>
      <c r="DO59" s="438"/>
      <c r="DP59" s="438"/>
      <c r="DQ59" s="438"/>
      <c r="DR59" s="438"/>
      <c r="DS59" s="438"/>
      <c r="DT59" s="438"/>
      <c r="DU59" s="438"/>
      <c r="DV59" s="438"/>
      <c r="DW59" s="438"/>
      <c r="DX59" s="438"/>
      <c r="DY59" s="438"/>
      <c r="DZ59" s="438"/>
      <c r="EA59" s="447"/>
      <c r="EB59" s="437"/>
      <c r="EC59" s="438"/>
      <c r="ED59" s="438"/>
      <c r="EE59" s="438"/>
      <c r="EF59" s="438"/>
      <c r="EG59" s="438"/>
      <c r="EH59" s="438"/>
      <c r="EI59" s="438"/>
      <c r="EJ59" s="438"/>
      <c r="EK59" s="438"/>
      <c r="EL59" s="438"/>
      <c r="EM59" s="438"/>
      <c r="EN59" s="438"/>
      <c r="EO59" s="438"/>
      <c r="EP59" s="438"/>
      <c r="EQ59" s="438"/>
      <c r="ER59" s="438"/>
      <c r="ES59" s="438"/>
      <c r="ET59" s="438"/>
      <c r="EU59" s="438"/>
      <c r="EV59" s="438"/>
      <c r="EW59" s="438"/>
      <c r="EX59" s="438"/>
      <c r="EY59" s="438"/>
      <c r="EZ59" s="447"/>
      <c r="FA59" s="437"/>
      <c r="FB59" s="438"/>
      <c r="FC59" s="438"/>
      <c r="FD59" s="438"/>
      <c r="FE59" s="438"/>
      <c r="FF59" s="438"/>
      <c r="FG59" s="438"/>
      <c r="FH59" s="438"/>
      <c r="FI59" s="438"/>
      <c r="FJ59" s="438"/>
      <c r="FK59" s="438"/>
      <c r="FL59" s="438"/>
      <c r="FM59" s="438"/>
      <c r="FN59" s="438"/>
      <c r="FO59" s="438"/>
      <c r="FP59" s="438"/>
      <c r="FQ59" s="438"/>
      <c r="FR59" s="438"/>
      <c r="FS59" s="438"/>
      <c r="FT59" s="438"/>
      <c r="FU59" s="438"/>
      <c r="FV59" s="438"/>
      <c r="FW59" s="438"/>
      <c r="FX59" s="438"/>
      <c r="FY59" s="447"/>
      <c r="FZ59" s="437"/>
      <c r="GA59" s="438"/>
      <c r="GB59" s="438"/>
      <c r="GC59" s="438"/>
      <c r="GD59" s="438"/>
      <c r="GE59" s="438"/>
      <c r="GF59" s="438"/>
      <c r="GG59" s="438"/>
      <c r="GH59" s="438"/>
      <c r="GI59" s="438"/>
      <c r="GJ59" s="438"/>
      <c r="GK59" s="438"/>
      <c r="GL59" s="438"/>
      <c r="GM59" s="438"/>
      <c r="GN59" s="438"/>
      <c r="GO59" s="438"/>
      <c r="GP59" s="438"/>
      <c r="GQ59" s="438"/>
      <c r="GR59" s="438"/>
      <c r="GS59" s="438"/>
      <c r="GT59" s="438"/>
      <c r="GU59" s="438"/>
      <c r="GV59" s="438"/>
      <c r="GW59" s="438"/>
      <c r="GX59" s="447"/>
      <c r="GY59" s="437"/>
      <c r="GZ59" s="438"/>
      <c r="HA59" s="438"/>
      <c r="HB59" s="438"/>
      <c r="HC59" s="438"/>
      <c r="HD59" s="438"/>
      <c r="HE59" s="438"/>
      <c r="HF59" s="438"/>
      <c r="HG59" s="438"/>
      <c r="HH59" s="438"/>
      <c r="HI59" s="438"/>
      <c r="HJ59" s="438"/>
      <c r="HK59" s="438"/>
      <c r="HL59" s="438"/>
      <c r="HM59" s="438"/>
      <c r="HN59" s="438"/>
      <c r="HO59" s="438"/>
      <c r="HP59" s="438"/>
      <c r="HQ59" s="438"/>
      <c r="HR59" s="438"/>
      <c r="HS59" s="438"/>
      <c r="HT59" s="438"/>
      <c r="HU59" s="438"/>
      <c r="HV59" s="438"/>
      <c r="HW59" s="447"/>
      <c r="KC59" s="435"/>
      <c r="KD59" s="435"/>
      <c r="KE59" s="435"/>
      <c r="KF59" s="435"/>
      <c r="KG59" s="435"/>
      <c r="KH59" s="435"/>
      <c r="KI59" s="435"/>
      <c r="KJ59" s="435"/>
      <c r="KK59" s="435"/>
      <c r="KL59" s="435"/>
      <c r="KM59" s="435"/>
      <c r="LB59" s="439"/>
      <c r="LC59" s="436"/>
      <c r="LD59" s="436"/>
      <c r="LE59" s="436"/>
      <c r="LF59" s="436"/>
      <c r="LG59" s="436"/>
      <c r="LH59" s="436"/>
      <c r="LI59" s="436"/>
      <c r="LJ59" s="436"/>
      <c r="LK59" s="436"/>
      <c r="LL59" s="436"/>
      <c r="LM59" s="436"/>
      <c r="LN59" s="436"/>
      <c r="LO59" s="436"/>
      <c r="LP59" s="436"/>
      <c r="LQ59" s="436"/>
      <c r="LR59" s="436"/>
      <c r="LS59" s="436"/>
      <c r="LT59" s="436"/>
      <c r="LU59" s="436"/>
      <c r="LV59" s="436"/>
      <c r="LW59" s="436"/>
      <c r="LX59" s="436"/>
      <c r="LY59" s="436"/>
      <c r="LZ59" s="440"/>
      <c r="MA59" s="439"/>
      <c r="MB59" s="436"/>
      <c r="MC59" s="436"/>
      <c r="MD59" s="436"/>
      <c r="ME59" s="436"/>
      <c r="MF59" s="436"/>
      <c r="MG59" s="436"/>
      <c r="MH59" s="436"/>
      <c r="MI59" s="436"/>
      <c r="MJ59" s="436"/>
      <c r="MK59" s="436"/>
      <c r="ML59" s="436"/>
      <c r="MM59" s="436"/>
      <c r="MN59" s="436"/>
      <c r="MO59" s="436"/>
      <c r="MP59" s="436"/>
      <c r="MQ59" s="436"/>
      <c r="MR59" s="436"/>
      <c r="MS59" s="436"/>
      <c r="MT59" s="436"/>
      <c r="MU59" s="436"/>
      <c r="MV59" s="436"/>
      <c r="MW59" s="436"/>
      <c r="MX59" s="436"/>
      <c r="MY59" s="440"/>
      <c r="MZ59" s="439"/>
      <c r="NA59" s="436"/>
      <c r="NB59" s="436"/>
      <c r="NC59" s="436"/>
      <c r="ND59" s="436"/>
      <c r="NE59" s="436"/>
      <c r="NF59" s="436"/>
      <c r="NG59" s="436"/>
      <c r="NH59" s="436"/>
      <c r="NI59" s="436"/>
      <c r="NJ59" s="436"/>
      <c r="NK59" s="436"/>
      <c r="NL59" s="436"/>
      <c r="NM59" s="436"/>
      <c r="NN59" s="436"/>
      <c r="NO59" s="436"/>
      <c r="NP59" s="436"/>
      <c r="NQ59" s="436"/>
      <c r="NR59" s="436"/>
      <c r="NS59" s="436"/>
      <c r="NT59" s="436"/>
      <c r="NU59" s="436"/>
      <c r="NV59" s="436"/>
      <c r="NW59" s="436"/>
      <c r="NX59" s="440"/>
      <c r="NY59" s="439"/>
      <c r="NZ59" s="436"/>
      <c r="OA59" s="436"/>
      <c r="OB59" s="436"/>
      <c r="OC59" s="436"/>
      <c r="OD59" s="436"/>
      <c r="OE59" s="436"/>
      <c r="OF59" s="436"/>
      <c r="OG59" s="436"/>
      <c r="OH59" s="436"/>
      <c r="OI59" s="436"/>
      <c r="OJ59" s="436"/>
      <c r="OK59" s="436"/>
      <c r="OL59" s="436"/>
      <c r="OM59" s="436"/>
      <c r="ON59" s="436"/>
      <c r="OO59" s="436"/>
      <c r="OP59" s="436"/>
      <c r="OQ59" s="436"/>
      <c r="OR59" s="436"/>
      <c r="OS59" s="436"/>
      <c r="OT59" s="436"/>
      <c r="OU59" s="436"/>
      <c r="OV59" s="436"/>
      <c r="OW59" s="440"/>
      <c r="OX59" s="439"/>
      <c r="OY59" s="436"/>
      <c r="OZ59" s="436"/>
      <c r="PA59" s="436"/>
      <c r="PB59" s="436"/>
      <c r="PC59" s="436"/>
      <c r="PD59" s="436"/>
      <c r="PE59" s="436"/>
      <c r="PF59" s="436"/>
      <c r="PG59" s="436"/>
      <c r="PH59" s="436"/>
      <c r="PI59" s="436"/>
      <c r="PJ59" s="436"/>
      <c r="PK59" s="436"/>
      <c r="PL59" s="436"/>
      <c r="PM59" s="436"/>
      <c r="PN59" s="436"/>
      <c r="PO59" s="436"/>
      <c r="PP59" s="436"/>
      <c r="PQ59" s="436"/>
      <c r="PR59" s="436"/>
      <c r="PS59" s="436"/>
      <c r="PT59" s="436"/>
      <c r="PU59" s="436"/>
      <c r="PV59" s="440"/>
      <c r="PW59" s="439"/>
      <c r="PX59" s="436"/>
      <c r="PY59" s="436"/>
      <c r="PZ59" s="436"/>
      <c r="QA59" s="436"/>
      <c r="QB59" s="436"/>
      <c r="QC59" s="436"/>
      <c r="QD59" s="436"/>
      <c r="QE59" s="436"/>
      <c r="QF59" s="436"/>
      <c r="QG59" s="436"/>
      <c r="QH59" s="436"/>
      <c r="QI59" s="436"/>
      <c r="QJ59" s="436"/>
      <c r="QK59" s="436"/>
      <c r="QL59" s="436"/>
      <c r="QM59" s="436"/>
      <c r="QN59" s="436"/>
      <c r="QO59" s="436"/>
      <c r="QP59" s="436"/>
      <c r="QQ59" s="436"/>
      <c r="QR59" s="436"/>
      <c r="QS59" s="436"/>
      <c r="QT59" s="436"/>
      <c r="QU59" s="440"/>
    </row>
    <row r="60" spans="1:463" ht="24" customHeight="1">
      <c r="A60" s="439"/>
      <c r="B60" s="436"/>
      <c r="C60" s="436"/>
      <c r="D60" s="436"/>
      <c r="E60" s="436"/>
      <c r="F60" s="436"/>
      <c r="G60" s="436"/>
      <c r="H60" s="436"/>
      <c r="I60" s="436"/>
      <c r="J60" s="436"/>
      <c r="K60" s="436"/>
      <c r="L60" s="436"/>
      <c r="M60" s="436"/>
      <c r="N60" s="436"/>
      <c r="O60" s="436"/>
      <c r="P60" s="436"/>
      <c r="Q60" s="436"/>
      <c r="R60" s="436"/>
      <c r="S60" s="436"/>
      <c r="T60" s="436"/>
      <c r="U60" s="436"/>
      <c r="V60" s="436"/>
      <c r="W60" s="436"/>
      <c r="X60" s="436"/>
      <c r="Y60" s="436"/>
      <c r="Z60" s="440"/>
      <c r="AA60" s="436"/>
      <c r="AB60" s="436"/>
      <c r="AC60" s="436"/>
      <c r="AD60" s="436"/>
      <c r="AE60" s="436"/>
      <c r="AF60" s="439"/>
      <c r="AG60" s="436"/>
      <c r="AH60" s="436"/>
      <c r="AI60" s="436"/>
      <c r="AJ60" s="436"/>
      <c r="AK60" s="436"/>
      <c r="AL60" s="436"/>
      <c r="AM60" s="436"/>
      <c r="AN60" s="436"/>
      <c r="AO60" s="436"/>
      <c r="AP60" s="436"/>
      <c r="AQ60" s="436"/>
      <c r="AR60" s="436"/>
      <c r="AS60" s="436"/>
      <c r="AT60" s="436"/>
      <c r="AU60" s="436"/>
      <c r="AV60" s="436"/>
      <c r="AW60" s="436"/>
      <c r="AX60" s="436"/>
      <c r="AY60" s="436"/>
      <c r="AZ60" s="436"/>
      <c r="BA60" s="436"/>
      <c r="BB60" s="436"/>
      <c r="BC60" s="436"/>
      <c r="BD60" s="440"/>
      <c r="BE60" s="439"/>
      <c r="BF60" s="436"/>
      <c r="BG60" s="436"/>
      <c r="BH60" s="436"/>
      <c r="BI60" s="436"/>
      <c r="BJ60" s="436"/>
      <c r="BK60" s="436"/>
      <c r="BL60" s="436"/>
      <c r="BM60" s="436"/>
      <c r="BN60" s="436"/>
      <c r="BO60" s="436"/>
      <c r="BP60" s="436"/>
      <c r="BQ60" s="436"/>
      <c r="BR60" s="436"/>
      <c r="BS60" s="436"/>
      <c r="BT60" s="436"/>
      <c r="BU60" s="436"/>
      <c r="BV60" s="436"/>
      <c r="BW60" s="436"/>
      <c r="BX60" s="436"/>
      <c r="BY60" s="436"/>
      <c r="BZ60" s="436"/>
      <c r="CA60" s="436"/>
      <c r="CB60" s="436"/>
      <c r="CC60" s="440"/>
      <c r="CD60" s="439"/>
      <c r="CE60" s="436"/>
      <c r="CF60" s="436"/>
      <c r="CG60" s="436"/>
      <c r="CH60" s="436"/>
      <c r="CI60" s="436"/>
      <c r="CJ60" s="436"/>
      <c r="CK60" s="436"/>
      <c r="CL60" s="436"/>
      <c r="CM60" s="436"/>
      <c r="CN60" s="436"/>
      <c r="CO60" s="436"/>
      <c r="CP60" s="436"/>
      <c r="CQ60" s="436"/>
      <c r="CR60" s="436"/>
      <c r="CS60" s="436"/>
      <c r="CT60" s="436"/>
      <c r="CU60" s="436"/>
      <c r="CV60" s="436"/>
      <c r="CW60" s="436"/>
      <c r="CX60" s="436"/>
      <c r="CY60" s="436"/>
      <c r="CZ60" s="436"/>
      <c r="DA60" s="436"/>
      <c r="DB60" s="440"/>
      <c r="DC60" s="439"/>
      <c r="DD60" s="436"/>
      <c r="DE60" s="436"/>
      <c r="DF60" s="436"/>
      <c r="DG60" s="436"/>
      <c r="DH60" s="436"/>
      <c r="DI60" s="436"/>
      <c r="DJ60" s="436"/>
      <c r="DK60" s="436"/>
      <c r="DL60" s="436"/>
      <c r="DM60" s="436"/>
      <c r="DN60" s="436"/>
      <c r="DO60" s="436"/>
      <c r="DP60" s="436"/>
      <c r="DQ60" s="436"/>
      <c r="DR60" s="436"/>
      <c r="DS60" s="436"/>
      <c r="DT60" s="436"/>
      <c r="DU60" s="436"/>
      <c r="DV60" s="436"/>
      <c r="DW60" s="436"/>
      <c r="DX60" s="436"/>
      <c r="DY60" s="436"/>
      <c r="DZ60" s="436"/>
      <c r="EA60" s="440"/>
      <c r="EB60" s="439"/>
      <c r="EC60" s="436"/>
      <c r="ED60" s="436"/>
      <c r="EE60" s="436"/>
      <c r="EF60" s="436"/>
      <c r="EG60" s="436"/>
      <c r="EH60" s="436"/>
      <c r="EI60" s="436"/>
      <c r="EJ60" s="436"/>
      <c r="EK60" s="436"/>
      <c r="EL60" s="436"/>
      <c r="EM60" s="436"/>
      <c r="EN60" s="436"/>
      <c r="EO60" s="436"/>
      <c r="EP60" s="436"/>
      <c r="EQ60" s="436"/>
      <c r="ER60" s="436"/>
      <c r="ES60" s="436"/>
      <c r="ET60" s="436"/>
      <c r="EU60" s="436"/>
      <c r="EV60" s="436"/>
      <c r="EW60" s="436"/>
      <c r="EX60" s="436"/>
      <c r="EY60" s="436"/>
      <c r="EZ60" s="440"/>
      <c r="FA60" s="439"/>
      <c r="FB60" s="436"/>
      <c r="FC60" s="436"/>
      <c r="FD60" s="436"/>
      <c r="FE60" s="436"/>
      <c r="FF60" s="436"/>
      <c r="FG60" s="436"/>
      <c r="FH60" s="436"/>
      <c r="FI60" s="436"/>
      <c r="FJ60" s="436"/>
      <c r="FK60" s="436"/>
      <c r="FL60" s="436"/>
      <c r="FM60" s="436"/>
      <c r="FN60" s="436"/>
      <c r="FO60" s="436"/>
      <c r="FP60" s="436"/>
      <c r="FQ60" s="436"/>
      <c r="FR60" s="436"/>
      <c r="FS60" s="436"/>
      <c r="FT60" s="436"/>
      <c r="FU60" s="436"/>
      <c r="FV60" s="436"/>
      <c r="FW60" s="436"/>
      <c r="FX60" s="436"/>
      <c r="FY60" s="440"/>
      <c r="FZ60" s="439"/>
      <c r="GA60" s="436"/>
      <c r="GB60" s="436"/>
      <c r="GC60" s="436"/>
      <c r="GD60" s="436"/>
      <c r="GE60" s="436"/>
      <c r="GF60" s="436"/>
      <c r="GG60" s="436"/>
      <c r="GH60" s="436"/>
      <c r="GI60" s="436"/>
      <c r="GJ60" s="436"/>
      <c r="GK60" s="436"/>
      <c r="GL60" s="436"/>
      <c r="GM60" s="436"/>
      <c r="GN60" s="436"/>
      <c r="GO60" s="436"/>
      <c r="GP60" s="436"/>
      <c r="GQ60" s="436"/>
      <c r="GR60" s="436"/>
      <c r="GS60" s="436"/>
      <c r="GT60" s="436"/>
      <c r="GU60" s="436"/>
      <c r="GV60" s="436"/>
      <c r="GW60" s="436"/>
      <c r="GX60" s="440"/>
      <c r="GY60" s="439"/>
      <c r="GZ60" s="436"/>
      <c r="HA60" s="436"/>
      <c r="HB60" s="436"/>
      <c r="HC60" s="436"/>
      <c r="HD60" s="436"/>
      <c r="HE60" s="436"/>
      <c r="HF60" s="436"/>
      <c r="HG60" s="436"/>
      <c r="HH60" s="436"/>
      <c r="HI60" s="436"/>
      <c r="HJ60" s="436"/>
      <c r="HK60" s="436"/>
      <c r="HL60" s="436"/>
      <c r="HM60" s="436"/>
      <c r="HN60" s="436"/>
      <c r="HO60" s="436"/>
      <c r="HP60" s="436"/>
      <c r="HQ60" s="436"/>
      <c r="HR60" s="436"/>
      <c r="HS60" s="436"/>
      <c r="HT60" s="436"/>
      <c r="HU60" s="436"/>
      <c r="HV60" s="436"/>
      <c r="HW60" s="440"/>
      <c r="KC60" s="435"/>
      <c r="KD60" s="435"/>
      <c r="KE60" s="435"/>
      <c r="KF60" s="435"/>
      <c r="KG60" s="435"/>
      <c r="KH60" s="435"/>
      <c r="KI60" s="435"/>
      <c r="KJ60" s="435"/>
      <c r="KK60" s="435"/>
      <c r="KL60" s="435"/>
      <c r="KM60" s="435"/>
      <c r="LB60" s="439"/>
      <c r="LC60" s="436"/>
      <c r="LD60" s="436"/>
      <c r="LE60" s="436"/>
      <c r="LF60" s="436"/>
      <c r="LG60" s="436"/>
      <c r="LH60" s="436"/>
      <c r="LI60" s="436"/>
      <c r="LJ60" s="436"/>
      <c r="LK60" s="436"/>
      <c r="LL60" s="436"/>
      <c r="LM60" s="436"/>
      <c r="LN60" s="436"/>
      <c r="LO60" s="436"/>
      <c r="LP60" s="436"/>
      <c r="LQ60" s="436"/>
      <c r="LR60" s="436"/>
      <c r="LS60" s="436"/>
      <c r="LT60" s="436"/>
      <c r="LU60" s="436"/>
      <c r="LV60" s="436"/>
      <c r="LW60" s="436"/>
      <c r="LX60" s="436"/>
      <c r="LY60" s="436"/>
      <c r="LZ60" s="440"/>
      <c r="MA60" s="439"/>
      <c r="MB60" s="436"/>
      <c r="MC60" s="436"/>
      <c r="MD60" s="436"/>
      <c r="ME60" s="436"/>
      <c r="MF60" s="436"/>
      <c r="MG60" s="436"/>
      <c r="MH60" s="436"/>
      <c r="MI60" s="436"/>
      <c r="MJ60" s="436"/>
      <c r="MK60" s="436"/>
      <c r="ML60" s="436"/>
      <c r="MM60" s="436"/>
      <c r="MN60" s="436"/>
      <c r="MO60" s="436"/>
      <c r="MP60" s="436"/>
      <c r="MQ60" s="436"/>
      <c r="MR60" s="436"/>
      <c r="MS60" s="436"/>
      <c r="MT60" s="436"/>
      <c r="MU60" s="436"/>
      <c r="MV60" s="436"/>
      <c r="MW60" s="436"/>
      <c r="MX60" s="436"/>
      <c r="MY60" s="440"/>
      <c r="MZ60" s="439"/>
      <c r="NA60" s="436"/>
      <c r="NB60" s="436"/>
      <c r="NC60" s="436"/>
      <c r="ND60" s="436"/>
      <c r="NE60" s="436"/>
      <c r="NF60" s="436"/>
      <c r="NG60" s="436"/>
      <c r="NH60" s="436"/>
      <c r="NI60" s="436"/>
      <c r="NJ60" s="436"/>
      <c r="NK60" s="436"/>
      <c r="NL60" s="436"/>
      <c r="NM60" s="436"/>
      <c r="NN60" s="436"/>
      <c r="NO60" s="436"/>
      <c r="NP60" s="436"/>
      <c r="NQ60" s="436"/>
      <c r="NR60" s="436"/>
      <c r="NS60" s="436"/>
      <c r="NT60" s="436"/>
      <c r="NU60" s="436"/>
      <c r="NV60" s="436"/>
      <c r="NW60" s="436"/>
      <c r="NX60" s="440"/>
      <c r="NY60" s="439"/>
      <c r="NZ60" s="436"/>
      <c r="OA60" s="436"/>
      <c r="OB60" s="436"/>
      <c r="OC60" s="436"/>
      <c r="OD60" s="436"/>
      <c r="OE60" s="436"/>
      <c r="OF60" s="436"/>
      <c r="OG60" s="436"/>
      <c r="OH60" s="436"/>
      <c r="OI60" s="436"/>
      <c r="OJ60" s="436"/>
      <c r="OK60" s="436"/>
      <c r="OL60" s="436"/>
      <c r="OM60" s="436"/>
      <c r="ON60" s="436"/>
      <c r="OO60" s="436"/>
      <c r="OP60" s="436"/>
      <c r="OQ60" s="436"/>
      <c r="OR60" s="436"/>
      <c r="OS60" s="436"/>
      <c r="OT60" s="436"/>
      <c r="OU60" s="436"/>
      <c r="OV60" s="436"/>
      <c r="OW60" s="440"/>
      <c r="OX60" s="439"/>
      <c r="OY60" s="436"/>
      <c r="OZ60" s="436"/>
      <c r="PA60" s="436"/>
      <c r="PB60" s="436"/>
      <c r="PC60" s="436"/>
      <c r="PD60" s="436"/>
      <c r="PE60" s="436"/>
      <c r="PF60" s="436"/>
      <c r="PG60" s="436"/>
      <c r="PH60" s="436"/>
      <c r="PI60" s="436"/>
      <c r="PJ60" s="436"/>
      <c r="PK60" s="436"/>
      <c r="PL60" s="436"/>
      <c r="PM60" s="436"/>
      <c r="PN60" s="436"/>
      <c r="PO60" s="436"/>
      <c r="PP60" s="436"/>
      <c r="PQ60" s="436"/>
      <c r="PR60" s="436"/>
      <c r="PS60" s="436"/>
      <c r="PT60" s="436"/>
      <c r="PU60" s="436"/>
      <c r="PV60" s="440"/>
      <c r="PW60" s="439"/>
      <c r="PX60" s="436"/>
      <c r="PY60" s="436"/>
      <c r="PZ60" s="436"/>
      <c r="QA60" s="436"/>
      <c r="QB60" s="436"/>
      <c r="QC60" s="436"/>
      <c r="QD60" s="436"/>
      <c r="QE60" s="436"/>
      <c r="QF60" s="436"/>
      <c r="QG60" s="436"/>
      <c r="QH60" s="436"/>
      <c r="QI60" s="436"/>
      <c r="QJ60" s="436"/>
      <c r="QK60" s="436"/>
      <c r="QL60" s="436"/>
      <c r="QM60" s="436"/>
      <c r="QN60" s="436"/>
      <c r="QO60" s="436"/>
      <c r="QP60" s="436"/>
      <c r="QQ60" s="436"/>
      <c r="QR60" s="436"/>
      <c r="QS60" s="436"/>
      <c r="QT60" s="436"/>
      <c r="QU60" s="440"/>
    </row>
    <row r="61" spans="1:463" ht="24" customHeight="1">
      <c r="A61" s="439"/>
      <c r="B61" s="436"/>
      <c r="C61" s="436"/>
      <c r="D61" s="436"/>
      <c r="E61" s="436"/>
      <c r="F61" s="436"/>
      <c r="G61" s="436"/>
      <c r="H61" s="436"/>
      <c r="I61" s="436"/>
      <c r="J61" s="436"/>
      <c r="K61" s="436"/>
      <c r="L61" s="436"/>
      <c r="M61" s="436"/>
      <c r="N61" s="436"/>
      <c r="O61" s="436"/>
      <c r="P61" s="436"/>
      <c r="Q61" s="436"/>
      <c r="R61" s="436"/>
      <c r="S61" s="436"/>
      <c r="T61" s="436"/>
      <c r="U61" s="436"/>
      <c r="V61" s="436"/>
      <c r="W61" s="436"/>
      <c r="X61" s="436"/>
      <c r="Y61" s="436"/>
      <c r="Z61" s="440"/>
      <c r="AA61" s="436"/>
      <c r="AB61" s="436"/>
      <c r="AC61" s="436"/>
      <c r="AD61" s="436"/>
      <c r="AE61" s="436"/>
      <c r="AF61" s="439"/>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40"/>
      <c r="BE61" s="439"/>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40"/>
      <c r="CD61" s="439"/>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40"/>
      <c r="DC61" s="439"/>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40"/>
      <c r="EB61" s="439"/>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40"/>
      <c r="FA61" s="439"/>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40"/>
      <c r="FZ61" s="439"/>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40"/>
      <c r="GY61" s="439"/>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40"/>
      <c r="KC61" s="435"/>
      <c r="KD61" s="435"/>
      <c r="KE61" s="435"/>
      <c r="KF61" s="435"/>
      <c r="KG61" s="435"/>
      <c r="KH61" s="435"/>
      <c r="KI61" s="435"/>
      <c r="KJ61" s="435"/>
      <c r="KK61" s="435"/>
      <c r="KL61" s="435"/>
      <c r="KM61" s="435"/>
      <c r="LB61" s="439"/>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40"/>
      <c r="MA61" s="439"/>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40"/>
      <c r="MZ61" s="439"/>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40"/>
      <c r="NY61" s="439"/>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40"/>
      <c r="OX61" s="439"/>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40"/>
      <c r="PW61" s="439"/>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40"/>
    </row>
    <row r="62" spans="1:463" ht="24" customHeight="1">
      <c r="A62" s="439"/>
      <c r="B62" s="436"/>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40"/>
      <c r="AA62" s="436"/>
      <c r="AB62" s="436"/>
      <c r="AC62" s="436"/>
      <c r="AD62" s="436"/>
      <c r="AE62" s="436"/>
      <c r="AF62" s="439"/>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40"/>
      <c r="BE62" s="439"/>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40"/>
      <c r="CD62" s="439"/>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40"/>
      <c r="DC62" s="439"/>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40"/>
      <c r="EB62" s="439"/>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40"/>
      <c r="FA62" s="439"/>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40"/>
      <c r="FZ62" s="439"/>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40"/>
      <c r="GY62" s="439"/>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40"/>
      <c r="KE62" s="435"/>
      <c r="KF62" s="435"/>
      <c r="KG62" s="435"/>
      <c r="KH62" s="435"/>
      <c r="KI62" s="435"/>
      <c r="KJ62" s="435"/>
      <c r="KK62" s="435"/>
      <c r="KL62" s="435"/>
      <c r="KM62" s="435"/>
      <c r="LB62" s="439"/>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40"/>
      <c r="MA62" s="439"/>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40"/>
      <c r="MZ62" s="439"/>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40"/>
      <c r="NY62" s="439"/>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40"/>
      <c r="OX62" s="439"/>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40"/>
      <c r="PW62" s="439"/>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40"/>
    </row>
    <row r="63" spans="1:463" ht="24" customHeight="1" thickBot="1">
      <c r="A63" s="439"/>
      <c r="B63" s="436"/>
      <c r="C63" s="436"/>
      <c r="D63" s="436"/>
      <c r="E63" s="436"/>
      <c r="F63" s="436"/>
      <c r="G63" s="436"/>
      <c r="H63" s="436"/>
      <c r="I63" s="436"/>
      <c r="J63" s="436"/>
      <c r="K63" s="436"/>
      <c r="L63" s="436"/>
      <c r="M63" s="436"/>
      <c r="N63" s="436"/>
      <c r="O63" s="436"/>
      <c r="P63" s="436"/>
      <c r="Q63" s="436"/>
      <c r="R63" s="436"/>
      <c r="S63" s="436"/>
      <c r="T63" s="436"/>
      <c r="U63" s="436"/>
      <c r="V63" s="436"/>
      <c r="W63" s="436"/>
      <c r="X63" s="436"/>
      <c r="Y63" s="436"/>
      <c r="Z63" s="440"/>
      <c r="AA63" s="436"/>
      <c r="AB63" s="436"/>
      <c r="AC63" s="436"/>
      <c r="AD63" s="436"/>
      <c r="AE63" s="436"/>
      <c r="AF63" s="439"/>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40"/>
      <c r="BE63" s="439"/>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40"/>
      <c r="CD63" s="439"/>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40"/>
      <c r="DC63" s="439"/>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40"/>
      <c r="EB63" s="439"/>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40"/>
      <c r="FA63" s="439"/>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40"/>
      <c r="FZ63" s="439"/>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40"/>
      <c r="GY63" s="439"/>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40"/>
      <c r="KE63" s="435"/>
      <c r="KF63" s="435"/>
      <c r="KG63" s="435"/>
      <c r="KH63" s="435"/>
      <c r="KI63" s="435"/>
      <c r="KJ63" s="435"/>
      <c r="KK63" s="435"/>
      <c r="KL63" s="435"/>
      <c r="KM63" s="435"/>
      <c r="LB63" s="439"/>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40"/>
      <c r="MA63" s="439"/>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40"/>
      <c r="MZ63" s="439"/>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40"/>
      <c r="NY63" s="439"/>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40"/>
      <c r="OX63" s="439"/>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40"/>
      <c r="PW63" s="439"/>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40"/>
    </row>
    <row r="64" spans="1:463" ht="24" customHeight="1" thickBot="1">
      <c r="A64" s="439"/>
      <c r="B64" s="436"/>
      <c r="C64" s="436"/>
      <c r="D64" s="436"/>
      <c r="E64" s="436"/>
      <c r="F64" s="436"/>
      <c r="G64" s="436"/>
      <c r="H64" s="436"/>
      <c r="I64" s="436"/>
      <c r="J64" s="436"/>
      <c r="K64" s="436"/>
      <c r="L64" s="436"/>
      <c r="M64" s="436"/>
      <c r="N64" s="436"/>
      <c r="O64" s="436"/>
      <c r="P64" s="436"/>
      <c r="Q64" s="436"/>
      <c r="R64" s="436"/>
      <c r="S64" s="436"/>
      <c r="T64" s="436"/>
      <c r="U64" s="436"/>
      <c r="V64" s="436"/>
      <c r="W64" s="436"/>
      <c r="X64" s="436"/>
      <c r="Y64" s="436"/>
      <c r="Z64" s="440"/>
      <c r="AA64" s="436"/>
      <c r="AB64" s="436"/>
      <c r="AC64" s="436"/>
      <c r="AD64" s="436"/>
      <c r="AE64" s="436"/>
      <c r="AF64" s="439"/>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40"/>
      <c r="BE64" s="439"/>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40"/>
      <c r="CD64" s="439"/>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40"/>
      <c r="DC64" s="439"/>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40"/>
      <c r="EB64" s="439"/>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40"/>
      <c r="FA64" s="439"/>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40"/>
      <c r="FZ64" s="439"/>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40"/>
      <c r="GY64" s="439"/>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40"/>
      <c r="KE64" s="435"/>
      <c r="KG64" s="446"/>
      <c r="KH64" s="449"/>
      <c r="LB64" s="439"/>
      <c r="LC64" s="441"/>
      <c r="LD64" s="441"/>
      <c r="LE64" s="441"/>
      <c r="LF64" s="436"/>
      <c r="LG64" s="436"/>
      <c r="LH64" s="436"/>
      <c r="LI64" s="436"/>
      <c r="LJ64" s="436"/>
      <c r="LK64" s="436"/>
      <c r="LL64" s="436"/>
      <c r="LM64" s="436"/>
      <c r="LN64" s="436"/>
      <c r="LO64" s="436"/>
      <c r="LP64" s="436"/>
      <c r="LQ64" s="436"/>
      <c r="LR64" s="436"/>
      <c r="LS64" s="436"/>
      <c r="LT64" s="436"/>
      <c r="LU64" s="436"/>
      <c r="LV64" s="436"/>
      <c r="LW64" s="436"/>
      <c r="LX64" s="436"/>
      <c r="LY64" s="436"/>
      <c r="LZ64" s="440"/>
      <c r="MA64" s="439"/>
      <c r="MB64" s="441"/>
      <c r="MC64" s="441"/>
      <c r="MD64" s="441"/>
      <c r="ME64" s="436"/>
      <c r="MF64" s="436"/>
      <c r="MG64" s="436"/>
      <c r="MH64" s="436"/>
      <c r="MI64" s="436"/>
      <c r="MJ64" s="436"/>
      <c r="MK64" s="436"/>
      <c r="ML64" s="436"/>
      <c r="MM64" s="436"/>
      <c r="MN64" s="436"/>
      <c r="MO64" s="436"/>
      <c r="MP64" s="436"/>
      <c r="MQ64" s="436"/>
      <c r="MR64" s="436"/>
      <c r="MS64" s="436"/>
      <c r="MT64" s="436"/>
      <c r="MU64" s="436"/>
      <c r="MV64" s="436"/>
      <c r="MW64" s="436"/>
      <c r="MX64" s="436"/>
      <c r="MY64" s="440"/>
      <c r="MZ64" s="439"/>
      <c r="NA64" s="441"/>
      <c r="NB64" s="441"/>
      <c r="NC64" s="441"/>
      <c r="ND64" s="436"/>
      <c r="NE64" s="436"/>
      <c r="NF64" s="436"/>
      <c r="NG64" s="436"/>
      <c r="NH64" s="436"/>
      <c r="NI64" s="436"/>
      <c r="NJ64" s="436"/>
      <c r="NK64" s="436"/>
      <c r="NL64" s="436"/>
      <c r="NM64" s="436"/>
      <c r="NN64" s="436"/>
      <c r="NO64" s="436"/>
      <c r="NP64" s="436"/>
      <c r="NQ64" s="436"/>
      <c r="NR64" s="436"/>
      <c r="NS64" s="436"/>
      <c r="NT64" s="436"/>
      <c r="NU64" s="436"/>
      <c r="NV64" s="436"/>
      <c r="NW64" s="436"/>
      <c r="NX64" s="440"/>
      <c r="NY64" s="439"/>
      <c r="NZ64" s="441"/>
      <c r="OA64" s="441"/>
      <c r="OB64" s="441"/>
      <c r="OC64" s="436"/>
      <c r="OD64" s="436"/>
      <c r="OE64" s="436"/>
      <c r="OF64" s="436"/>
      <c r="OG64" s="436"/>
      <c r="OH64" s="436"/>
      <c r="OI64" s="436"/>
      <c r="OJ64" s="436"/>
      <c r="OK64" s="436"/>
      <c r="OL64" s="436"/>
      <c r="OM64" s="436"/>
      <c r="ON64" s="436"/>
      <c r="OO64" s="436"/>
      <c r="OP64" s="436"/>
      <c r="OQ64" s="436"/>
      <c r="OR64" s="436"/>
      <c r="OS64" s="436"/>
      <c r="OT64" s="436"/>
      <c r="OU64" s="436"/>
      <c r="OV64" s="436"/>
      <c r="OW64" s="440"/>
      <c r="OX64" s="439"/>
      <c r="OY64" s="441"/>
      <c r="OZ64" s="441"/>
      <c r="PA64" s="441"/>
      <c r="PB64" s="436"/>
      <c r="PC64" s="436"/>
      <c r="PD64" s="436"/>
      <c r="PE64" s="436"/>
      <c r="PF64" s="436"/>
      <c r="PG64" s="436"/>
      <c r="PH64" s="436"/>
      <c r="PI64" s="436"/>
      <c r="PJ64" s="436"/>
      <c r="PK64" s="436"/>
      <c r="PL64" s="436"/>
      <c r="PM64" s="436"/>
      <c r="PN64" s="436"/>
      <c r="PO64" s="436"/>
      <c r="PP64" s="436"/>
      <c r="PQ64" s="436"/>
      <c r="PR64" s="436"/>
      <c r="PS64" s="436"/>
      <c r="PT64" s="436"/>
      <c r="PU64" s="436"/>
      <c r="PV64" s="440"/>
      <c r="PW64" s="439"/>
      <c r="PX64" s="441"/>
      <c r="PY64" s="441"/>
      <c r="PZ64" s="441"/>
      <c r="QA64" s="436"/>
      <c r="QB64" s="436"/>
      <c r="QC64" s="436"/>
      <c r="QD64" s="436"/>
      <c r="QE64" s="436"/>
      <c r="QF64" s="436"/>
      <c r="QG64" s="436"/>
      <c r="QH64" s="436"/>
      <c r="QI64" s="436"/>
      <c r="QJ64" s="436"/>
      <c r="QK64" s="436"/>
      <c r="QL64" s="436"/>
      <c r="QM64" s="436"/>
      <c r="QN64" s="436"/>
      <c r="QO64" s="436"/>
      <c r="QP64" s="436"/>
      <c r="QQ64" s="436"/>
      <c r="QR64" s="436"/>
      <c r="QS64" s="436"/>
      <c r="QT64" s="436"/>
      <c r="QU64" s="440"/>
    </row>
    <row r="65" spans="1:463" ht="24" customHeight="1" thickBot="1">
      <c r="A65" s="439"/>
      <c r="B65" s="436"/>
      <c r="C65" s="436"/>
      <c r="D65" s="436"/>
      <c r="E65" s="436"/>
      <c r="F65" s="436"/>
      <c r="G65" s="436"/>
      <c r="H65" s="436"/>
      <c r="I65" s="436"/>
      <c r="J65" s="436"/>
      <c r="K65" s="436"/>
      <c r="L65" s="436"/>
      <c r="M65" s="436"/>
      <c r="N65" s="436"/>
      <c r="O65" s="436"/>
      <c r="P65" s="436"/>
      <c r="Q65" s="436"/>
      <c r="R65" s="436"/>
      <c r="S65" s="436"/>
      <c r="T65" s="436"/>
      <c r="U65" s="436"/>
      <c r="V65" s="436"/>
      <c r="W65" s="436"/>
      <c r="X65" s="436"/>
      <c r="Y65" s="436"/>
      <c r="Z65" s="440"/>
      <c r="AA65" s="436"/>
      <c r="AB65" s="436"/>
      <c r="AC65" s="436"/>
      <c r="AD65" s="436"/>
      <c r="AE65" s="436"/>
      <c r="AF65" s="439"/>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40"/>
      <c r="BE65" s="439"/>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40"/>
      <c r="CD65" s="439"/>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40"/>
      <c r="DC65" s="439"/>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40"/>
      <c r="EB65" s="439"/>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40"/>
      <c r="FA65" s="439"/>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40"/>
      <c r="FZ65" s="439"/>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40"/>
      <c r="GY65" s="439"/>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40"/>
      <c r="KE65" s="435"/>
      <c r="LB65" s="444"/>
      <c r="LC65" s="1917" t="str">
        <f>'Вывод расчетов'!$CC$9</f>
        <v>Раздел 3</v>
      </c>
      <c r="LD65" s="1915"/>
      <c r="LE65" s="1915"/>
      <c r="LF65" s="445"/>
      <c r="LG65" s="1917" t="str">
        <f>'Вывод расчетов'!$CF$9</f>
        <v>Расчет обмотки статора</v>
      </c>
      <c r="LH65" s="1915"/>
      <c r="LI65" s="1915"/>
      <c r="LJ65" s="1915"/>
      <c r="LK65" s="1915"/>
      <c r="LL65" s="1915"/>
      <c r="LM65" s="1915"/>
      <c r="LN65" s="1915"/>
      <c r="LO65" s="1915"/>
      <c r="LP65" s="1915"/>
      <c r="LQ65" s="1915"/>
      <c r="LR65" s="1918"/>
      <c r="LS65" s="445"/>
      <c r="LT65" s="1917" t="s">
        <v>1502</v>
      </c>
      <c r="LU65" s="1915"/>
      <c r="LV65" s="1918"/>
      <c r="LW65" s="445"/>
      <c r="LX65" s="1917">
        <v>11</v>
      </c>
      <c r="LY65" s="1918"/>
      <c r="LZ65" s="446"/>
      <c r="MA65" s="444"/>
      <c r="MB65" s="1917" t="str">
        <f>'Вывод расчетов'!$CC$9</f>
        <v>Раздел 3</v>
      </c>
      <c r="MC65" s="1915"/>
      <c r="MD65" s="1915"/>
      <c r="ME65" s="445"/>
      <c r="MF65" s="1917" t="str">
        <f>'Вывод расчетов'!$CF$9</f>
        <v>Расчет обмотки статора</v>
      </c>
      <c r="MG65" s="1915"/>
      <c r="MH65" s="1915"/>
      <c r="MI65" s="1915"/>
      <c r="MJ65" s="1915"/>
      <c r="MK65" s="1915"/>
      <c r="ML65" s="1915"/>
      <c r="MM65" s="1915"/>
      <c r="MN65" s="1915"/>
      <c r="MO65" s="1915"/>
      <c r="MP65" s="1915"/>
      <c r="MQ65" s="1918"/>
      <c r="MR65" s="445"/>
      <c r="MS65" s="1917" t="s">
        <v>1502</v>
      </c>
      <c r="MT65" s="1915"/>
      <c r="MU65" s="1918"/>
      <c r="MV65" s="445"/>
      <c r="MW65" s="1917">
        <v>11</v>
      </c>
      <c r="MX65" s="1918"/>
      <c r="MY65" s="446"/>
      <c r="MZ65" s="444"/>
      <c r="NA65" s="1917" t="str">
        <f>'Вывод расчетов'!$CC$9</f>
        <v>Раздел 3</v>
      </c>
      <c r="NB65" s="1915"/>
      <c r="NC65" s="1915"/>
      <c r="ND65" s="445"/>
      <c r="NE65" s="1917" t="str">
        <f>'Вывод расчетов'!$CF$9</f>
        <v>Расчет обмотки статора</v>
      </c>
      <c r="NF65" s="1915"/>
      <c r="NG65" s="1915"/>
      <c r="NH65" s="1915"/>
      <c r="NI65" s="1915"/>
      <c r="NJ65" s="1915"/>
      <c r="NK65" s="1915"/>
      <c r="NL65" s="1915"/>
      <c r="NM65" s="1915"/>
      <c r="NN65" s="1915"/>
      <c r="NO65" s="1915"/>
      <c r="NP65" s="1918"/>
      <c r="NQ65" s="445"/>
      <c r="NR65" s="1917" t="s">
        <v>1502</v>
      </c>
      <c r="NS65" s="1915"/>
      <c r="NT65" s="1918"/>
      <c r="NU65" s="445"/>
      <c r="NV65" s="1917">
        <v>11</v>
      </c>
      <c r="NW65" s="1918"/>
      <c r="NX65" s="446"/>
      <c r="NY65" s="444"/>
      <c r="NZ65" s="1917" t="str">
        <f>'Вывод расчетов'!$CC$9</f>
        <v>Раздел 3</v>
      </c>
      <c r="OA65" s="1915"/>
      <c r="OB65" s="1915"/>
      <c r="OC65" s="445"/>
      <c r="OD65" s="1917" t="str">
        <f>'Вывод расчетов'!$CF$9</f>
        <v>Расчет обмотки статора</v>
      </c>
      <c r="OE65" s="1915"/>
      <c r="OF65" s="1915"/>
      <c r="OG65" s="1915"/>
      <c r="OH65" s="1915"/>
      <c r="OI65" s="1915"/>
      <c r="OJ65" s="1915"/>
      <c r="OK65" s="1915"/>
      <c r="OL65" s="1915"/>
      <c r="OM65" s="1915"/>
      <c r="ON65" s="1915"/>
      <c r="OO65" s="1918"/>
      <c r="OP65" s="445"/>
      <c r="OQ65" s="1917" t="s">
        <v>1502</v>
      </c>
      <c r="OR65" s="1915"/>
      <c r="OS65" s="1918"/>
      <c r="OT65" s="445"/>
      <c r="OU65" s="1917">
        <v>11</v>
      </c>
      <c r="OV65" s="1918"/>
      <c r="OW65" s="446"/>
      <c r="OX65" s="444"/>
      <c r="OY65" s="1917" t="str">
        <f>'Вывод расчетов'!$CC$9</f>
        <v>Раздел 3</v>
      </c>
      <c r="OZ65" s="1915"/>
      <c r="PA65" s="1915"/>
      <c r="PB65" s="445"/>
      <c r="PC65" s="1917" t="str">
        <f>'Вывод расчетов'!$CF$9</f>
        <v>Расчет обмотки статора</v>
      </c>
      <c r="PD65" s="1915"/>
      <c r="PE65" s="1915"/>
      <c r="PF65" s="1915"/>
      <c r="PG65" s="1915"/>
      <c r="PH65" s="1915"/>
      <c r="PI65" s="1915"/>
      <c r="PJ65" s="1915"/>
      <c r="PK65" s="1915"/>
      <c r="PL65" s="1915"/>
      <c r="PM65" s="1915"/>
      <c r="PN65" s="1918"/>
      <c r="PO65" s="445"/>
      <c r="PP65" s="1917" t="s">
        <v>1502</v>
      </c>
      <c r="PQ65" s="1915"/>
      <c r="PR65" s="1918"/>
      <c r="PS65" s="445"/>
      <c r="PT65" s="1917">
        <v>11</v>
      </c>
      <c r="PU65" s="1918"/>
      <c r="PV65" s="446"/>
      <c r="PW65" s="444"/>
      <c r="PX65" s="1917" t="str">
        <f>'Вывод расчетов'!$CC$9</f>
        <v>Раздел 3</v>
      </c>
      <c r="PY65" s="1915"/>
      <c r="PZ65" s="1915"/>
      <c r="QA65" s="445"/>
      <c r="QB65" s="1917" t="str">
        <f>'Вывод расчетов'!$CF$9</f>
        <v>Расчет обмотки статора</v>
      </c>
      <c r="QC65" s="1915"/>
      <c r="QD65" s="1915"/>
      <c r="QE65" s="1915"/>
      <c r="QF65" s="1915"/>
      <c r="QG65" s="1915"/>
      <c r="QH65" s="1915"/>
      <c r="QI65" s="1915"/>
      <c r="QJ65" s="1915"/>
      <c r="QK65" s="1915"/>
      <c r="QL65" s="1915"/>
      <c r="QM65" s="1918"/>
      <c r="QN65" s="445"/>
      <c r="QO65" s="1917" t="s">
        <v>1502</v>
      </c>
      <c r="QP65" s="1915"/>
      <c r="QQ65" s="1918"/>
      <c r="QR65" s="445"/>
      <c r="QS65" s="1917">
        <v>11</v>
      </c>
      <c r="QT65" s="1918"/>
      <c r="QU65" s="446"/>
    </row>
    <row r="66" spans="1:463" ht="24" customHeight="1">
      <c r="A66" s="439"/>
      <c r="B66" s="436"/>
      <c r="C66" s="436"/>
      <c r="D66" s="436"/>
      <c r="E66" s="436"/>
      <c r="F66" s="436"/>
      <c r="G66" s="436"/>
      <c r="H66" s="436"/>
      <c r="I66" s="436"/>
      <c r="J66" s="436"/>
      <c r="K66" s="436"/>
      <c r="L66" s="436"/>
      <c r="M66" s="436"/>
      <c r="N66" s="436"/>
      <c r="O66" s="436"/>
      <c r="P66" s="436"/>
      <c r="Q66" s="436"/>
      <c r="R66" s="436"/>
      <c r="S66" s="436"/>
      <c r="T66" s="436"/>
      <c r="U66" s="436"/>
      <c r="V66" s="436"/>
      <c r="W66" s="436"/>
      <c r="X66" s="436"/>
      <c r="Y66" s="436"/>
      <c r="Z66" s="440"/>
      <c r="AA66" s="436"/>
      <c r="AB66" s="436"/>
      <c r="AC66" s="436"/>
      <c r="AD66" s="436"/>
      <c r="AE66" s="436"/>
      <c r="AF66" s="439"/>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40"/>
      <c r="BE66" s="439"/>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40"/>
      <c r="CD66" s="439"/>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40"/>
      <c r="DC66" s="439"/>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40"/>
      <c r="EB66" s="439"/>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40"/>
      <c r="FA66" s="439"/>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40"/>
      <c r="FZ66" s="439"/>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40"/>
      <c r="GY66" s="439"/>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40"/>
    </row>
    <row r="67" spans="1:463" ht="24" customHeight="1">
      <c r="A67" s="439"/>
      <c r="B67" s="436"/>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40"/>
      <c r="AA67" s="436"/>
      <c r="AB67" s="436"/>
      <c r="AC67" s="436"/>
      <c r="AD67" s="436"/>
      <c r="AE67" s="436"/>
      <c r="AF67" s="439"/>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40"/>
      <c r="BE67" s="439"/>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40"/>
      <c r="CD67" s="439"/>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40"/>
      <c r="DC67" s="439"/>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40"/>
      <c r="EB67" s="439"/>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40"/>
      <c r="FA67" s="439"/>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40"/>
      <c r="FZ67" s="439"/>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40"/>
      <c r="GY67" s="439"/>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40"/>
    </row>
    <row r="68" spans="1:463" ht="24" customHeight="1">
      <c r="A68" s="439"/>
      <c r="B68" s="436"/>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40"/>
      <c r="AA68" s="436"/>
      <c r="AB68" s="436"/>
      <c r="AC68" s="436"/>
      <c r="AD68" s="436"/>
      <c r="AE68" s="436"/>
      <c r="AF68" s="439"/>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40"/>
      <c r="BE68" s="439"/>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40"/>
      <c r="CD68" s="439"/>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40"/>
      <c r="DC68" s="439"/>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40"/>
      <c r="EB68" s="439"/>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40"/>
      <c r="FA68" s="439"/>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40"/>
      <c r="FZ68" s="439"/>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40"/>
      <c r="GY68" s="439"/>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40"/>
    </row>
    <row r="69" spans="1:463" ht="24" customHeight="1">
      <c r="A69" s="439"/>
      <c r="B69" s="436"/>
      <c r="C69" s="436"/>
      <c r="D69" s="436"/>
      <c r="E69" s="436"/>
      <c r="F69" s="436"/>
      <c r="G69" s="436"/>
      <c r="H69" s="436"/>
      <c r="I69" s="436"/>
      <c r="J69" s="436"/>
      <c r="K69" s="436"/>
      <c r="L69" s="436"/>
      <c r="M69" s="436"/>
      <c r="N69" s="436"/>
      <c r="O69" s="436"/>
      <c r="P69" s="436"/>
      <c r="Q69" s="436"/>
      <c r="R69" s="436"/>
      <c r="S69" s="436"/>
      <c r="T69" s="436"/>
      <c r="U69" s="436"/>
      <c r="V69" s="436"/>
      <c r="W69" s="436"/>
      <c r="X69" s="436"/>
      <c r="Y69" s="436"/>
      <c r="Z69" s="440"/>
      <c r="AA69" s="436"/>
      <c r="AB69" s="436"/>
      <c r="AC69" s="436"/>
      <c r="AD69" s="436"/>
      <c r="AE69" s="436"/>
      <c r="AF69" s="439"/>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40"/>
      <c r="BE69" s="439"/>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40"/>
      <c r="CD69" s="439"/>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40"/>
      <c r="DC69" s="439"/>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40"/>
      <c r="EB69" s="439"/>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40"/>
      <c r="FA69" s="439"/>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40"/>
      <c r="FZ69" s="439"/>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40"/>
      <c r="GY69" s="439"/>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40"/>
    </row>
    <row r="70" spans="1:463" ht="24" customHeight="1">
      <c r="A70" s="439"/>
      <c r="B70" s="436"/>
      <c r="C70" s="436"/>
      <c r="D70" s="436"/>
      <c r="E70" s="436"/>
      <c r="F70" s="436"/>
      <c r="G70" s="436"/>
      <c r="H70" s="436"/>
      <c r="I70" s="436"/>
      <c r="J70" s="436"/>
      <c r="K70" s="436"/>
      <c r="L70" s="436"/>
      <c r="M70" s="436"/>
      <c r="N70" s="436"/>
      <c r="O70" s="436"/>
      <c r="P70" s="436"/>
      <c r="Q70" s="436"/>
      <c r="R70" s="436"/>
      <c r="S70" s="436"/>
      <c r="T70" s="436"/>
      <c r="U70" s="436"/>
      <c r="V70" s="436"/>
      <c r="W70" s="436"/>
      <c r="X70" s="436"/>
      <c r="Y70" s="436"/>
      <c r="Z70" s="440"/>
      <c r="AA70" s="436"/>
      <c r="AB70" s="436"/>
      <c r="AC70" s="436"/>
      <c r="AD70" s="436"/>
      <c r="AE70" s="436"/>
      <c r="AF70" s="439"/>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40"/>
      <c r="BE70" s="439"/>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40"/>
      <c r="CD70" s="439"/>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40"/>
      <c r="DC70" s="439"/>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40"/>
      <c r="EB70" s="439"/>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40"/>
      <c r="FA70" s="439"/>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40"/>
      <c r="FZ70" s="439"/>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40"/>
      <c r="GY70" s="439"/>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40"/>
    </row>
    <row r="71" spans="1:463" ht="24" customHeight="1">
      <c r="A71" s="439"/>
      <c r="B71" s="436"/>
      <c r="C71" s="436"/>
      <c r="D71" s="436"/>
      <c r="E71" s="436"/>
      <c r="F71" s="436"/>
      <c r="G71" s="436"/>
      <c r="H71" s="436"/>
      <c r="I71" s="436"/>
      <c r="J71" s="436"/>
      <c r="K71" s="436"/>
      <c r="L71" s="436"/>
      <c r="M71" s="436"/>
      <c r="N71" s="436"/>
      <c r="O71" s="436"/>
      <c r="P71" s="436"/>
      <c r="Q71" s="436"/>
      <c r="R71" s="436"/>
      <c r="S71" s="436"/>
      <c r="T71" s="436"/>
      <c r="U71" s="436"/>
      <c r="V71" s="436"/>
      <c r="W71" s="436"/>
      <c r="X71" s="436"/>
      <c r="Y71" s="436"/>
      <c r="Z71" s="440"/>
      <c r="AA71" s="436"/>
      <c r="AB71" s="436"/>
      <c r="AC71" s="436"/>
      <c r="AD71" s="436"/>
      <c r="AE71" s="436"/>
      <c r="AF71" s="439"/>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40"/>
      <c r="BE71" s="439"/>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40"/>
      <c r="CD71" s="439"/>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40"/>
      <c r="DC71" s="439"/>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40"/>
      <c r="EB71" s="439"/>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40"/>
      <c r="FA71" s="439"/>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40"/>
      <c r="FZ71" s="439"/>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40"/>
      <c r="GY71" s="439"/>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40"/>
    </row>
    <row r="72" spans="1:463" ht="24" customHeight="1">
      <c r="A72" s="439"/>
      <c r="B72" s="436"/>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40"/>
      <c r="AA72" s="436"/>
      <c r="AB72" s="436"/>
      <c r="AC72" s="436"/>
      <c r="AD72" s="436"/>
      <c r="AE72" s="436"/>
      <c r="AF72" s="439"/>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40"/>
      <c r="BE72" s="439"/>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40"/>
      <c r="CD72" s="439"/>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40"/>
      <c r="DC72" s="439"/>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40"/>
      <c r="EB72" s="439"/>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40"/>
      <c r="FA72" s="439"/>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40"/>
      <c r="FZ72" s="439"/>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40"/>
      <c r="GY72" s="439"/>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40"/>
    </row>
    <row r="73" spans="1:463" ht="24" customHeight="1">
      <c r="A73" s="439"/>
      <c r="B73" s="436"/>
      <c r="C73" s="436"/>
      <c r="D73" s="436"/>
      <c r="E73" s="436"/>
      <c r="F73" s="436"/>
      <c r="G73" s="436"/>
      <c r="H73" s="436"/>
      <c r="I73" s="436"/>
      <c r="J73" s="436"/>
      <c r="K73" s="436"/>
      <c r="L73" s="436"/>
      <c r="M73" s="436"/>
      <c r="N73" s="436"/>
      <c r="O73" s="436"/>
      <c r="P73" s="436"/>
      <c r="Q73" s="436"/>
      <c r="R73" s="436"/>
      <c r="S73" s="436"/>
      <c r="T73" s="436"/>
      <c r="U73" s="436"/>
      <c r="V73" s="436"/>
      <c r="W73" s="436"/>
      <c r="X73" s="436"/>
      <c r="Y73" s="436"/>
      <c r="Z73" s="440"/>
      <c r="AA73" s="436"/>
      <c r="AB73" s="436"/>
      <c r="AC73" s="436"/>
      <c r="AD73" s="436"/>
      <c r="AE73" s="436"/>
      <c r="AF73" s="439"/>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40"/>
      <c r="BE73" s="439"/>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40"/>
      <c r="CD73" s="439"/>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40"/>
      <c r="DC73" s="439"/>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40"/>
      <c r="EB73" s="439"/>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40"/>
      <c r="FA73" s="439"/>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40"/>
      <c r="FZ73" s="439"/>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40"/>
      <c r="GY73" s="439"/>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40"/>
    </row>
    <row r="74" spans="1:463" ht="24" customHeight="1">
      <c r="A74" s="439"/>
      <c r="B74" s="436"/>
      <c r="C74" s="436"/>
      <c r="D74" s="436"/>
      <c r="E74" s="436"/>
      <c r="F74" s="436"/>
      <c r="G74" s="436"/>
      <c r="H74" s="436"/>
      <c r="I74" s="436"/>
      <c r="J74" s="436"/>
      <c r="K74" s="436"/>
      <c r="L74" s="436"/>
      <c r="M74" s="436"/>
      <c r="N74" s="436"/>
      <c r="O74" s="436"/>
      <c r="P74" s="436"/>
      <c r="Q74" s="436"/>
      <c r="R74" s="436"/>
      <c r="S74" s="436"/>
      <c r="T74" s="436"/>
      <c r="U74" s="436"/>
      <c r="V74" s="436"/>
      <c r="W74" s="436"/>
      <c r="X74" s="436"/>
      <c r="Y74" s="436"/>
      <c r="Z74" s="440"/>
      <c r="AA74" s="436"/>
      <c r="AB74" s="436"/>
      <c r="AC74" s="436"/>
      <c r="AD74" s="436"/>
      <c r="AE74" s="436"/>
      <c r="AF74" s="439"/>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40"/>
      <c r="BE74" s="439"/>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40"/>
      <c r="CD74" s="439"/>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40"/>
      <c r="DC74" s="439"/>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40"/>
      <c r="EB74" s="439"/>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40"/>
      <c r="FA74" s="439"/>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40"/>
      <c r="FZ74" s="439"/>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40"/>
      <c r="GY74" s="439"/>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40"/>
    </row>
    <row r="75" spans="1:463" ht="24" customHeight="1" thickBot="1">
      <c r="A75" s="439"/>
      <c r="B75" s="441"/>
      <c r="C75" s="441"/>
      <c r="D75" s="441"/>
      <c r="E75" s="436"/>
      <c r="F75" s="436"/>
      <c r="G75" s="436"/>
      <c r="H75" s="436"/>
      <c r="I75" s="436"/>
      <c r="J75" s="436"/>
      <c r="K75" s="436"/>
      <c r="L75" s="436"/>
      <c r="M75" s="436"/>
      <c r="N75" s="436"/>
      <c r="O75" s="436"/>
      <c r="P75" s="436"/>
      <c r="Q75" s="436"/>
      <c r="R75" s="436"/>
      <c r="S75" s="436"/>
      <c r="T75" s="436"/>
      <c r="U75" s="436"/>
      <c r="V75" s="436"/>
      <c r="W75" s="436"/>
      <c r="X75" s="436"/>
      <c r="Y75" s="436"/>
      <c r="Z75" s="440"/>
      <c r="AA75" s="436"/>
      <c r="AB75" s="436"/>
      <c r="AC75" s="436"/>
      <c r="AD75" s="436"/>
      <c r="AE75" s="436"/>
      <c r="AF75" s="439"/>
      <c r="AG75" s="441"/>
      <c r="AH75" s="441"/>
      <c r="AI75" s="441"/>
      <c r="AJ75" s="436"/>
      <c r="AK75" s="436"/>
      <c r="AL75" s="436"/>
      <c r="AM75" s="436"/>
      <c r="AN75" s="436"/>
      <c r="AO75" s="436"/>
      <c r="AP75" s="436"/>
      <c r="AQ75" s="436"/>
      <c r="AR75" s="436"/>
      <c r="AS75" s="436"/>
      <c r="AT75" s="436"/>
      <c r="AU75" s="436"/>
      <c r="AV75" s="436"/>
      <c r="AW75" s="436"/>
      <c r="AX75" s="436"/>
      <c r="AY75" s="436"/>
      <c r="AZ75" s="436"/>
      <c r="BA75" s="436"/>
      <c r="BB75" s="436"/>
      <c r="BC75" s="436"/>
      <c r="BD75" s="440"/>
      <c r="BE75" s="439"/>
      <c r="BF75" s="441"/>
      <c r="BG75" s="441"/>
      <c r="BH75" s="441"/>
      <c r="BI75" s="436"/>
      <c r="BJ75" s="436"/>
      <c r="BK75" s="436"/>
      <c r="BL75" s="436"/>
      <c r="BM75" s="436"/>
      <c r="BN75" s="436"/>
      <c r="BO75" s="436"/>
      <c r="BP75" s="436"/>
      <c r="BQ75" s="436"/>
      <c r="BR75" s="436"/>
      <c r="BS75" s="436"/>
      <c r="BT75" s="436"/>
      <c r="BU75" s="436"/>
      <c r="BV75" s="436"/>
      <c r="BW75" s="436"/>
      <c r="BX75" s="436"/>
      <c r="BY75" s="436"/>
      <c r="BZ75" s="436"/>
      <c r="CA75" s="436"/>
      <c r="CB75" s="436"/>
      <c r="CC75" s="440"/>
      <c r="CD75" s="439"/>
      <c r="CE75" s="441"/>
      <c r="CF75" s="441"/>
      <c r="CG75" s="441"/>
      <c r="CH75" s="436"/>
      <c r="CI75" s="436"/>
      <c r="CJ75" s="436"/>
      <c r="CK75" s="436"/>
      <c r="CL75" s="436"/>
      <c r="CM75" s="436"/>
      <c r="CN75" s="436"/>
      <c r="CO75" s="436"/>
      <c r="CP75" s="436"/>
      <c r="CQ75" s="436"/>
      <c r="CR75" s="436"/>
      <c r="CS75" s="436"/>
      <c r="CT75" s="436"/>
      <c r="CU75" s="436"/>
      <c r="CV75" s="436"/>
      <c r="CW75" s="436"/>
      <c r="CX75" s="436"/>
      <c r="CY75" s="436"/>
      <c r="CZ75" s="436"/>
      <c r="DA75" s="436"/>
      <c r="DB75" s="440"/>
      <c r="DC75" s="439"/>
      <c r="DD75" s="441"/>
      <c r="DE75" s="441"/>
      <c r="DF75" s="441"/>
      <c r="DG75" s="436"/>
      <c r="DH75" s="436"/>
      <c r="DI75" s="436"/>
      <c r="DJ75" s="436"/>
      <c r="DK75" s="436"/>
      <c r="DL75" s="436"/>
      <c r="DM75" s="436"/>
      <c r="DN75" s="436"/>
      <c r="DO75" s="436"/>
      <c r="DP75" s="436"/>
      <c r="DQ75" s="436"/>
      <c r="DR75" s="436"/>
      <c r="DS75" s="436"/>
      <c r="DT75" s="436"/>
      <c r="DU75" s="436"/>
      <c r="DV75" s="436"/>
      <c r="DW75" s="436"/>
      <c r="DX75" s="436"/>
      <c r="DY75" s="436"/>
      <c r="DZ75" s="436"/>
      <c r="EA75" s="440"/>
      <c r="EB75" s="439"/>
      <c r="EC75" s="441"/>
      <c r="ED75" s="441"/>
      <c r="EE75" s="441"/>
      <c r="EF75" s="436"/>
      <c r="EG75" s="436"/>
      <c r="EH75" s="436"/>
      <c r="EI75" s="436"/>
      <c r="EJ75" s="436"/>
      <c r="EK75" s="436"/>
      <c r="EL75" s="436"/>
      <c r="EM75" s="436"/>
      <c r="EN75" s="436"/>
      <c r="EO75" s="436"/>
      <c r="EP75" s="436"/>
      <c r="EQ75" s="436"/>
      <c r="ER75" s="436"/>
      <c r="ES75" s="436"/>
      <c r="ET75" s="436"/>
      <c r="EU75" s="436"/>
      <c r="EV75" s="436"/>
      <c r="EW75" s="436"/>
      <c r="EX75" s="436"/>
      <c r="EY75" s="436"/>
      <c r="EZ75" s="440"/>
      <c r="FA75" s="439"/>
      <c r="FB75" s="441"/>
      <c r="FC75" s="441"/>
      <c r="FD75" s="441"/>
      <c r="FE75" s="436"/>
      <c r="FF75" s="436"/>
      <c r="FG75" s="436"/>
      <c r="FH75" s="436"/>
      <c r="FI75" s="436"/>
      <c r="FJ75" s="436"/>
      <c r="FK75" s="436"/>
      <c r="FL75" s="436"/>
      <c r="FM75" s="436"/>
      <c r="FN75" s="436"/>
      <c r="FO75" s="436"/>
      <c r="FP75" s="436"/>
      <c r="FQ75" s="436"/>
      <c r="FR75" s="436"/>
      <c r="FS75" s="436"/>
      <c r="FT75" s="436"/>
      <c r="FU75" s="436"/>
      <c r="FV75" s="436"/>
      <c r="FW75" s="436"/>
      <c r="FX75" s="436"/>
      <c r="FY75" s="440"/>
      <c r="FZ75" s="439"/>
      <c r="GA75" s="441"/>
      <c r="GB75" s="441"/>
      <c r="GC75" s="441"/>
      <c r="GD75" s="436"/>
      <c r="GE75" s="436"/>
      <c r="GF75" s="436"/>
      <c r="GG75" s="436"/>
      <c r="GH75" s="436"/>
      <c r="GI75" s="436"/>
      <c r="GJ75" s="436"/>
      <c r="GK75" s="436"/>
      <c r="GL75" s="436"/>
      <c r="GM75" s="436"/>
      <c r="GN75" s="436"/>
      <c r="GO75" s="436"/>
      <c r="GP75" s="436"/>
      <c r="GQ75" s="436"/>
      <c r="GR75" s="436"/>
      <c r="GS75" s="436"/>
      <c r="GT75" s="436"/>
      <c r="GU75" s="436"/>
      <c r="GV75" s="436"/>
      <c r="GW75" s="436"/>
      <c r="GX75" s="440"/>
      <c r="GY75" s="439"/>
      <c r="GZ75" s="441"/>
      <c r="HA75" s="441"/>
      <c r="HB75" s="441"/>
      <c r="HC75" s="436"/>
      <c r="HD75" s="436"/>
      <c r="HE75" s="436"/>
      <c r="HF75" s="436"/>
      <c r="HG75" s="436"/>
      <c r="HH75" s="436"/>
      <c r="HI75" s="436"/>
      <c r="HJ75" s="436"/>
      <c r="HK75" s="436"/>
      <c r="HL75" s="436"/>
      <c r="HM75" s="436"/>
      <c r="HN75" s="436"/>
      <c r="HO75" s="436"/>
      <c r="HP75" s="436"/>
      <c r="HQ75" s="436"/>
      <c r="HR75" s="436"/>
      <c r="HS75" s="436"/>
      <c r="HT75" s="436"/>
      <c r="HU75" s="436"/>
      <c r="HV75" s="436"/>
      <c r="HW75" s="440"/>
    </row>
    <row r="76" spans="1:463" ht="24" customHeight="1" thickBot="1">
      <c r="A76" s="444"/>
      <c r="B76" s="1917" t="str">
        <f>'Вывод расчетов'!$AK$9</f>
        <v>Раздел 1</v>
      </c>
      <c r="C76" s="1915"/>
      <c r="D76" s="1915"/>
      <c r="E76" s="445"/>
      <c r="F76" s="1917" t="str">
        <f>'Вывод расчетов'!$AN$9</f>
        <v>Определение главных размеров асинхронного двигателя</v>
      </c>
      <c r="G76" s="1915"/>
      <c r="H76" s="1915"/>
      <c r="I76" s="1915"/>
      <c r="J76" s="1915"/>
      <c r="K76" s="1915"/>
      <c r="L76" s="1915"/>
      <c r="M76" s="1915"/>
      <c r="N76" s="1915"/>
      <c r="O76" s="1915"/>
      <c r="P76" s="1915"/>
      <c r="Q76" s="1915"/>
      <c r="R76" s="1918"/>
      <c r="S76" s="445"/>
      <c r="T76" s="1917" t="s">
        <v>1502</v>
      </c>
      <c r="U76" s="1915"/>
      <c r="V76" s="1918"/>
      <c r="W76" s="445"/>
      <c r="X76" s="1917">
        <v>4</v>
      </c>
      <c r="Y76" s="1918"/>
      <c r="Z76" s="446"/>
      <c r="AA76" s="608"/>
      <c r="AB76" s="608"/>
      <c r="AC76" s="608"/>
      <c r="AD76" s="608"/>
      <c r="AE76" s="608"/>
      <c r="AF76" s="444"/>
      <c r="AG76" s="1917" t="str">
        <f>'Вывод расчетов'!$CC$9</f>
        <v>Раздел 3</v>
      </c>
      <c r="AH76" s="1915"/>
      <c r="AI76" s="1915"/>
      <c r="AJ76" s="445"/>
      <c r="AK76" s="1917" t="str">
        <f>'Вывод расчетов'!$CF$9</f>
        <v>Расчет обмотки статора</v>
      </c>
      <c r="AL76" s="1915"/>
      <c r="AM76" s="1915"/>
      <c r="AN76" s="1915"/>
      <c r="AO76" s="1915"/>
      <c r="AP76" s="1915"/>
      <c r="AQ76" s="1915"/>
      <c r="AR76" s="1915"/>
      <c r="AS76" s="1915"/>
      <c r="AT76" s="1915"/>
      <c r="AU76" s="1915"/>
      <c r="AV76" s="1918"/>
      <c r="AW76" s="445"/>
      <c r="AX76" s="1917" t="s">
        <v>1502</v>
      </c>
      <c r="AY76" s="1915"/>
      <c r="AZ76" s="1918"/>
      <c r="BA76" s="445"/>
      <c r="BB76" s="1917">
        <v>11</v>
      </c>
      <c r="BC76" s="1918"/>
      <c r="BD76" s="446"/>
      <c r="BE76" s="444"/>
      <c r="BF76" s="1917" t="str">
        <f>'Вывод расчетов'!$CC$9</f>
        <v>Раздел 3</v>
      </c>
      <c r="BG76" s="1915"/>
      <c r="BH76" s="1915"/>
      <c r="BI76" s="445"/>
      <c r="BJ76" s="1917" t="str">
        <f>'Вывод расчетов'!$CF$9</f>
        <v>Расчет обмотки статора</v>
      </c>
      <c r="BK76" s="1915"/>
      <c r="BL76" s="1915"/>
      <c r="BM76" s="1915"/>
      <c r="BN76" s="1915"/>
      <c r="BO76" s="1915"/>
      <c r="BP76" s="1915"/>
      <c r="BQ76" s="1915"/>
      <c r="BR76" s="1915"/>
      <c r="BS76" s="1915"/>
      <c r="BT76" s="1915"/>
      <c r="BU76" s="1918"/>
      <c r="BV76" s="445"/>
      <c r="BW76" s="1917" t="s">
        <v>1502</v>
      </c>
      <c r="BX76" s="1915"/>
      <c r="BY76" s="1918"/>
      <c r="BZ76" s="445"/>
      <c r="CA76" s="1917">
        <v>11</v>
      </c>
      <c r="CB76" s="1918"/>
      <c r="CC76" s="446"/>
      <c r="CD76" s="444"/>
      <c r="CE76" s="1917" t="str">
        <f>'Вывод расчетов'!$CC$9</f>
        <v>Раздел 3</v>
      </c>
      <c r="CF76" s="1915"/>
      <c r="CG76" s="1915"/>
      <c r="CH76" s="445"/>
      <c r="CI76" s="1917" t="str">
        <f>'Вывод расчетов'!$CF$9</f>
        <v>Расчет обмотки статора</v>
      </c>
      <c r="CJ76" s="1915"/>
      <c r="CK76" s="1915"/>
      <c r="CL76" s="1915"/>
      <c r="CM76" s="1915"/>
      <c r="CN76" s="1915"/>
      <c r="CO76" s="1915"/>
      <c r="CP76" s="1915"/>
      <c r="CQ76" s="1915"/>
      <c r="CR76" s="1915"/>
      <c r="CS76" s="1915"/>
      <c r="CT76" s="1918"/>
      <c r="CU76" s="445"/>
      <c r="CV76" s="1917" t="s">
        <v>1502</v>
      </c>
      <c r="CW76" s="1915"/>
      <c r="CX76" s="1918"/>
      <c r="CY76" s="445"/>
      <c r="CZ76" s="1917">
        <v>11</v>
      </c>
      <c r="DA76" s="1918"/>
      <c r="DB76" s="446"/>
      <c r="DC76" s="444"/>
      <c r="DD76" s="1917" t="str">
        <f>'Вывод расчетов'!$CC$9</f>
        <v>Раздел 3</v>
      </c>
      <c r="DE76" s="1915"/>
      <c r="DF76" s="1915"/>
      <c r="DG76" s="445"/>
      <c r="DH76" s="1917" t="str">
        <f>'Вывод расчетов'!$CF$9</f>
        <v>Расчет обмотки статора</v>
      </c>
      <c r="DI76" s="1915"/>
      <c r="DJ76" s="1915"/>
      <c r="DK76" s="1915"/>
      <c r="DL76" s="1915"/>
      <c r="DM76" s="1915"/>
      <c r="DN76" s="1915"/>
      <c r="DO76" s="1915"/>
      <c r="DP76" s="1915"/>
      <c r="DQ76" s="1915"/>
      <c r="DR76" s="1915"/>
      <c r="DS76" s="1918"/>
      <c r="DT76" s="445"/>
      <c r="DU76" s="1917" t="s">
        <v>1502</v>
      </c>
      <c r="DV76" s="1915"/>
      <c r="DW76" s="1918"/>
      <c r="DX76" s="445"/>
      <c r="DY76" s="1917">
        <v>11</v>
      </c>
      <c r="DZ76" s="1918"/>
      <c r="EA76" s="446"/>
      <c r="EB76" s="444"/>
      <c r="EC76" s="1917" t="str">
        <f>'Вывод расчетов'!$CC$9</f>
        <v>Раздел 3</v>
      </c>
      <c r="ED76" s="1915"/>
      <c r="EE76" s="1915"/>
      <c r="EF76" s="445"/>
      <c r="EG76" s="1917" t="str">
        <f>'Вывод расчетов'!$CF$9</f>
        <v>Расчет обмотки статора</v>
      </c>
      <c r="EH76" s="1915"/>
      <c r="EI76" s="1915"/>
      <c r="EJ76" s="1915"/>
      <c r="EK76" s="1915"/>
      <c r="EL76" s="1915"/>
      <c r="EM76" s="1915"/>
      <c r="EN76" s="1915"/>
      <c r="EO76" s="1915"/>
      <c r="EP76" s="1915"/>
      <c r="EQ76" s="1915"/>
      <c r="ER76" s="1918"/>
      <c r="ES76" s="445"/>
      <c r="ET76" s="1917" t="s">
        <v>1502</v>
      </c>
      <c r="EU76" s="1915"/>
      <c r="EV76" s="1918"/>
      <c r="EW76" s="445"/>
      <c r="EX76" s="1917">
        <v>11</v>
      </c>
      <c r="EY76" s="1918"/>
      <c r="EZ76" s="446"/>
      <c r="FA76" s="444"/>
      <c r="FB76" s="1917" t="str">
        <f>'Вывод расчетов'!$CC$9</f>
        <v>Раздел 3</v>
      </c>
      <c r="FC76" s="1915"/>
      <c r="FD76" s="1915"/>
      <c r="FE76" s="445"/>
      <c r="FF76" s="1917" t="str">
        <f>'Вывод расчетов'!$CF$9</f>
        <v>Расчет обмотки статора</v>
      </c>
      <c r="FG76" s="1915"/>
      <c r="FH76" s="1915"/>
      <c r="FI76" s="1915"/>
      <c r="FJ76" s="1915"/>
      <c r="FK76" s="1915"/>
      <c r="FL76" s="1915"/>
      <c r="FM76" s="1915"/>
      <c r="FN76" s="1915"/>
      <c r="FO76" s="1915"/>
      <c r="FP76" s="1915"/>
      <c r="FQ76" s="1918"/>
      <c r="FR76" s="445"/>
      <c r="FS76" s="1917" t="s">
        <v>1502</v>
      </c>
      <c r="FT76" s="1915"/>
      <c r="FU76" s="1918"/>
      <c r="FV76" s="445"/>
      <c r="FW76" s="1917">
        <v>11</v>
      </c>
      <c r="FX76" s="1918"/>
      <c r="FY76" s="446"/>
      <c r="FZ76" s="444"/>
      <c r="GA76" s="1917" t="str">
        <f>'Вывод расчетов'!$CC$9</f>
        <v>Раздел 3</v>
      </c>
      <c r="GB76" s="1915"/>
      <c r="GC76" s="1915"/>
      <c r="GD76" s="445"/>
      <c r="GE76" s="1917" t="str">
        <f>'Вывод расчетов'!$CF$9</f>
        <v>Расчет обмотки статора</v>
      </c>
      <c r="GF76" s="1915"/>
      <c r="GG76" s="1915"/>
      <c r="GH76" s="1915"/>
      <c r="GI76" s="1915"/>
      <c r="GJ76" s="1915"/>
      <c r="GK76" s="1915"/>
      <c r="GL76" s="1915"/>
      <c r="GM76" s="1915"/>
      <c r="GN76" s="1915"/>
      <c r="GO76" s="1915"/>
      <c r="GP76" s="1918"/>
      <c r="GQ76" s="445"/>
      <c r="GR76" s="1917" t="s">
        <v>1502</v>
      </c>
      <c r="GS76" s="1915"/>
      <c r="GT76" s="1918"/>
      <c r="GU76" s="445"/>
      <c r="GV76" s="1917">
        <v>11</v>
      </c>
      <c r="GW76" s="1918"/>
      <c r="GX76" s="446"/>
      <c r="GY76" s="444"/>
      <c r="GZ76" s="1917" t="str">
        <f>'Вывод расчетов'!$CC$9</f>
        <v>Раздел 3</v>
      </c>
      <c r="HA76" s="1915"/>
      <c r="HB76" s="1915"/>
      <c r="HC76" s="445"/>
      <c r="HD76" s="1917" t="str">
        <f>'Вывод расчетов'!$CF$9</f>
        <v>Расчет обмотки статора</v>
      </c>
      <c r="HE76" s="1915"/>
      <c r="HF76" s="1915"/>
      <c r="HG76" s="1915"/>
      <c r="HH76" s="1915"/>
      <c r="HI76" s="1915"/>
      <c r="HJ76" s="1915"/>
      <c r="HK76" s="1915"/>
      <c r="HL76" s="1915"/>
      <c r="HM76" s="1915"/>
      <c r="HN76" s="1915"/>
      <c r="HO76" s="1918"/>
      <c r="HP76" s="445"/>
      <c r="HQ76" s="1917" t="s">
        <v>1502</v>
      </c>
      <c r="HR76" s="1915"/>
      <c r="HS76" s="1918"/>
      <c r="HT76" s="445"/>
      <c r="HU76" s="1917">
        <v>11</v>
      </c>
      <c r="HV76" s="1918"/>
      <c r="HW76" s="446"/>
    </row>
    <row r="77" spans="1:463" ht="24" customHeight="1" thickBot="1">
      <c r="A77" s="1914" t="s">
        <v>1230</v>
      </c>
      <c r="B77" s="1915"/>
      <c r="C77" s="1915"/>
      <c r="D77" s="1915"/>
      <c r="E77" s="1915"/>
      <c r="F77" s="1915"/>
      <c r="G77" s="1915"/>
      <c r="H77" s="1915"/>
      <c r="I77" s="1915"/>
      <c r="J77" s="1915"/>
      <c r="K77" s="1915"/>
      <c r="L77" s="1915"/>
      <c r="M77" s="1915"/>
      <c r="N77" s="1915"/>
      <c r="O77" s="1915"/>
      <c r="P77" s="1915"/>
      <c r="Q77" s="1915"/>
      <c r="R77" s="1915"/>
      <c r="S77" s="1915"/>
      <c r="T77" s="1915"/>
      <c r="U77" s="1915"/>
      <c r="V77" s="1915"/>
      <c r="W77" s="1915"/>
      <c r="X77" s="1915"/>
      <c r="Y77" s="1915"/>
      <c r="Z77" s="1916"/>
      <c r="AA77" s="605"/>
      <c r="AB77" s="605"/>
      <c r="AC77" s="605"/>
      <c r="AD77" s="605"/>
      <c r="AE77" s="605"/>
      <c r="AF77" s="1914" t="s">
        <v>1230</v>
      </c>
      <c r="AG77" s="1915"/>
      <c r="AH77" s="1915"/>
      <c r="AI77" s="1915"/>
      <c r="AJ77" s="1915"/>
      <c r="AK77" s="1915"/>
      <c r="AL77" s="1915"/>
      <c r="AM77" s="1915"/>
      <c r="AN77" s="1915"/>
      <c r="AO77" s="1915"/>
      <c r="AP77" s="1915"/>
      <c r="AQ77" s="1915"/>
      <c r="AR77" s="1915"/>
      <c r="AS77" s="1915"/>
      <c r="AT77" s="1915"/>
      <c r="AU77" s="1915"/>
      <c r="AV77" s="1915"/>
      <c r="AW77" s="1915"/>
      <c r="AX77" s="1915"/>
      <c r="AY77" s="1915"/>
      <c r="AZ77" s="1915"/>
      <c r="BA77" s="1915"/>
      <c r="BB77" s="1915"/>
      <c r="BC77" s="1915"/>
      <c r="BD77" s="1916"/>
      <c r="BE77" s="1914" t="s">
        <v>1230</v>
      </c>
      <c r="BF77" s="1915"/>
      <c r="BG77" s="1915"/>
      <c r="BH77" s="1915"/>
      <c r="BI77" s="1915"/>
      <c r="BJ77" s="1915"/>
      <c r="BK77" s="1915"/>
      <c r="BL77" s="1915"/>
      <c r="BM77" s="1915"/>
      <c r="BN77" s="1915"/>
      <c r="BO77" s="1915"/>
      <c r="BP77" s="1915"/>
      <c r="BQ77" s="1915"/>
      <c r="BR77" s="1915"/>
      <c r="BS77" s="1915"/>
      <c r="BT77" s="1915"/>
      <c r="BU77" s="1915"/>
      <c r="BV77" s="1915"/>
      <c r="BW77" s="1915"/>
      <c r="BX77" s="1915"/>
      <c r="BY77" s="1915"/>
      <c r="BZ77" s="1915"/>
      <c r="CA77" s="1915"/>
      <c r="CB77" s="1915"/>
      <c r="CC77" s="1916"/>
      <c r="CD77" s="1914" t="s">
        <v>1230</v>
      </c>
      <c r="CE77" s="1915"/>
      <c r="CF77" s="1915"/>
      <c r="CG77" s="1915"/>
      <c r="CH77" s="1915"/>
      <c r="CI77" s="1915"/>
      <c r="CJ77" s="1915"/>
      <c r="CK77" s="1915"/>
      <c r="CL77" s="1915"/>
      <c r="CM77" s="1915"/>
      <c r="CN77" s="1915"/>
      <c r="CO77" s="1915"/>
      <c r="CP77" s="1915"/>
      <c r="CQ77" s="1915"/>
      <c r="CR77" s="1915"/>
      <c r="CS77" s="1915"/>
      <c r="CT77" s="1915"/>
      <c r="CU77" s="1915"/>
      <c r="CV77" s="1915"/>
      <c r="CW77" s="1915"/>
      <c r="CX77" s="1915"/>
      <c r="CY77" s="1915"/>
      <c r="CZ77" s="1915"/>
      <c r="DA77" s="1915"/>
      <c r="DB77" s="1916"/>
      <c r="DC77" s="1914" t="s">
        <v>1230</v>
      </c>
      <c r="DD77" s="1915"/>
      <c r="DE77" s="1915"/>
      <c r="DF77" s="1915"/>
      <c r="DG77" s="1915"/>
      <c r="DH77" s="1915"/>
      <c r="DI77" s="1915"/>
      <c r="DJ77" s="1915"/>
      <c r="DK77" s="1915"/>
      <c r="DL77" s="1915"/>
      <c r="DM77" s="1915"/>
      <c r="DN77" s="1915"/>
      <c r="DO77" s="1915"/>
      <c r="DP77" s="1915"/>
      <c r="DQ77" s="1915"/>
      <c r="DR77" s="1915"/>
      <c r="DS77" s="1915"/>
      <c r="DT77" s="1915"/>
      <c r="DU77" s="1915"/>
      <c r="DV77" s="1915"/>
      <c r="DW77" s="1915"/>
      <c r="DX77" s="1915"/>
      <c r="DY77" s="1915"/>
      <c r="DZ77" s="1915"/>
      <c r="EA77" s="1916"/>
      <c r="EB77" s="1914" t="s">
        <v>1230</v>
      </c>
      <c r="EC77" s="1915"/>
      <c r="ED77" s="1915"/>
      <c r="EE77" s="1915"/>
      <c r="EF77" s="1915"/>
      <c r="EG77" s="1915"/>
      <c r="EH77" s="1915"/>
      <c r="EI77" s="1915"/>
      <c r="EJ77" s="1915"/>
      <c r="EK77" s="1915"/>
      <c r="EL77" s="1915"/>
      <c r="EM77" s="1915"/>
      <c r="EN77" s="1915"/>
      <c r="EO77" s="1915"/>
      <c r="EP77" s="1915"/>
      <c r="EQ77" s="1915"/>
      <c r="ER77" s="1915"/>
      <c r="ES77" s="1915"/>
      <c r="ET77" s="1915"/>
      <c r="EU77" s="1915"/>
      <c r="EV77" s="1915"/>
      <c r="EW77" s="1915"/>
      <c r="EX77" s="1915"/>
      <c r="EY77" s="1915"/>
      <c r="EZ77" s="1916"/>
      <c r="FA77" s="1914" t="s">
        <v>1230</v>
      </c>
      <c r="FB77" s="1915"/>
      <c r="FC77" s="1915"/>
      <c r="FD77" s="1915"/>
      <c r="FE77" s="1915"/>
      <c r="FF77" s="1915"/>
      <c r="FG77" s="1915"/>
      <c r="FH77" s="1915"/>
      <c r="FI77" s="1915"/>
      <c r="FJ77" s="1915"/>
      <c r="FK77" s="1915"/>
      <c r="FL77" s="1915"/>
      <c r="FM77" s="1915"/>
      <c r="FN77" s="1915"/>
      <c r="FO77" s="1915"/>
      <c r="FP77" s="1915"/>
      <c r="FQ77" s="1915"/>
      <c r="FR77" s="1915"/>
      <c r="FS77" s="1915"/>
      <c r="FT77" s="1915"/>
      <c r="FU77" s="1915"/>
      <c r="FV77" s="1915"/>
      <c r="FW77" s="1915"/>
      <c r="FX77" s="1915"/>
      <c r="FY77" s="1916"/>
      <c r="FZ77" s="1914" t="s">
        <v>1230</v>
      </c>
      <c r="GA77" s="1915"/>
      <c r="GB77" s="1915"/>
      <c r="GC77" s="1915"/>
      <c r="GD77" s="1915"/>
      <c r="GE77" s="1915"/>
      <c r="GF77" s="1915"/>
      <c r="GG77" s="1915"/>
      <c r="GH77" s="1915"/>
      <c r="GI77" s="1915"/>
      <c r="GJ77" s="1915"/>
      <c r="GK77" s="1915"/>
      <c r="GL77" s="1915"/>
      <c r="GM77" s="1915"/>
      <c r="GN77" s="1915"/>
      <c r="GO77" s="1915"/>
      <c r="GP77" s="1915"/>
      <c r="GQ77" s="1915"/>
      <c r="GR77" s="1915"/>
      <c r="GS77" s="1915"/>
      <c r="GT77" s="1915"/>
      <c r="GU77" s="1915"/>
      <c r="GV77" s="1915"/>
      <c r="GW77" s="1915"/>
      <c r="GX77" s="1916"/>
      <c r="GY77" s="1914" t="s">
        <v>1230</v>
      </c>
      <c r="GZ77" s="1915"/>
      <c r="HA77" s="1915"/>
      <c r="HB77" s="1915"/>
      <c r="HC77" s="1915"/>
      <c r="HD77" s="1915"/>
      <c r="HE77" s="1915"/>
      <c r="HF77" s="1915"/>
      <c r="HG77" s="1915"/>
      <c r="HH77" s="1915"/>
      <c r="HI77" s="1915"/>
      <c r="HJ77" s="1915"/>
      <c r="HK77" s="1915"/>
      <c r="HL77" s="1915"/>
      <c r="HM77" s="1915"/>
      <c r="HN77" s="1915"/>
      <c r="HO77" s="1915"/>
      <c r="HP77" s="1915"/>
      <c r="HQ77" s="1915"/>
      <c r="HR77" s="1915"/>
      <c r="HS77" s="1915"/>
      <c r="HT77" s="1915"/>
      <c r="HU77" s="1915"/>
      <c r="HV77" s="1915"/>
      <c r="HW77" s="1916"/>
    </row>
    <row r="78" spans="1:463" ht="24" customHeight="1">
      <c r="A78" s="437"/>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47"/>
      <c r="AA78" s="438"/>
      <c r="AB78" s="438"/>
      <c r="AC78" s="438"/>
      <c r="AD78" s="438"/>
      <c r="AE78" s="438"/>
      <c r="AF78" s="437"/>
      <c r="AG78" s="438"/>
      <c r="AH78" s="438"/>
      <c r="AI78" s="438"/>
      <c r="AJ78" s="438"/>
      <c r="AK78" s="438"/>
      <c r="AL78" s="438"/>
      <c r="AM78" s="438"/>
      <c r="AN78" s="438"/>
      <c r="AO78" s="438"/>
      <c r="AP78" s="438"/>
      <c r="AQ78" s="438"/>
      <c r="AR78" s="438"/>
      <c r="AS78" s="438"/>
      <c r="AT78" s="438"/>
      <c r="AU78" s="438"/>
      <c r="AV78" s="438"/>
      <c r="AW78" s="438"/>
      <c r="AX78" s="438"/>
      <c r="AY78" s="438"/>
      <c r="AZ78" s="438"/>
      <c r="BA78" s="438"/>
      <c r="BB78" s="438"/>
      <c r="BC78" s="438"/>
      <c r="BD78" s="447"/>
      <c r="BE78" s="437"/>
      <c r="BF78" s="438"/>
      <c r="BG78" s="438"/>
      <c r="BH78" s="438"/>
      <c r="BI78" s="438"/>
      <c r="BJ78" s="438"/>
      <c r="BK78" s="438"/>
      <c r="BL78" s="438"/>
      <c r="BM78" s="438"/>
      <c r="BN78" s="438"/>
      <c r="BO78" s="438"/>
      <c r="BP78" s="438"/>
      <c r="BQ78" s="438"/>
      <c r="BR78" s="438"/>
      <c r="BS78" s="438"/>
      <c r="BT78" s="438"/>
      <c r="BU78" s="438"/>
      <c r="BV78" s="438"/>
      <c r="BW78" s="438"/>
      <c r="BX78" s="438"/>
      <c r="BY78" s="438"/>
      <c r="BZ78" s="438"/>
      <c r="CA78" s="438"/>
      <c r="CB78" s="438"/>
      <c r="CC78" s="447"/>
      <c r="CD78" s="437"/>
      <c r="CE78" s="438"/>
      <c r="CF78" s="438"/>
      <c r="CG78" s="438"/>
      <c r="CH78" s="438"/>
      <c r="CI78" s="438"/>
      <c r="CJ78" s="438"/>
      <c r="CK78" s="438"/>
      <c r="CL78" s="438"/>
      <c r="CM78" s="438"/>
      <c r="CN78" s="438"/>
      <c r="CO78" s="438"/>
      <c r="CP78" s="438"/>
      <c r="CQ78" s="438"/>
      <c r="CR78" s="438"/>
      <c r="CS78" s="438"/>
      <c r="CT78" s="438"/>
      <c r="CU78" s="438"/>
      <c r="CV78" s="438"/>
      <c r="CW78" s="438"/>
      <c r="CX78" s="438"/>
      <c r="CY78" s="438"/>
      <c r="CZ78" s="438"/>
      <c r="DA78" s="438"/>
      <c r="DB78" s="447"/>
      <c r="DC78" s="437"/>
      <c r="DD78" s="438"/>
      <c r="DE78" s="438"/>
      <c r="DF78" s="438"/>
      <c r="DG78" s="438"/>
      <c r="DH78" s="438"/>
      <c r="DI78" s="438"/>
      <c r="DJ78" s="438"/>
      <c r="DK78" s="438"/>
      <c r="DL78" s="438"/>
      <c r="DM78" s="438"/>
      <c r="DN78" s="438"/>
      <c r="DO78" s="438"/>
      <c r="DP78" s="438"/>
      <c r="DQ78" s="438"/>
      <c r="DR78" s="438"/>
      <c r="DS78" s="438"/>
      <c r="DT78" s="438"/>
      <c r="DU78" s="438"/>
      <c r="DV78" s="438"/>
      <c r="DW78" s="438"/>
      <c r="DX78" s="438"/>
      <c r="DY78" s="438"/>
      <c r="DZ78" s="438"/>
      <c r="EA78" s="447"/>
      <c r="EB78" s="437"/>
      <c r="EC78" s="438"/>
      <c r="ED78" s="438"/>
      <c r="EE78" s="438"/>
      <c r="EF78" s="438"/>
      <c r="EG78" s="438"/>
      <c r="EH78" s="438"/>
      <c r="EI78" s="438"/>
      <c r="EJ78" s="438"/>
      <c r="EK78" s="438"/>
      <c r="EL78" s="438"/>
      <c r="EM78" s="438"/>
      <c r="EN78" s="438"/>
      <c r="EO78" s="438"/>
      <c r="EP78" s="438"/>
      <c r="EQ78" s="438"/>
      <c r="ER78" s="438"/>
      <c r="ES78" s="438"/>
      <c r="ET78" s="438"/>
      <c r="EU78" s="438"/>
      <c r="EV78" s="438"/>
      <c r="EW78" s="438"/>
      <c r="EX78" s="438"/>
      <c r="EY78" s="438"/>
      <c r="EZ78" s="447"/>
      <c r="FA78" s="437"/>
      <c r="FB78" s="438"/>
      <c r="FC78" s="438"/>
      <c r="FD78" s="438"/>
      <c r="FE78" s="438"/>
      <c r="FF78" s="438"/>
      <c r="FG78" s="438"/>
      <c r="FH78" s="438"/>
      <c r="FI78" s="438"/>
      <c r="FJ78" s="438"/>
      <c r="FK78" s="438"/>
      <c r="FL78" s="438"/>
      <c r="FM78" s="438"/>
      <c r="FN78" s="438"/>
      <c r="FO78" s="438"/>
      <c r="FP78" s="438"/>
      <c r="FQ78" s="438"/>
      <c r="FR78" s="438"/>
      <c r="FS78" s="438"/>
      <c r="FT78" s="438"/>
      <c r="FU78" s="438"/>
      <c r="FV78" s="438"/>
      <c r="FW78" s="438"/>
      <c r="FX78" s="438"/>
      <c r="FY78" s="447"/>
      <c r="FZ78" s="437"/>
      <c r="GA78" s="438"/>
      <c r="GB78" s="438"/>
      <c r="GC78" s="438"/>
      <c r="GD78" s="438"/>
      <c r="GE78" s="438"/>
      <c r="GF78" s="438"/>
      <c r="GG78" s="438"/>
      <c r="GH78" s="438"/>
      <c r="GI78" s="438"/>
      <c r="GJ78" s="438"/>
      <c r="GK78" s="438"/>
      <c r="GL78" s="438"/>
      <c r="GM78" s="438"/>
      <c r="GN78" s="438"/>
      <c r="GO78" s="438"/>
      <c r="GP78" s="438"/>
      <c r="GQ78" s="438"/>
      <c r="GR78" s="438"/>
      <c r="GS78" s="438"/>
      <c r="GT78" s="438"/>
      <c r="GU78" s="438"/>
      <c r="GV78" s="438"/>
      <c r="GW78" s="438"/>
      <c r="GX78" s="447"/>
      <c r="GY78" s="437"/>
      <c r="GZ78" s="438"/>
      <c r="HA78" s="438"/>
      <c r="HB78" s="438"/>
      <c r="HC78" s="438"/>
      <c r="HD78" s="438"/>
      <c r="HE78" s="438"/>
      <c r="HF78" s="438"/>
      <c r="HG78" s="438"/>
      <c r="HH78" s="438"/>
      <c r="HI78" s="438"/>
      <c r="HJ78" s="438"/>
      <c r="HK78" s="438"/>
      <c r="HL78" s="438"/>
      <c r="HM78" s="438"/>
      <c r="HN78" s="438"/>
      <c r="HO78" s="438"/>
      <c r="HP78" s="438"/>
      <c r="HQ78" s="438"/>
      <c r="HR78" s="438"/>
      <c r="HS78" s="438"/>
      <c r="HT78" s="438"/>
      <c r="HU78" s="438"/>
      <c r="HV78" s="438"/>
      <c r="HW78" s="447"/>
    </row>
    <row r="79" spans="1:463" ht="24" customHeight="1">
      <c r="A79" s="439"/>
      <c r="B79" s="436"/>
      <c r="C79" s="436"/>
      <c r="D79" s="436"/>
      <c r="E79" s="436"/>
      <c r="F79" s="436"/>
      <c r="G79" s="436"/>
      <c r="H79" s="436"/>
      <c r="I79" s="436"/>
      <c r="J79" s="436"/>
      <c r="K79" s="436"/>
      <c r="L79" s="436"/>
      <c r="M79" s="436"/>
      <c r="N79" s="436"/>
      <c r="O79" s="436"/>
      <c r="P79" s="436"/>
      <c r="Q79" s="436"/>
      <c r="R79" s="436"/>
      <c r="S79" s="436"/>
      <c r="T79" s="436"/>
      <c r="U79" s="436"/>
      <c r="V79" s="436"/>
      <c r="W79" s="436"/>
      <c r="X79" s="436"/>
      <c r="Y79" s="436"/>
      <c r="Z79" s="440"/>
      <c r="AA79" s="436"/>
      <c r="AB79" s="436"/>
      <c r="AC79" s="436"/>
      <c r="AD79" s="436"/>
      <c r="AE79" s="436"/>
      <c r="AF79" s="439"/>
      <c r="AG79" s="436"/>
      <c r="AH79" s="436"/>
      <c r="AI79" s="436"/>
      <c r="AJ79" s="436"/>
      <c r="AK79" s="436"/>
      <c r="AL79" s="436"/>
      <c r="AM79" s="436"/>
      <c r="AN79" s="436"/>
      <c r="AO79" s="436"/>
      <c r="AP79" s="436"/>
      <c r="AQ79" s="436"/>
      <c r="AR79" s="436"/>
      <c r="AS79" s="436"/>
      <c r="AT79" s="436"/>
      <c r="AU79" s="436"/>
      <c r="AV79" s="436"/>
      <c r="AW79" s="436"/>
      <c r="AX79" s="436"/>
      <c r="AY79" s="436"/>
      <c r="AZ79" s="436"/>
      <c r="BA79" s="436"/>
      <c r="BB79" s="436"/>
      <c r="BC79" s="436"/>
      <c r="BD79" s="440"/>
      <c r="BE79" s="439"/>
      <c r="BF79" s="436"/>
      <c r="BG79" s="436"/>
      <c r="BH79" s="436"/>
      <c r="BI79" s="436"/>
      <c r="BJ79" s="436"/>
      <c r="BK79" s="436"/>
      <c r="BL79" s="436"/>
      <c r="BM79" s="436"/>
      <c r="BN79" s="436"/>
      <c r="BO79" s="436"/>
      <c r="BP79" s="436"/>
      <c r="BQ79" s="436"/>
      <c r="BR79" s="436"/>
      <c r="BS79" s="436"/>
      <c r="BT79" s="436"/>
      <c r="BU79" s="436"/>
      <c r="BV79" s="436"/>
      <c r="BW79" s="436"/>
      <c r="BX79" s="436"/>
      <c r="BY79" s="436"/>
      <c r="BZ79" s="436"/>
      <c r="CA79" s="436"/>
      <c r="CB79" s="436"/>
      <c r="CC79" s="440"/>
      <c r="CD79" s="439"/>
      <c r="CE79" s="436"/>
      <c r="CF79" s="436"/>
      <c r="CG79" s="436"/>
      <c r="CH79" s="436"/>
      <c r="CI79" s="436"/>
      <c r="CJ79" s="436"/>
      <c r="CK79" s="436"/>
      <c r="CL79" s="436"/>
      <c r="CM79" s="436"/>
      <c r="CN79" s="436"/>
      <c r="CO79" s="436"/>
      <c r="CP79" s="436"/>
      <c r="CQ79" s="436"/>
      <c r="CR79" s="436"/>
      <c r="CS79" s="436"/>
      <c r="CT79" s="436"/>
      <c r="CU79" s="436"/>
      <c r="CV79" s="436"/>
      <c r="CW79" s="436"/>
      <c r="CX79" s="436"/>
      <c r="CY79" s="436"/>
      <c r="CZ79" s="436"/>
      <c r="DA79" s="436"/>
      <c r="DB79" s="440"/>
      <c r="DC79" s="439"/>
      <c r="DD79" s="436"/>
      <c r="DE79" s="436"/>
      <c r="DF79" s="436"/>
      <c r="DG79" s="436"/>
      <c r="DH79" s="436"/>
      <c r="DI79" s="436"/>
      <c r="DJ79" s="436"/>
      <c r="DK79" s="436"/>
      <c r="DL79" s="436"/>
      <c r="DM79" s="436"/>
      <c r="DN79" s="436"/>
      <c r="DO79" s="436"/>
      <c r="DP79" s="436"/>
      <c r="DQ79" s="436"/>
      <c r="DR79" s="436"/>
      <c r="DS79" s="436"/>
      <c r="DT79" s="436"/>
      <c r="DU79" s="436"/>
      <c r="DV79" s="436"/>
      <c r="DW79" s="436"/>
      <c r="DX79" s="436"/>
      <c r="DY79" s="436"/>
      <c r="DZ79" s="436"/>
      <c r="EA79" s="440"/>
      <c r="EB79" s="439"/>
      <c r="EC79" s="436"/>
      <c r="ED79" s="436"/>
      <c r="EE79" s="436"/>
      <c r="EF79" s="436"/>
      <c r="EG79" s="436"/>
      <c r="EH79" s="436"/>
      <c r="EI79" s="436"/>
      <c r="EJ79" s="436"/>
      <c r="EK79" s="436"/>
      <c r="EL79" s="436"/>
      <c r="EM79" s="436"/>
      <c r="EN79" s="436"/>
      <c r="EO79" s="436"/>
      <c r="EP79" s="436"/>
      <c r="EQ79" s="436"/>
      <c r="ER79" s="436"/>
      <c r="ES79" s="436"/>
      <c r="ET79" s="436"/>
      <c r="EU79" s="436"/>
      <c r="EV79" s="436"/>
      <c r="EW79" s="436"/>
      <c r="EX79" s="436"/>
      <c r="EY79" s="436"/>
      <c r="EZ79" s="440"/>
      <c r="FA79" s="439"/>
      <c r="FB79" s="436"/>
      <c r="FC79" s="436"/>
      <c r="FD79" s="436"/>
      <c r="FE79" s="436"/>
      <c r="FF79" s="436"/>
      <c r="FG79" s="436"/>
      <c r="FH79" s="436"/>
      <c r="FI79" s="436"/>
      <c r="FJ79" s="436"/>
      <c r="FK79" s="436"/>
      <c r="FL79" s="436"/>
      <c r="FM79" s="436"/>
      <c r="FN79" s="436"/>
      <c r="FO79" s="436"/>
      <c r="FP79" s="436"/>
      <c r="FQ79" s="436"/>
      <c r="FR79" s="436"/>
      <c r="FS79" s="436"/>
      <c r="FT79" s="436"/>
      <c r="FU79" s="436"/>
      <c r="FV79" s="436"/>
      <c r="FW79" s="436"/>
      <c r="FX79" s="436"/>
      <c r="FY79" s="440"/>
      <c r="FZ79" s="439"/>
      <c r="GA79" s="436"/>
      <c r="GB79" s="436"/>
      <c r="GC79" s="436"/>
      <c r="GD79" s="436"/>
      <c r="GE79" s="436"/>
      <c r="GF79" s="436"/>
      <c r="GG79" s="436"/>
      <c r="GH79" s="436"/>
      <c r="GI79" s="436"/>
      <c r="GJ79" s="436"/>
      <c r="GK79" s="436"/>
      <c r="GL79" s="436"/>
      <c r="GM79" s="436"/>
      <c r="GN79" s="436"/>
      <c r="GO79" s="436"/>
      <c r="GP79" s="436"/>
      <c r="GQ79" s="436"/>
      <c r="GR79" s="436"/>
      <c r="GS79" s="436"/>
      <c r="GT79" s="436"/>
      <c r="GU79" s="436"/>
      <c r="GV79" s="436"/>
      <c r="GW79" s="436"/>
      <c r="GX79" s="440"/>
      <c r="GY79" s="439"/>
      <c r="GZ79" s="436"/>
      <c r="HA79" s="436"/>
      <c r="HB79" s="436"/>
      <c r="HC79" s="436"/>
      <c r="HD79" s="436"/>
      <c r="HE79" s="436"/>
      <c r="HF79" s="436"/>
      <c r="HG79" s="436"/>
      <c r="HH79" s="436"/>
      <c r="HI79" s="436"/>
      <c r="HJ79" s="436"/>
      <c r="HK79" s="436"/>
      <c r="HL79" s="436"/>
      <c r="HM79" s="436"/>
      <c r="HN79" s="436"/>
      <c r="HO79" s="436"/>
      <c r="HP79" s="436"/>
      <c r="HQ79" s="436"/>
      <c r="HR79" s="436"/>
      <c r="HS79" s="436"/>
      <c r="HT79" s="436"/>
      <c r="HU79" s="436"/>
      <c r="HV79" s="436"/>
      <c r="HW79" s="440"/>
    </row>
    <row r="80" spans="1:463" ht="24" customHeight="1">
      <c r="A80" s="439"/>
      <c r="B80" s="436"/>
      <c r="C80" s="436"/>
      <c r="D80" s="436"/>
      <c r="E80" s="436"/>
      <c r="F80" s="436"/>
      <c r="G80" s="436"/>
      <c r="H80" s="436"/>
      <c r="I80" s="436"/>
      <c r="J80" s="436"/>
      <c r="K80" s="436"/>
      <c r="L80" s="436"/>
      <c r="M80" s="436"/>
      <c r="N80" s="436"/>
      <c r="O80" s="436"/>
      <c r="P80" s="436"/>
      <c r="Q80" s="436"/>
      <c r="R80" s="436"/>
      <c r="S80" s="436"/>
      <c r="T80" s="436"/>
      <c r="U80" s="436"/>
      <c r="V80" s="436"/>
      <c r="W80" s="436"/>
      <c r="X80" s="436"/>
      <c r="Y80" s="436"/>
      <c r="Z80" s="440"/>
      <c r="AA80" s="436"/>
      <c r="AB80" s="436"/>
      <c r="AC80" s="436"/>
      <c r="AD80" s="436"/>
      <c r="AE80" s="436"/>
      <c r="AF80" s="439"/>
      <c r="AG80" s="436"/>
      <c r="AH80" s="436"/>
      <c r="AI80" s="436"/>
      <c r="AJ80" s="436"/>
      <c r="AK80" s="436"/>
      <c r="AL80" s="436"/>
      <c r="AM80" s="436"/>
      <c r="AN80" s="436"/>
      <c r="AO80" s="436"/>
      <c r="AP80" s="436"/>
      <c r="AQ80" s="436"/>
      <c r="AR80" s="436"/>
      <c r="AS80" s="436"/>
      <c r="AT80" s="436"/>
      <c r="AU80" s="436"/>
      <c r="AV80" s="436"/>
      <c r="AW80" s="436"/>
      <c r="AX80" s="436"/>
      <c r="AY80" s="436"/>
      <c r="AZ80" s="436"/>
      <c r="BA80" s="436"/>
      <c r="BB80" s="436"/>
      <c r="BC80" s="436"/>
      <c r="BD80" s="440"/>
      <c r="BE80" s="439"/>
      <c r="BF80" s="436"/>
      <c r="BG80" s="436"/>
      <c r="BH80" s="436"/>
      <c r="BI80" s="436"/>
      <c r="BJ80" s="436"/>
      <c r="BK80" s="436"/>
      <c r="BL80" s="436"/>
      <c r="BM80" s="436"/>
      <c r="BN80" s="436"/>
      <c r="BO80" s="436"/>
      <c r="BP80" s="436"/>
      <c r="BQ80" s="436"/>
      <c r="BR80" s="436"/>
      <c r="BS80" s="436"/>
      <c r="BT80" s="436"/>
      <c r="BU80" s="436"/>
      <c r="BV80" s="436"/>
      <c r="BW80" s="436"/>
      <c r="BX80" s="436"/>
      <c r="BY80" s="436"/>
      <c r="BZ80" s="436"/>
      <c r="CA80" s="436"/>
      <c r="CB80" s="436"/>
      <c r="CC80" s="440"/>
      <c r="CD80" s="439"/>
      <c r="CE80" s="436"/>
      <c r="CF80" s="436"/>
      <c r="CG80" s="436"/>
      <c r="CH80" s="436"/>
      <c r="CI80" s="436"/>
      <c r="CJ80" s="436"/>
      <c r="CK80" s="436"/>
      <c r="CL80" s="436"/>
      <c r="CM80" s="436"/>
      <c r="CN80" s="436"/>
      <c r="CO80" s="436"/>
      <c r="CP80" s="436"/>
      <c r="CQ80" s="436"/>
      <c r="CR80" s="436"/>
      <c r="CS80" s="436"/>
      <c r="CT80" s="436"/>
      <c r="CU80" s="436"/>
      <c r="CV80" s="436"/>
      <c r="CW80" s="436"/>
      <c r="CX80" s="436"/>
      <c r="CY80" s="436"/>
      <c r="CZ80" s="436"/>
      <c r="DA80" s="436"/>
      <c r="DB80" s="440"/>
      <c r="DC80" s="439"/>
      <c r="DD80" s="436"/>
      <c r="DE80" s="436"/>
      <c r="DF80" s="436"/>
      <c r="DG80" s="436"/>
      <c r="DH80" s="436"/>
      <c r="DI80" s="436"/>
      <c r="DJ80" s="436"/>
      <c r="DK80" s="436"/>
      <c r="DL80" s="436"/>
      <c r="DM80" s="436"/>
      <c r="DN80" s="436"/>
      <c r="DO80" s="436"/>
      <c r="DP80" s="436"/>
      <c r="DQ80" s="436"/>
      <c r="DR80" s="436"/>
      <c r="DS80" s="436"/>
      <c r="DT80" s="436"/>
      <c r="DU80" s="436"/>
      <c r="DV80" s="436"/>
      <c r="DW80" s="436"/>
      <c r="DX80" s="436"/>
      <c r="DY80" s="436"/>
      <c r="DZ80" s="436"/>
      <c r="EA80" s="440"/>
      <c r="EB80" s="439"/>
      <c r="EC80" s="436"/>
      <c r="ED80" s="436"/>
      <c r="EE80" s="436"/>
      <c r="EF80" s="436"/>
      <c r="EG80" s="436"/>
      <c r="EH80" s="436"/>
      <c r="EI80" s="436"/>
      <c r="EJ80" s="436"/>
      <c r="EK80" s="436"/>
      <c r="EL80" s="436"/>
      <c r="EM80" s="436"/>
      <c r="EN80" s="436"/>
      <c r="EO80" s="436"/>
      <c r="EP80" s="436"/>
      <c r="EQ80" s="436"/>
      <c r="ER80" s="436"/>
      <c r="ES80" s="436"/>
      <c r="ET80" s="436"/>
      <c r="EU80" s="436"/>
      <c r="EV80" s="436"/>
      <c r="EW80" s="436"/>
      <c r="EX80" s="436"/>
      <c r="EY80" s="436"/>
      <c r="EZ80" s="440"/>
      <c r="FA80" s="439"/>
      <c r="FB80" s="436"/>
      <c r="FC80" s="436"/>
      <c r="FD80" s="436"/>
      <c r="FE80" s="436"/>
      <c r="FF80" s="436"/>
      <c r="FG80" s="436"/>
      <c r="FH80" s="436"/>
      <c r="FI80" s="436"/>
      <c r="FJ80" s="436"/>
      <c r="FK80" s="436"/>
      <c r="FL80" s="436"/>
      <c r="FM80" s="436"/>
      <c r="FN80" s="436"/>
      <c r="FO80" s="436"/>
      <c r="FP80" s="436"/>
      <c r="FQ80" s="436"/>
      <c r="FR80" s="436"/>
      <c r="FS80" s="436"/>
      <c r="FT80" s="436"/>
      <c r="FU80" s="436"/>
      <c r="FV80" s="436"/>
      <c r="FW80" s="436"/>
      <c r="FX80" s="436"/>
      <c r="FY80" s="440"/>
      <c r="FZ80" s="439"/>
      <c r="GA80" s="436"/>
      <c r="GB80" s="436"/>
      <c r="GC80" s="436"/>
      <c r="GD80" s="436"/>
      <c r="GE80" s="436"/>
      <c r="GF80" s="436"/>
      <c r="GG80" s="436"/>
      <c r="GH80" s="436"/>
      <c r="GI80" s="436"/>
      <c r="GJ80" s="436"/>
      <c r="GK80" s="436"/>
      <c r="GL80" s="436"/>
      <c r="GM80" s="436"/>
      <c r="GN80" s="436"/>
      <c r="GO80" s="436"/>
      <c r="GP80" s="436"/>
      <c r="GQ80" s="436"/>
      <c r="GR80" s="436"/>
      <c r="GS80" s="436"/>
      <c r="GT80" s="436"/>
      <c r="GU80" s="436"/>
      <c r="GV80" s="436"/>
      <c r="GW80" s="436"/>
      <c r="GX80" s="440"/>
      <c r="GY80" s="439"/>
      <c r="GZ80" s="436"/>
      <c r="HA80" s="436"/>
      <c r="HB80" s="436"/>
      <c r="HC80" s="436"/>
      <c r="HD80" s="436"/>
      <c r="HE80" s="436"/>
      <c r="HF80" s="436"/>
      <c r="HG80" s="436"/>
      <c r="HH80" s="436"/>
      <c r="HI80" s="436"/>
      <c r="HJ80" s="436"/>
      <c r="HK80" s="436"/>
      <c r="HL80" s="436"/>
      <c r="HM80" s="436"/>
      <c r="HN80" s="436"/>
      <c r="HO80" s="436"/>
      <c r="HP80" s="436"/>
      <c r="HQ80" s="436"/>
      <c r="HR80" s="436"/>
      <c r="HS80" s="436"/>
      <c r="HT80" s="436"/>
      <c r="HU80" s="436"/>
      <c r="HV80" s="436"/>
      <c r="HW80" s="440"/>
    </row>
    <row r="81" spans="1:231" ht="24" customHeight="1">
      <c r="A81" s="439"/>
      <c r="B81" s="436"/>
      <c r="C81" s="436"/>
      <c r="D81" s="436"/>
      <c r="E81" s="436"/>
      <c r="F81" s="436"/>
      <c r="G81" s="436"/>
      <c r="H81" s="436"/>
      <c r="I81" s="436"/>
      <c r="J81" s="436"/>
      <c r="K81" s="436"/>
      <c r="L81" s="436"/>
      <c r="M81" s="436"/>
      <c r="N81" s="436"/>
      <c r="O81" s="436"/>
      <c r="P81" s="436"/>
      <c r="Q81" s="436"/>
      <c r="R81" s="436"/>
      <c r="S81" s="436"/>
      <c r="T81" s="436"/>
      <c r="U81" s="436"/>
      <c r="V81" s="436"/>
      <c r="W81" s="436"/>
      <c r="X81" s="436"/>
      <c r="Y81" s="436"/>
      <c r="Z81" s="440"/>
      <c r="AA81" s="436"/>
      <c r="AB81" s="436"/>
      <c r="AC81" s="436"/>
      <c r="AD81" s="436"/>
      <c r="AE81" s="436"/>
      <c r="AF81" s="439"/>
      <c r="AG81" s="436"/>
      <c r="AH81" s="436"/>
      <c r="AI81" s="436"/>
      <c r="AJ81" s="436"/>
      <c r="AK81" s="436"/>
      <c r="AL81" s="436"/>
      <c r="AM81" s="436"/>
      <c r="AN81" s="436"/>
      <c r="AO81" s="436"/>
      <c r="AP81" s="436"/>
      <c r="AQ81" s="436"/>
      <c r="AR81" s="436"/>
      <c r="AS81" s="436"/>
      <c r="AT81" s="436"/>
      <c r="AU81" s="436"/>
      <c r="AV81" s="436"/>
      <c r="AW81" s="436"/>
      <c r="AX81" s="436"/>
      <c r="AY81" s="436"/>
      <c r="AZ81" s="436"/>
      <c r="BA81" s="436"/>
      <c r="BB81" s="436"/>
      <c r="BC81" s="436"/>
      <c r="BD81" s="440"/>
      <c r="BE81" s="439"/>
      <c r="BF81" s="436"/>
      <c r="BG81" s="436"/>
      <c r="BH81" s="436"/>
      <c r="BI81" s="436"/>
      <c r="BJ81" s="436"/>
      <c r="BK81" s="436"/>
      <c r="BL81" s="436"/>
      <c r="BM81" s="436"/>
      <c r="BN81" s="436"/>
      <c r="BO81" s="436"/>
      <c r="BP81" s="436"/>
      <c r="BQ81" s="436"/>
      <c r="BR81" s="436"/>
      <c r="BS81" s="436"/>
      <c r="BT81" s="436"/>
      <c r="BU81" s="436"/>
      <c r="BV81" s="436"/>
      <c r="BW81" s="436"/>
      <c r="BX81" s="436"/>
      <c r="BY81" s="436"/>
      <c r="BZ81" s="436"/>
      <c r="CA81" s="436"/>
      <c r="CB81" s="436"/>
      <c r="CC81" s="440"/>
      <c r="CD81" s="439"/>
      <c r="CE81" s="436"/>
      <c r="CF81" s="436"/>
      <c r="CG81" s="436"/>
      <c r="CH81" s="436"/>
      <c r="CI81" s="436"/>
      <c r="CJ81" s="436"/>
      <c r="CK81" s="436"/>
      <c r="CL81" s="436"/>
      <c r="CM81" s="436"/>
      <c r="CN81" s="436"/>
      <c r="CO81" s="436"/>
      <c r="CP81" s="436"/>
      <c r="CQ81" s="436"/>
      <c r="CR81" s="436"/>
      <c r="CS81" s="436"/>
      <c r="CT81" s="436"/>
      <c r="CU81" s="436"/>
      <c r="CV81" s="436"/>
      <c r="CW81" s="436"/>
      <c r="CX81" s="436"/>
      <c r="CY81" s="436"/>
      <c r="CZ81" s="436"/>
      <c r="DA81" s="436"/>
      <c r="DB81" s="440"/>
      <c r="DC81" s="439"/>
      <c r="DD81" s="436"/>
      <c r="DE81" s="436"/>
      <c r="DF81" s="436"/>
      <c r="DG81" s="436"/>
      <c r="DH81" s="436"/>
      <c r="DI81" s="436"/>
      <c r="DJ81" s="436"/>
      <c r="DK81" s="436"/>
      <c r="DL81" s="436"/>
      <c r="DM81" s="436"/>
      <c r="DN81" s="436"/>
      <c r="DO81" s="436"/>
      <c r="DP81" s="436"/>
      <c r="DQ81" s="436"/>
      <c r="DR81" s="436"/>
      <c r="DS81" s="436"/>
      <c r="DT81" s="436"/>
      <c r="DU81" s="436"/>
      <c r="DV81" s="436"/>
      <c r="DW81" s="436"/>
      <c r="DX81" s="436"/>
      <c r="DY81" s="436"/>
      <c r="DZ81" s="436"/>
      <c r="EA81" s="440"/>
      <c r="EB81" s="439"/>
      <c r="EC81" s="436"/>
      <c r="ED81" s="436"/>
      <c r="EE81" s="436"/>
      <c r="EF81" s="436"/>
      <c r="EG81" s="436"/>
      <c r="EH81" s="436"/>
      <c r="EI81" s="436"/>
      <c r="EJ81" s="436"/>
      <c r="EK81" s="436"/>
      <c r="EL81" s="436"/>
      <c r="EM81" s="436"/>
      <c r="EN81" s="436"/>
      <c r="EO81" s="436"/>
      <c r="EP81" s="436"/>
      <c r="EQ81" s="436"/>
      <c r="ER81" s="436"/>
      <c r="ES81" s="436"/>
      <c r="ET81" s="436"/>
      <c r="EU81" s="436"/>
      <c r="EV81" s="436"/>
      <c r="EW81" s="436"/>
      <c r="EX81" s="436"/>
      <c r="EY81" s="436"/>
      <c r="EZ81" s="440"/>
      <c r="FA81" s="439"/>
      <c r="FB81" s="436"/>
      <c r="FC81" s="436"/>
      <c r="FD81" s="436"/>
      <c r="FE81" s="436"/>
      <c r="FF81" s="436"/>
      <c r="FG81" s="436"/>
      <c r="FH81" s="436"/>
      <c r="FI81" s="436"/>
      <c r="FJ81" s="436"/>
      <c r="FK81" s="436"/>
      <c r="FL81" s="436"/>
      <c r="FM81" s="436"/>
      <c r="FN81" s="436"/>
      <c r="FO81" s="436"/>
      <c r="FP81" s="436"/>
      <c r="FQ81" s="436"/>
      <c r="FR81" s="436"/>
      <c r="FS81" s="436"/>
      <c r="FT81" s="436"/>
      <c r="FU81" s="436"/>
      <c r="FV81" s="436"/>
      <c r="FW81" s="436"/>
      <c r="FX81" s="436"/>
      <c r="FY81" s="440"/>
      <c r="FZ81" s="439"/>
      <c r="GA81" s="436"/>
      <c r="GB81" s="436"/>
      <c r="GC81" s="436"/>
      <c r="GD81" s="436"/>
      <c r="GE81" s="436"/>
      <c r="GF81" s="436"/>
      <c r="GG81" s="436"/>
      <c r="GH81" s="436"/>
      <c r="GI81" s="436"/>
      <c r="GJ81" s="436"/>
      <c r="GK81" s="436"/>
      <c r="GL81" s="436"/>
      <c r="GM81" s="436"/>
      <c r="GN81" s="436"/>
      <c r="GO81" s="436"/>
      <c r="GP81" s="436"/>
      <c r="GQ81" s="436"/>
      <c r="GR81" s="436"/>
      <c r="GS81" s="436"/>
      <c r="GT81" s="436"/>
      <c r="GU81" s="436"/>
      <c r="GV81" s="436"/>
      <c r="GW81" s="436"/>
      <c r="GX81" s="440"/>
      <c r="GY81" s="439"/>
      <c r="GZ81" s="436"/>
      <c r="HA81" s="436"/>
      <c r="HB81" s="436"/>
      <c r="HC81" s="436"/>
      <c r="HD81" s="436"/>
      <c r="HE81" s="436"/>
      <c r="HF81" s="436"/>
      <c r="HG81" s="436"/>
      <c r="HH81" s="436"/>
      <c r="HI81" s="436"/>
      <c r="HJ81" s="436"/>
      <c r="HK81" s="436"/>
      <c r="HL81" s="436"/>
      <c r="HM81" s="436"/>
      <c r="HN81" s="436"/>
      <c r="HO81" s="436"/>
      <c r="HP81" s="436"/>
      <c r="HQ81" s="436"/>
      <c r="HR81" s="436"/>
      <c r="HS81" s="436"/>
      <c r="HT81" s="436"/>
      <c r="HU81" s="436"/>
      <c r="HV81" s="436"/>
      <c r="HW81" s="440"/>
    </row>
    <row r="82" spans="1:231" ht="24" customHeight="1">
      <c r="A82" s="439"/>
      <c r="B82" s="436"/>
      <c r="C82" s="436"/>
      <c r="D82" s="436"/>
      <c r="E82" s="436"/>
      <c r="F82" s="436"/>
      <c r="G82" s="436"/>
      <c r="H82" s="436"/>
      <c r="I82" s="436"/>
      <c r="J82" s="436"/>
      <c r="K82" s="436"/>
      <c r="L82" s="436"/>
      <c r="M82" s="436"/>
      <c r="N82" s="436"/>
      <c r="O82" s="436"/>
      <c r="P82" s="436"/>
      <c r="Q82" s="436"/>
      <c r="R82" s="436"/>
      <c r="S82" s="436"/>
      <c r="T82" s="436"/>
      <c r="U82" s="436"/>
      <c r="V82" s="436"/>
      <c r="W82" s="436"/>
      <c r="X82" s="436"/>
      <c r="Y82" s="436"/>
      <c r="Z82" s="440"/>
      <c r="AA82" s="436"/>
      <c r="AB82" s="436"/>
      <c r="AC82" s="436"/>
      <c r="AD82" s="436"/>
      <c r="AE82" s="436"/>
      <c r="AF82" s="439"/>
      <c r="AG82" s="436"/>
      <c r="AH82" s="436"/>
      <c r="AI82" s="436"/>
      <c r="AJ82" s="436"/>
      <c r="AK82" s="436"/>
      <c r="AL82" s="436"/>
      <c r="AM82" s="436"/>
      <c r="AN82" s="436"/>
      <c r="AO82" s="436"/>
      <c r="AP82" s="436"/>
      <c r="AQ82" s="436"/>
      <c r="AR82" s="436"/>
      <c r="AS82" s="436"/>
      <c r="AT82" s="436"/>
      <c r="AU82" s="436"/>
      <c r="AV82" s="436"/>
      <c r="AW82" s="436"/>
      <c r="AX82" s="436"/>
      <c r="AY82" s="436"/>
      <c r="AZ82" s="436"/>
      <c r="BA82" s="436"/>
      <c r="BB82" s="436"/>
      <c r="BC82" s="436"/>
      <c r="BD82" s="440"/>
      <c r="BE82" s="439"/>
      <c r="BF82" s="436"/>
      <c r="BG82" s="436"/>
      <c r="BH82" s="436"/>
      <c r="BI82" s="436"/>
      <c r="BJ82" s="436"/>
      <c r="BK82" s="436"/>
      <c r="BL82" s="436"/>
      <c r="BM82" s="436"/>
      <c r="BN82" s="436"/>
      <c r="BO82" s="436"/>
      <c r="BP82" s="436"/>
      <c r="BQ82" s="436"/>
      <c r="BR82" s="436"/>
      <c r="BS82" s="436"/>
      <c r="BT82" s="436"/>
      <c r="BU82" s="436"/>
      <c r="BV82" s="436"/>
      <c r="BW82" s="436"/>
      <c r="BX82" s="436"/>
      <c r="BY82" s="436"/>
      <c r="BZ82" s="436"/>
      <c r="CA82" s="436"/>
      <c r="CB82" s="436"/>
      <c r="CC82" s="440"/>
      <c r="CD82" s="439"/>
      <c r="CE82" s="436"/>
      <c r="CF82" s="436"/>
      <c r="CG82" s="436"/>
      <c r="CH82" s="436"/>
      <c r="CI82" s="436"/>
      <c r="CJ82" s="436"/>
      <c r="CK82" s="436"/>
      <c r="CL82" s="436"/>
      <c r="CM82" s="436"/>
      <c r="CN82" s="436"/>
      <c r="CO82" s="436"/>
      <c r="CP82" s="436"/>
      <c r="CQ82" s="436"/>
      <c r="CR82" s="436"/>
      <c r="CS82" s="436"/>
      <c r="CT82" s="436"/>
      <c r="CU82" s="436"/>
      <c r="CV82" s="436"/>
      <c r="CW82" s="436"/>
      <c r="CX82" s="436"/>
      <c r="CY82" s="436"/>
      <c r="CZ82" s="436"/>
      <c r="DA82" s="436"/>
      <c r="DB82" s="440"/>
      <c r="DC82" s="439"/>
      <c r="DD82" s="436"/>
      <c r="DE82" s="436"/>
      <c r="DF82" s="436"/>
      <c r="DG82" s="436"/>
      <c r="DH82" s="436"/>
      <c r="DI82" s="436"/>
      <c r="DJ82" s="436"/>
      <c r="DK82" s="436"/>
      <c r="DL82" s="436"/>
      <c r="DM82" s="436"/>
      <c r="DN82" s="436"/>
      <c r="DO82" s="436"/>
      <c r="DP82" s="436"/>
      <c r="DQ82" s="436"/>
      <c r="DR82" s="436"/>
      <c r="DS82" s="436"/>
      <c r="DT82" s="436"/>
      <c r="DU82" s="436"/>
      <c r="DV82" s="436"/>
      <c r="DW82" s="436"/>
      <c r="DX82" s="436"/>
      <c r="DY82" s="436"/>
      <c r="DZ82" s="436"/>
      <c r="EA82" s="440"/>
      <c r="EB82" s="439"/>
      <c r="EC82" s="436"/>
      <c r="ED82" s="436"/>
      <c r="EE82" s="436"/>
      <c r="EF82" s="436"/>
      <c r="EG82" s="436"/>
      <c r="EH82" s="436"/>
      <c r="EI82" s="436"/>
      <c r="EJ82" s="436"/>
      <c r="EK82" s="436"/>
      <c r="EL82" s="436"/>
      <c r="EM82" s="436"/>
      <c r="EN82" s="436"/>
      <c r="EO82" s="436"/>
      <c r="EP82" s="436"/>
      <c r="EQ82" s="436"/>
      <c r="ER82" s="436"/>
      <c r="ES82" s="436"/>
      <c r="ET82" s="436"/>
      <c r="EU82" s="436"/>
      <c r="EV82" s="436"/>
      <c r="EW82" s="436"/>
      <c r="EX82" s="436"/>
      <c r="EY82" s="436"/>
      <c r="EZ82" s="440"/>
      <c r="FA82" s="439"/>
      <c r="FB82" s="436"/>
      <c r="FC82" s="436"/>
      <c r="FD82" s="436"/>
      <c r="FE82" s="436"/>
      <c r="FF82" s="436"/>
      <c r="FG82" s="436"/>
      <c r="FH82" s="436"/>
      <c r="FI82" s="436"/>
      <c r="FJ82" s="436"/>
      <c r="FK82" s="436"/>
      <c r="FL82" s="436"/>
      <c r="FM82" s="436"/>
      <c r="FN82" s="436"/>
      <c r="FO82" s="436"/>
      <c r="FP82" s="436"/>
      <c r="FQ82" s="436"/>
      <c r="FR82" s="436"/>
      <c r="FS82" s="436"/>
      <c r="FT82" s="436"/>
      <c r="FU82" s="436"/>
      <c r="FV82" s="436"/>
      <c r="FW82" s="436"/>
      <c r="FX82" s="436"/>
      <c r="FY82" s="440"/>
      <c r="FZ82" s="439"/>
      <c r="GA82" s="436"/>
      <c r="GB82" s="436"/>
      <c r="GC82" s="436"/>
      <c r="GD82" s="436"/>
      <c r="GE82" s="436"/>
      <c r="GF82" s="436"/>
      <c r="GG82" s="436"/>
      <c r="GH82" s="436"/>
      <c r="GI82" s="436"/>
      <c r="GJ82" s="436"/>
      <c r="GK82" s="436"/>
      <c r="GL82" s="436"/>
      <c r="GM82" s="436"/>
      <c r="GN82" s="436"/>
      <c r="GO82" s="436"/>
      <c r="GP82" s="436"/>
      <c r="GQ82" s="436"/>
      <c r="GR82" s="436"/>
      <c r="GS82" s="436"/>
      <c r="GT82" s="436"/>
      <c r="GU82" s="436"/>
      <c r="GV82" s="436"/>
      <c r="GW82" s="436"/>
      <c r="GX82" s="440"/>
      <c r="GY82" s="439"/>
      <c r="GZ82" s="436"/>
      <c r="HA82" s="436"/>
      <c r="HB82" s="436"/>
      <c r="HC82" s="436"/>
      <c r="HD82" s="436"/>
      <c r="HE82" s="436"/>
      <c r="HF82" s="436"/>
      <c r="HG82" s="436"/>
      <c r="HH82" s="436"/>
      <c r="HI82" s="436"/>
      <c r="HJ82" s="436"/>
      <c r="HK82" s="436"/>
      <c r="HL82" s="436"/>
      <c r="HM82" s="436"/>
      <c r="HN82" s="436"/>
      <c r="HO82" s="436"/>
      <c r="HP82" s="436"/>
      <c r="HQ82" s="436"/>
      <c r="HR82" s="436"/>
      <c r="HS82" s="436"/>
      <c r="HT82" s="436"/>
      <c r="HU82" s="436"/>
      <c r="HV82" s="436"/>
      <c r="HW82" s="440"/>
    </row>
    <row r="83" spans="1:231" ht="24" customHeight="1">
      <c r="A83" s="439"/>
      <c r="B83" s="436"/>
      <c r="C83" s="436"/>
      <c r="D83" s="436"/>
      <c r="E83" s="436"/>
      <c r="F83" s="436"/>
      <c r="G83" s="436"/>
      <c r="H83" s="436"/>
      <c r="I83" s="436"/>
      <c r="J83" s="436"/>
      <c r="K83" s="436"/>
      <c r="L83" s="436"/>
      <c r="M83" s="436"/>
      <c r="N83" s="436"/>
      <c r="O83" s="436"/>
      <c r="P83" s="436"/>
      <c r="Q83" s="436"/>
      <c r="R83" s="436"/>
      <c r="S83" s="436"/>
      <c r="T83" s="436"/>
      <c r="U83" s="436"/>
      <c r="V83" s="436"/>
      <c r="W83" s="436"/>
      <c r="X83" s="436"/>
      <c r="Y83" s="436"/>
      <c r="Z83" s="440"/>
      <c r="AA83" s="436"/>
      <c r="AB83" s="436"/>
      <c r="AC83" s="436"/>
      <c r="AD83" s="436"/>
      <c r="AE83" s="436"/>
      <c r="AF83" s="439"/>
      <c r="AG83" s="436"/>
      <c r="AH83" s="436"/>
      <c r="AI83" s="436"/>
      <c r="AJ83" s="436"/>
      <c r="AK83" s="436"/>
      <c r="AL83" s="436"/>
      <c r="AM83" s="436"/>
      <c r="AN83" s="436"/>
      <c r="AO83" s="436"/>
      <c r="AP83" s="436"/>
      <c r="AQ83" s="436"/>
      <c r="AR83" s="436"/>
      <c r="AS83" s="436"/>
      <c r="AT83" s="436"/>
      <c r="AU83" s="436"/>
      <c r="AV83" s="436"/>
      <c r="AW83" s="436"/>
      <c r="AX83" s="436"/>
      <c r="AY83" s="436"/>
      <c r="AZ83" s="436"/>
      <c r="BA83" s="436"/>
      <c r="BB83" s="436"/>
      <c r="BC83" s="436"/>
      <c r="BD83" s="440"/>
      <c r="BE83" s="439"/>
      <c r="BF83" s="436"/>
      <c r="BG83" s="436"/>
      <c r="BH83" s="436"/>
      <c r="BI83" s="436"/>
      <c r="BJ83" s="436"/>
      <c r="BK83" s="436"/>
      <c r="BL83" s="436"/>
      <c r="BM83" s="436"/>
      <c r="BN83" s="436"/>
      <c r="BO83" s="436"/>
      <c r="BP83" s="436"/>
      <c r="BQ83" s="436"/>
      <c r="BR83" s="436"/>
      <c r="BS83" s="436"/>
      <c r="BT83" s="436"/>
      <c r="BU83" s="436"/>
      <c r="BV83" s="436"/>
      <c r="BW83" s="436"/>
      <c r="BX83" s="436"/>
      <c r="BY83" s="436"/>
      <c r="BZ83" s="436"/>
      <c r="CA83" s="436"/>
      <c r="CB83" s="436"/>
      <c r="CC83" s="440"/>
      <c r="CD83" s="439"/>
      <c r="CE83" s="436"/>
      <c r="CF83" s="436"/>
      <c r="CG83" s="436"/>
      <c r="CH83" s="436"/>
      <c r="CI83" s="436"/>
      <c r="CJ83" s="436"/>
      <c r="CK83" s="436"/>
      <c r="CL83" s="436"/>
      <c r="CM83" s="436"/>
      <c r="CN83" s="436"/>
      <c r="CO83" s="436"/>
      <c r="CP83" s="436"/>
      <c r="CQ83" s="436"/>
      <c r="CR83" s="436"/>
      <c r="CS83" s="436"/>
      <c r="CT83" s="436"/>
      <c r="CU83" s="436"/>
      <c r="CV83" s="436"/>
      <c r="CW83" s="436"/>
      <c r="CX83" s="436"/>
      <c r="CY83" s="436"/>
      <c r="CZ83" s="436"/>
      <c r="DA83" s="436"/>
      <c r="DB83" s="440"/>
      <c r="DC83" s="439"/>
      <c r="DD83" s="436"/>
      <c r="DE83" s="436"/>
      <c r="DF83" s="436"/>
      <c r="DG83" s="436"/>
      <c r="DH83" s="436"/>
      <c r="DI83" s="436"/>
      <c r="DJ83" s="436"/>
      <c r="DK83" s="436"/>
      <c r="DL83" s="436"/>
      <c r="DM83" s="436"/>
      <c r="DN83" s="436"/>
      <c r="DO83" s="436"/>
      <c r="DP83" s="436"/>
      <c r="DQ83" s="436"/>
      <c r="DR83" s="436"/>
      <c r="DS83" s="436"/>
      <c r="DT83" s="436"/>
      <c r="DU83" s="436"/>
      <c r="DV83" s="436"/>
      <c r="DW83" s="436"/>
      <c r="DX83" s="436"/>
      <c r="DY83" s="436"/>
      <c r="DZ83" s="436"/>
      <c r="EA83" s="440"/>
      <c r="EB83" s="439"/>
      <c r="EC83" s="436"/>
      <c r="ED83" s="436"/>
      <c r="EE83" s="436"/>
      <c r="EF83" s="436"/>
      <c r="EG83" s="436"/>
      <c r="EH83" s="436"/>
      <c r="EI83" s="436"/>
      <c r="EJ83" s="436"/>
      <c r="EK83" s="436"/>
      <c r="EL83" s="436"/>
      <c r="EM83" s="436"/>
      <c r="EN83" s="436"/>
      <c r="EO83" s="436"/>
      <c r="EP83" s="436"/>
      <c r="EQ83" s="436"/>
      <c r="ER83" s="436"/>
      <c r="ES83" s="436"/>
      <c r="ET83" s="436"/>
      <c r="EU83" s="436"/>
      <c r="EV83" s="436"/>
      <c r="EW83" s="436"/>
      <c r="EX83" s="436"/>
      <c r="EY83" s="436"/>
      <c r="EZ83" s="440"/>
      <c r="FA83" s="439"/>
      <c r="FB83" s="436"/>
      <c r="FC83" s="436"/>
      <c r="FD83" s="436"/>
      <c r="FE83" s="436"/>
      <c r="FF83" s="436"/>
      <c r="FG83" s="436"/>
      <c r="FH83" s="436"/>
      <c r="FI83" s="436"/>
      <c r="FJ83" s="436"/>
      <c r="FK83" s="436"/>
      <c r="FL83" s="436"/>
      <c r="FM83" s="436"/>
      <c r="FN83" s="436"/>
      <c r="FO83" s="436"/>
      <c r="FP83" s="436"/>
      <c r="FQ83" s="436"/>
      <c r="FR83" s="436"/>
      <c r="FS83" s="436"/>
      <c r="FT83" s="436"/>
      <c r="FU83" s="436"/>
      <c r="FV83" s="436"/>
      <c r="FW83" s="436"/>
      <c r="FX83" s="436"/>
      <c r="FY83" s="440"/>
      <c r="FZ83" s="439"/>
      <c r="GA83" s="436"/>
      <c r="GB83" s="436"/>
      <c r="GC83" s="436"/>
      <c r="GD83" s="436"/>
      <c r="GE83" s="436"/>
      <c r="GF83" s="436"/>
      <c r="GG83" s="436"/>
      <c r="GH83" s="436"/>
      <c r="GI83" s="436"/>
      <c r="GJ83" s="436"/>
      <c r="GK83" s="436"/>
      <c r="GL83" s="436"/>
      <c r="GM83" s="436"/>
      <c r="GN83" s="436"/>
      <c r="GO83" s="436"/>
      <c r="GP83" s="436"/>
      <c r="GQ83" s="436"/>
      <c r="GR83" s="436"/>
      <c r="GS83" s="436"/>
      <c r="GT83" s="436"/>
      <c r="GU83" s="436"/>
      <c r="GV83" s="436"/>
      <c r="GW83" s="436"/>
      <c r="GX83" s="440"/>
      <c r="GY83" s="439"/>
      <c r="GZ83" s="436"/>
      <c r="HA83" s="436"/>
      <c r="HB83" s="436"/>
      <c r="HC83" s="436"/>
      <c r="HD83" s="436"/>
      <c r="HE83" s="436"/>
      <c r="HF83" s="436"/>
      <c r="HG83" s="436"/>
      <c r="HH83" s="436"/>
      <c r="HI83" s="436"/>
      <c r="HJ83" s="436"/>
      <c r="HK83" s="436"/>
      <c r="HL83" s="436"/>
      <c r="HM83" s="436"/>
      <c r="HN83" s="436"/>
      <c r="HO83" s="436"/>
      <c r="HP83" s="436"/>
      <c r="HQ83" s="436"/>
      <c r="HR83" s="436"/>
      <c r="HS83" s="436"/>
      <c r="HT83" s="436"/>
      <c r="HU83" s="436"/>
      <c r="HV83" s="436"/>
      <c r="HW83" s="440"/>
    </row>
    <row r="84" spans="1:231" ht="24" customHeight="1">
      <c r="A84" s="439"/>
      <c r="B84" s="436"/>
      <c r="C84" s="436"/>
      <c r="D84" s="436"/>
      <c r="E84" s="436"/>
      <c r="F84" s="436"/>
      <c r="G84" s="436"/>
      <c r="H84" s="436"/>
      <c r="I84" s="436"/>
      <c r="J84" s="436"/>
      <c r="K84" s="436"/>
      <c r="L84" s="436"/>
      <c r="M84" s="436"/>
      <c r="N84" s="436"/>
      <c r="O84" s="436"/>
      <c r="P84" s="436"/>
      <c r="Q84" s="436"/>
      <c r="R84" s="436"/>
      <c r="S84" s="436"/>
      <c r="T84" s="436"/>
      <c r="U84" s="436"/>
      <c r="V84" s="436"/>
      <c r="W84" s="436"/>
      <c r="X84" s="436"/>
      <c r="Y84" s="436"/>
      <c r="Z84" s="440"/>
      <c r="AA84" s="436"/>
      <c r="AB84" s="436"/>
      <c r="AC84" s="436"/>
      <c r="AD84" s="436"/>
      <c r="AE84" s="436"/>
      <c r="AF84" s="439"/>
      <c r="AG84" s="436"/>
      <c r="AH84" s="436"/>
      <c r="AI84" s="436"/>
      <c r="AJ84" s="436"/>
      <c r="AK84" s="436"/>
      <c r="AL84" s="436"/>
      <c r="AM84" s="436"/>
      <c r="AN84" s="436"/>
      <c r="AO84" s="436"/>
      <c r="AP84" s="436"/>
      <c r="AQ84" s="436"/>
      <c r="AR84" s="436"/>
      <c r="AS84" s="436"/>
      <c r="AT84" s="436"/>
      <c r="AU84" s="436"/>
      <c r="AV84" s="436"/>
      <c r="AW84" s="436"/>
      <c r="AX84" s="436"/>
      <c r="AY84" s="436"/>
      <c r="AZ84" s="436"/>
      <c r="BA84" s="436"/>
      <c r="BB84" s="436"/>
      <c r="BC84" s="436"/>
      <c r="BD84" s="440"/>
      <c r="BE84" s="439"/>
      <c r="BF84" s="436"/>
      <c r="BG84" s="436"/>
      <c r="BH84" s="436"/>
      <c r="BI84" s="436"/>
      <c r="BJ84" s="436"/>
      <c r="BK84" s="436"/>
      <c r="BL84" s="436"/>
      <c r="BM84" s="436"/>
      <c r="BN84" s="436"/>
      <c r="BO84" s="436"/>
      <c r="BP84" s="436"/>
      <c r="BQ84" s="436"/>
      <c r="BR84" s="436"/>
      <c r="BS84" s="436"/>
      <c r="BT84" s="436"/>
      <c r="BU84" s="436"/>
      <c r="BV84" s="436"/>
      <c r="BW84" s="436"/>
      <c r="BX84" s="436"/>
      <c r="BY84" s="436"/>
      <c r="BZ84" s="436"/>
      <c r="CA84" s="436"/>
      <c r="CB84" s="436"/>
      <c r="CC84" s="440"/>
      <c r="CD84" s="439"/>
      <c r="CE84" s="436"/>
      <c r="CF84" s="436"/>
      <c r="CG84" s="436"/>
      <c r="CH84" s="436"/>
      <c r="CI84" s="436"/>
      <c r="CJ84" s="436"/>
      <c r="CK84" s="436"/>
      <c r="CL84" s="436"/>
      <c r="CM84" s="436"/>
      <c r="CN84" s="436"/>
      <c r="CO84" s="436"/>
      <c r="CP84" s="436"/>
      <c r="CQ84" s="436"/>
      <c r="CR84" s="436"/>
      <c r="CS84" s="436"/>
      <c r="CT84" s="436"/>
      <c r="CU84" s="436"/>
      <c r="CV84" s="436"/>
      <c r="CW84" s="436"/>
      <c r="CX84" s="436"/>
      <c r="CY84" s="436"/>
      <c r="CZ84" s="436"/>
      <c r="DA84" s="436"/>
      <c r="DB84" s="440"/>
      <c r="DC84" s="439"/>
      <c r="DD84" s="436"/>
      <c r="DE84" s="436"/>
      <c r="DF84" s="436"/>
      <c r="DG84" s="436"/>
      <c r="DH84" s="436"/>
      <c r="DI84" s="436"/>
      <c r="DJ84" s="436"/>
      <c r="DK84" s="436"/>
      <c r="DL84" s="436"/>
      <c r="DM84" s="436"/>
      <c r="DN84" s="436"/>
      <c r="DO84" s="436"/>
      <c r="DP84" s="436"/>
      <c r="DQ84" s="436"/>
      <c r="DR84" s="436"/>
      <c r="DS84" s="436"/>
      <c r="DT84" s="436"/>
      <c r="DU84" s="436"/>
      <c r="DV84" s="436"/>
      <c r="DW84" s="436"/>
      <c r="DX84" s="436"/>
      <c r="DY84" s="436"/>
      <c r="DZ84" s="436"/>
      <c r="EA84" s="440"/>
      <c r="EB84" s="439"/>
      <c r="EC84" s="436"/>
      <c r="ED84" s="436"/>
      <c r="EE84" s="436"/>
      <c r="EF84" s="436"/>
      <c r="EG84" s="436"/>
      <c r="EH84" s="436"/>
      <c r="EI84" s="436"/>
      <c r="EJ84" s="436"/>
      <c r="EK84" s="436"/>
      <c r="EL84" s="436"/>
      <c r="EM84" s="436"/>
      <c r="EN84" s="436"/>
      <c r="EO84" s="436"/>
      <c r="EP84" s="436"/>
      <c r="EQ84" s="436"/>
      <c r="ER84" s="436"/>
      <c r="ES84" s="436"/>
      <c r="ET84" s="436"/>
      <c r="EU84" s="436"/>
      <c r="EV84" s="436"/>
      <c r="EW84" s="436"/>
      <c r="EX84" s="436"/>
      <c r="EY84" s="436"/>
      <c r="EZ84" s="440"/>
      <c r="FA84" s="439"/>
      <c r="FB84" s="436"/>
      <c r="FC84" s="436"/>
      <c r="FD84" s="436"/>
      <c r="FE84" s="436"/>
      <c r="FF84" s="436"/>
      <c r="FG84" s="436"/>
      <c r="FH84" s="436"/>
      <c r="FI84" s="436"/>
      <c r="FJ84" s="436"/>
      <c r="FK84" s="436"/>
      <c r="FL84" s="436"/>
      <c r="FM84" s="436"/>
      <c r="FN84" s="436"/>
      <c r="FO84" s="436"/>
      <c r="FP84" s="436"/>
      <c r="FQ84" s="436"/>
      <c r="FR84" s="436"/>
      <c r="FS84" s="436"/>
      <c r="FT84" s="436"/>
      <c r="FU84" s="436"/>
      <c r="FV84" s="436"/>
      <c r="FW84" s="436"/>
      <c r="FX84" s="436"/>
      <c r="FY84" s="440"/>
      <c r="FZ84" s="439"/>
      <c r="GA84" s="436"/>
      <c r="GB84" s="436"/>
      <c r="GC84" s="436"/>
      <c r="GD84" s="436"/>
      <c r="GE84" s="436"/>
      <c r="GF84" s="436"/>
      <c r="GG84" s="436"/>
      <c r="GH84" s="436"/>
      <c r="GI84" s="436"/>
      <c r="GJ84" s="436"/>
      <c r="GK84" s="436"/>
      <c r="GL84" s="436"/>
      <c r="GM84" s="436"/>
      <c r="GN84" s="436"/>
      <c r="GO84" s="436"/>
      <c r="GP84" s="436"/>
      <c r="GQ84" s="436"/>
      <c r="GR84" s="436"/>
      <c r="GS84" s="436"/>
      <c r="GT84" s="436"/>
      <c r="GU84" s="436"/>
      <c r="GV84" s="436"/>
      <c r="GW84" s="436"/>
      <c r="GX84" s="440"/>
      <c r="GY84" s="439"/>
      <c r="GZ84" s="436"/>
      <c r="HA84" s="436"/>
      <c r="HB84" s="436"/>
      <c r="HC84" s="436"/>
      <c r="HD84" s="436"/>
      <c r="HE84" s="436"/>
      <c r="HF84" s="436"/>
      <c r="HG84" s="436"/>
      <c r="HH84" s="436"/>
      <c r="HI84" s="436"/>
      <c r="HJ84" s="436"/>
      <c r="HK84" s="436"/>
      <c r="HL84" s="436"/>
      <c r="HM84" s="436"/>
      <c r="HN84" s="436"/>
      <c r="HO84" s="436"/>
      <c r="HP84" s="436"/>
      <c r="HQ84" s="436"/>
      <c r="HR84" s="436"/>
      <c r="HS84" s="436"/>
      <c r="HT84" s="436"/>
      <c r="HU84" s="436"/>
      <c r="HV84" s="436"/>
      <c r="HW84" s="440"/>
    </row>
    <row r="85" spans="1:231" ht="24" customHeight="1">
      <c r="A85" s="439"/>
      <c r="B85" s="436"/>
      <c r="C85" s="436"/>
      <c r="D85" s="436"/>
      <c r="E85" s="436"/>
      <c r="F85" s="436"/>
      <c r="G85" s="436"/>
      <c r="H85" s="436"/>
      <c r="I85" s="436"/>
      <c r="J85" s="436"/>
      <c r="K85" s="436"/>
      <c r="L85" s="436"/>
      <c r="M85" s="436"/>
      <c r="N85" s="436"/>
      <c r="O85" s="436"/>
      <c r="P85" s="436"/>
      <c r="Q85" s="436"/>
      <c r="R85" s="436"/>
      <c r="S85" s="436"/>
      <c r="T85" s="436"/>
      <c r="U85" s="436"/>
      <c r="V85" s="436"/>
      <c r="W85" s="436"/>
      <c r="X85" s="436"/>
      <c r="Y85" s="436"/>
      <c r="Z85" s="440"/>
      <c r="AA85" s="436"/>
      <c r="AB85" s="436"/>
      <c r="AC85" s="436"/>
      <c r="AD85" s="436"/>
      <c r="AE85" s="436"/>
      <c r="AF85" s="439"/>
      <c r="AG85" s="436"/>
      <c r="AH85" s="436"/>
      <c r="AI85" s="436"/>
      <c r="AJ85" s="436"/>
      <c r="AK85" s="436"/>
      <c r="AL85" s="436"/>
      <c r="AM85" s="436"/>
      <c r="AN85" s="436"/>
      <c r="AO85" s="436"/>
      <c r="AP85" s="436"/>
      <c r="AQ85" s="436"/>
      <c r="AR85" s="436"/>
      <c r="AS85" s="436"/>
      <c r="AT85" s="436"/>
      <c r="AU85" s="436"/>
      <c r="AV85" s="436"/>
      <c r="AW85" s="436"/>
      <c r="AX85" s="436"/>
      <c r="AY85" s="436"/>
      <c r="AZ85" s="436"/>
      <c r="BA85" s="436"/>
      <c r="BB85" s="436"/>
      <c r="BC85" s="436"/>
      <c r="BD85" s="440"/>
      <c r="BE85" s="439"/>
      <c r="BF85" s="436"/>
      <c r="BG85" s="436"/>
      <c r="BH85" s="436"/>
      <c r="BI85" s="436"/>
      <c r="BJ85" s="436"/>
      <c r="BK85" s="436"/>
      <c r="BL85" s="436"/>
      <c r="BM85" s="436"/>
      <c r="BN85" s="436"/>
      <c r="BO85" s="436"/>
      <c r="BP85" s="436"/>
      <c r="BQ85" s="436"/>
      <c r="BR85" s="436"/>
      <c r="BS85" s="436"/>
      <c r="BT85" s="436"/>
      <c r="BU85" s="436"/>
      <c r="BV85" s="436"/>
      <c r="BW85" s="436"/>
      <c r="BX85" s="436"/>
      <c r="BY85" s="436"/>
      <c r="BZ85" s="436"/>
      <c r="CA85" s="436"/>
      <c r="CB85" s="436"/>
      <c r="CC85" s="440"/>
      <c r="CD85" s="439"/>
      <c r="CE85" s="436"/>
      <c r="CF85" s="436"/>
      <c r="CG85" s="436"/>
      <c r="CH85" s="436"/>
      <c r="CI85" s="436"/>
      <c r="CJ85" s="436"/>
      <c r="CK85" s="436"/>
      <c r="CL85" s="436"/>
      <c r="CM85" s="436"/>
      <c r="CN85" s="436"/>
      <c r="CO85" s="436"/>
      <c r="CP85" s="436"/>
      <c r="CQ85" s="436"/>
      <c r="CR85" s="436"/>
      <c r="CS85" s="436"/>
      <c r="CT85" s="436"/>
      <c r="CU85" s="436"/>
      <c r="CV85" s="436"/>
      <c r="CW85" s="436"/>
      <c r="CX85" s="436"/>
      <c r="CY85" s="436"/>
      <c r="CZ85" s="436"/>
      <c r="DA85" s="436"/>
      <c r="DB85" s="440"/>
      <c r="DC85" s="439"/>
      <c r="DD85" s="436"/>
      <c r="DE85" s="436"/>
      <c r="DF85" s="436"/>
      <c r="DG85" s="436"/>
      <c r="DH85" s="436"/>
      <c r="DI85" s="436"/>
      <c r="DJ85" s="436"/>
      <c r="DK85" s="436"/>
      <c r="DL85" s="436"/>
      <c r="DM85" s="436"/>
      <c r="DN85" s="436"/>
      <c r="DO85" s="436"/>
      <c r="DP85" s="436"/>
      <c r="DQ85" s="436"/>
      <c r="DR85" s="436"/>
      <c r="DS85" s="436"/>
      <c r="DT85" s="436"/>
      <c r="DU85" s="436"/>
      <c r="DV85" s="436"/>
      <c r="DW85" s="436"/>
      <c r="DX85" s="436"/>
      <c r="DY85" s="436"/>
      <c r="DZ85" s="436"/>
      <c r="EA85" s="440"/>
      <c r="EB85" s="439"/>
      <c r="EC85" s="436"/>
      <c r="ED85" s="436"/>
      <c r="EE85" s="436"/>
      <c r="EF85" s="436"/>
      <c r="EG85" s="436"/>
      <c r="EH85" s="436"/>
      <c r="EI85" s="436"/>
      <c r="EJ85" s="436"/>
      <c r="EK85" s="436"/>
      <c r="EL85" s="436"/>
      <c r="EM85" s="436"/>
      <c r="EN85" s="436"/>
      <c r="EO85" s="436"/>
      <c r="EP85" s="436"/>
      <c r="EQ85" s="436"/>
      <c r="ER85" s="436"/>
      <c r="ES85" s="436"/>
      <c r="ET85" s="436"/>
      <c r="EU85" s="436"/>
      <c r="EV85" s="436"/>
      <c r="EW85" s="436"/>
      <c r="EX85" s="436"/>
      <c r="EY85" s="436"/>
      <c r="EZ85" s="440"/>
      <c r="FA85" s="439"/>
      <c r="FB85" s="436"/>
      <c r="FC85" s="436"/>
      <c r="FD85" s="436"/>
      <c r="FE85" s="436"/>
      <c r="FF85" s="436"/>
      <c r="FG85" s="436"/>
      <c r="FH85" s="436"/>
      <c r="FI85" s="436"/>
      <c r="FJ85" s="436"/>
      <c r="FK85" s="436"/>
      <c r="FL85" s="436"/>
      <c r="FM85" s="436"/>
      <c r="FN85" s="436"/>
      <c r="FO85" s="436"/>
      <c r="FP85" s="436"/>
      <c r="FQ85" s="436"/>
      <c r="FR85" s="436"/>
      <c r="FS85" s="436"/>
      <c r="FT85" s="436"/>
      <c r="FU85" s="436"/>
      <c r="FV85" s="436"/>
      <c r="FW85" s="436"/>
      <c r="FX85" s="436"/>
      <c r="FY85" s="440"/>
      <c r="FZ85" s="439"/>
      <c r="GA85" s="436"/>
      <c r="GB85" s="436"/>
      <c r="GC85" s="436"/>
      <c r="GD85" s="436"/>
      <c r="GE85" s="436"/>
      <c r="GF85" s="436"/>
      <c r="GG85" s="436"/>
      <c r="GH85" s="436"/>
      <c r="GI85" s="436"/>
      <c r="GJ85" s="436"/>
      <c r="GK85" s="436"/>
      <c r="GL85" s="436"/>
      <c r="GM85" s="436"/>
      <c r="GN85" s="436"/>
      <c r="GO85" s="436"/>
      <c r="GP85" s="436"/>
      <c r="GQ85" s="436"/>
      <c r="GR85" s="436"/>
      <c r="GS85" s="436"/>
      <c r="GT85" s="436"/>
      <c r="GU85" s="436"/>
      <c r="GV85" s="436"/>
      <c r="GW85" s="436"/>
      <c r="GX85" s="440"/>
      <c r="GY85" s="439"/>
      <c r="GZ85" s="436"/>
      <c r="HA85" s="436"/>
      <c r="HB85" s="436"/>
      <c r="HC85" s="436"/>
      <c r="HD85" s="436"/>
      <c r="HE85" s="436"/>
      <c r="HF85" s="436"/>
      <c r="HG85" s="436"/>
      <c r="HH85" s="436"/>
      <c r="HI85" s="436"/>
      <c r="HJ85" s="436"/>
      <c r="HK85" s="436"/>
      <c r="HL85" s="436"/>
      <c r="HM85" s="436"/>
      <c r="HN85" s="436"/>
      <c r="HO85" s="436"/>
      <c r="HP85" s="436"/>
      <c r="HQ85" s="436"/>
      <c r="HR85" s="436"/>
      <c r="HS85" s="436"/>
      <c r="HT85" s="436"/>
      <c r="HU85" s="436"/>
      <c r="HV85" s="436"/>
      <c r="HW85" s="440"/>
    </row>
    <row r="86" spans="1:231" ht="24" customHeight="1">
      <c r="A86" s="439"/>
      <c r="B86" s="436"/>
      <c r="C86" s="436"/>
      <c r="D86" s="436"/>
      <c r="E86" s="436"/>
      <c r="F86" s="436"/>
      <c r="G86" s="436"/>
      <c r="H86" s="436"/>
      <c r="I86" s="436"/>
      <c r="J86" s="436"/>
      <c r="K86" s="436"/>
      <c r="L86" s="436"/>
      <c r="M86" s="436"/>
      <c r="N86" s="436"/>
      <c r="O86" s="436"/>
      <c r="P86" s="436"/>
      <c r="Q86" s="436"/>
      <c r="R86" s="436"/>
      <c r="S86" s="436"/>
      <c r="T86" s="436"/>
      <c r="U86" s="436"/>
      <c r="V86" s="436"/>
      <c r="W86" s="436"/>
      <c r="X86" s="436"/>
      <c r="Y86" s="436"/>
      <c r="Z86" s="440"/>
      <c r="AA86" s="436"/>
      <c r="AB86" s="436"/>
      <c r="AC86" s="436"/>
      <c r="AD86" s="436"/>
      <c r="AE86" s="436"/>
      <c r="AF86" s="439"/>
      <c r="AG86" s="436"/>
      <c r="AH86" s="436"/>
      <c r="AI86" s="436"/>
      <c r="AJ86" s="436"/>
      <c r="AK86" s="436"/>
      <c r="AL86" s="436"/>
      <c r="AM86" s="436"/>
      <c r="AN86" s="436"/>
      <c r="AO86" s="436"/>
      <c r="AP86" s="436"/>
      <c r="AQ86" s="436"/>
      <c r="AR86" s="436"/>
      <c r="AS86" s="436"/>
      <c r="AT86" s="436"/>
      <c r="AU86" s="436"/>
      <c r="AV86" s="436"/>
      <c r="AW86" s="436"/>
      <c r="AX86" s="436"/>
      <c r="AY86" s="436"/>
      <c r="AZ86" s="436"/>
      <c r="BA86" s="436"/>
      <c r="BB86" s="436"/>
      <c r="BC86" s="436"/>
      <c r="BD86" s="440"/>
      <c r="BE86" s="439"/>
      <c r="BF86" s="436"/>
      <c r="BG86" s="436"/>
      <c r="BH86" s="436"/>
      <c r="BI86" s="436"/>
      <c r="BJ86" s="436"/>
      <c r="BK86" s="436"/>
      <c r="BL86" s="436"/>
      <c r="BM86" s="436"/>
      <c r="BN86" s="436"/>
      <c r="BO86" s="436"/>
      <c r="BP86" s="436"/>
      <c r="BQ86" s="436"/>
      <c r="BR86" s="436"/>
      <c r="BS86" s="436"/>
      <c r="BT86" s="436"/>
      <c r="BU86" s="436"/>
      <c r="BV86" s="436"/>
      <c r="BW86" s="436"/>
      <c r="BX86" s="436"/>
      <c r="BY86" s="436"/>
      <c r="BZ86" s="436"/>
      <c r="CA86" s="436"/>
      <c r="CB86" s="436"/>
      <c r="CC86" s="440"/>
      <c r="CD86" s="439"/>
      <c r="CE86" s="436"/>
      <c r="CF86" s="436"/>
      <c r="CG86" s="436"/>
      <c r="CH86" s="436"/>
      <c r="CI86" s="436"/>
      <c r="CJ86" s="436"/>
      <c r="CK86" s="436"/>
      <c r="CL86" s="436"/>
      <c r="CM86" s="436"/>
      <c r="CN86" s="436"/>
      <c r="CO86" s="436"/>
      <c r="CP86" s="436"/>
      <c r="CQ86" s="436"/>
      <c r="CR86" s="436"/>
      <c r="CS86" s="436"/>
      <c r="CT86" s="436"/>
      <c r="CU86" s="436"/>
      <c r="CV86" s="436"/>
      <c r="CW86" s="436"/>
      <c r="CX86" s="436"/>
      <c r="CY86" s="436"/>
      <c r="CZ86" s="436"/>
      <c r="DA86" s="436"/>
      <c r="DB86" s="440"/>
      <c r="DC86" s="439"/>
      <c r="DD86" s="436"/>
      <c r="DE86" s="436"/>
      <c r="DF86" s="436"/>
      <c r="DG86" s="436"/>
      <c r="DH86" s="436"/>
      <c r="DI86" s="436"/>
      <c r="DJ86" s="436"/>
      <c r="DK86" s="436"/>
      <c r="DL86" s="436"/>
      <c r="DM86" s="436"/>
      <c r="DN86" s="436"/>
      <c r="DO86" s="436"/>
      <c r="DP86" s="436"/>
      <c r="DQ86" s="436"/>
      <c r="DR86" s="436"/>
      <c r="DS86" s="436"/>
      <c r="DT86" s="436"/>
      <c r="DU86" s="436"/>
      <c r="DV86" s="436"/>
      <c r="DW86" s="436"/>
      <c r="DX86" s="436"/>
      <c r="DY86" s="436"/>
      <c r="DZ86" s="436"/>
      <c r="EA86" s="440"/>
      <c r="EB86" s="439"/>
      <c r="EC86" s="436"/>
      <c r="ED86" s="436"/>
      <c r="EE86" s="436"/>
      <c r="EF86" s="436"/>
      <c r="EG86" s="436"/>
      <c r="EH86" s="436"/>
      <c r="EI86" s="436"/>
      <c r="EJ86" s="436"/>
      <c r="EK86" s="436"/>
      <c r="EL86" s="436"/>
      <c r="EM86" s="436"/>
      <c r="EN86" s="436"/>
      <c r="EO86" s="436"/>
      <c r="EP86" s="436"/>
      <c r="EQ86" s="436"/>
      <c r="ER86" s="436"/>
      <c r="ES86" s="436"/>
      <c r="ET86" s="436"/>
      <c r="EU86" s="436"/>
      <c r="EV86" s="436"/>
      <c r="EW86" s="436"/>
      <c r="EX86" s="436"/>
      <c r="EY86" s="436"/>
      <c r="EZ86" s="440"/>
      <c r="FA86" s="439"/>
      <c r="FB86" s="436"/>
      <c r="FC86" s="436"/>
      <c r="FD86" s="436"/>
      <c r="FE86" s="436"/>
      <c r="FF86" s="436"/>
      <c r="FG86" s="436"/>
      <c r="FH86" s="436"/>
      <c r="FI86" s="436"/>
      <c r="FJ86" s="436"/>
      <c r="FK86" s="436"/>
      <c r="FL86" s="436"/>
      <c r="FM86" s="436"/>
      <c r="FN86" s="436"/>
      <c r="FO86" s="436"/>
      <c r="FP86" s="436"/>
      <c r="FQ86" s="436"/>
      <c r="FR86" s="436"/>
      <c r="FS86" s="436"/>
      <c r="FT86" s="436"/>
      <c r="FU86" s="436"/>
      <c r="FV86" s="436"/>
      <c r="FW86" s="436"/>
      <c r="FX86" s="436"/>
      <c r="FY86" s="440"/>
      <c r="FZ86" s="439"/>
      <c r="GA86" s="436"/>
      <c r="GB86" s="436"/>
      <c r="GC86" s="436"/>
      <c r="GD86" s="436"/>
      <c r="GE86" s="436"/>
      <c r="GF86" s="436"/>
      <c r="GG86" s="436"/>
      <c r="GH86" s="436"/>
      <c r="GI86" s="436"/>
      <c r="GJ86" s="436"/>
      <c r="GK86" s="436"/>
      <c r="GL86" s="436"/>
      <c r="GM86" s="436"/>
      <c r="GN86" s="436"/>
      <c r="GO86" s="436"/>
      <c r="GP86" s="436"/>
      <c r="GQ86" s="436"/>
      <c r="GR86" s="436"/>
      <c r="GS86" s="436"/>
      <c r="GT86" s="436"/>
      <c r="GU86" s="436"/>
      <c r="GV86" s="436"/>
      <c r="GW86" s="436"/>
      <c r="GX86" s="440"/>
      <c r="GY86" s="439"/>
      <c r="GZ86" s="436"/>
      <c r="HA86" s="436"/>
      <c r="HB86" s="436"/>
      <c r="HC86" s="436"/>
      <c r="HD86" s="436"/>
      <c r="HE86" s="436"/>
      <c r="HF86" s="436"/>
      <c r="HG86" s="436"/>
      <c r="HH86" s="436"/>
      <c r="HI86" s="436"/>
      <c r="HJ86" s="436"/>
      <c r="HK86" s="436"/>
      <c r="HL86" s="436"/>
      <c r="HM86" s="436"/>
      <c r="HN86" s="436"/>
      <c r="HO86" s="436"/>
      <c r="HP86" s="436"/>
      <c r="HQ86" s="436"/>
      <c r="HR86" s="436"/>
      <c r="HS86" s="436"/>
      <c r="HT86" s="436"/>
      <c r="HU86" s="436"/>
      <c r="HV86" s="436"/>
      <c r="HW86" s="440"/>
    </row>
    <row r="87" spans="1:231" ht="24" customHeight="1">
      <c r="A87" s="439"/>
      <c r="B87" s="436"/>
      <c r="C87" s="436"/>
      <c r="D87" s="436"/>
      <c r="E87" s="436"/>
      <c r="F87" s="436"/>
      <c r="G87" s="436"/>
      <c r="H87" s="436"/>
      <c r="I87" s="436"/>
      <c r="J87" s="436"/>
      <c r="K87" s="436"/>
      <c r="L87" s="436"/>
      <c r="M87" s="436"/>
      <c r="N87" s="436"/>
      <c r="O87" s="436"/>
      <c r="P87" s="436"/>
      <c r="Q87" s="436"/>
      <c r="R87" s="436"/>
      <c r="S87" s="436"/>
      <c r="T87" s="436"/>
      <c r="U87" s="436"/>
      <c r="V87" s="436"/>
      <c r="W87" s="436"/>
      <c r="X87" s="436"/>
      <c r="Y87" s="436"/>
      <c r="Z87" s="440"/>
      <c r="AA87" s="436"/>
      <c r="AB87" s="436"/>
      <c r="AC87" s="436"/>
      <c r="AD87" s="436"/>
      <c r="AE87" s="436"/>
      <c r="AF87" s="439"/>
      <c r="AG87" s="436"/>
      <c r="AH87" s="436"/>
      <c r="AI87" s="436"/>
      <c r="AJ87" s="436"/>
      <c r="AK87" s="436"/>
      <c r="AL87" s="436"/>
      <c r="AM87" s="436"/>
      <c r="AN87" s="436"/>
      <c r="AO87" s="436"/>
      <c r="AP87" s="436"/>
      <c r="AQ87" s="436"/>
      <c r="AR87" s="436"/>
      <c r="AS87" s="436"/>
      <c r="AT87" s="436"/>
      <c r="AU87" s="436"/>
      <c r="AV87" s="436"/>
      <c r="AW87" s="436"/>
      <c r="AX87" s="436"/>
      <c r="AY87" s="436"/>
      <c r="AZ87" s="436"/>
      <c r="BA87" s="436"/>
      <c r="BB87" s="436"/>
      <c r="BC87" s="436"/>
      <c r="BD87" s="440"/>
      <c r="BE87" s="439"/>
      <c r="BF87" s="436"/>
      <c r="BG87" s="436"/>
      <c r="BH87" s="436"/>
      <c r="BI87" s="436"/>
      <c r="BJ87" s="436"/>
      <c r="BK87" s="436"/>
      <c r="BL87" s="436"/>
      <c r="BM87" s="436"/>
      <c r="BN87" s="436"/>
      <c r="BO87" s="436"/>
      <c r="BP87" s="436"/>
      <c r="BQ87" s="436"/>
      <c r="BR87" s="436"/>
      <c r="BS87" s="436"/>
      <c r="BT87" s="436"/>
      <c r="BU87" s="436"/>
      <c r="BV87" s="436"/>
      <c r="BW87" s="436"/>
      <c r="BX87" s="436"/>
      <c r="BY87" s="436"/>
      <c r="BZ87" s="436"/>
      <c r="CA87" s="436"/>
      <c r="CB87" s="436"/>
      <c r="CC87" s="440"/>
      <c r="CD87" s="439"/>
      <c r="CE87" s="436"/>
      <c r="CF87" s="436"/>
      <c r="CG87" s="436"/>
      <c r="CH87" s="436"/>
      <c r="CI87" s="436"/>
      <c r="CJ87" s="436"/>
      <c r="CK87" s="436"/>
      <c r="CL87" s="436"/>
      <c r="CM87" s="436"/>
      <c r="CN87" s="436"/>
      <c r="CO87" s="436"/>
      <c r="CP87" s="436"/>
      <c r="CQ87" s="436"/>
      <c r="CR87" s="436"/>
      <c r="CS87" s="436"/>
      <c r="CT87" s="436"/>
      <c r="CU87" s="436"/>
      <c r="CV87" s="436"/>
      <c r="CW87" s="436"/>
      <c r="CX87" s="436"/>
      <c r="CY87" s="436"/>
      <c r="CZ87" s="436"/>
      <c r="DA87" s="436"/>
      <c r="DB87" s="440"/>
      <c r="DC87" s="439"/>
      <c r="DD87" s="436"/>
      <c r="DE87" s="436"/>
      <c r="DF87" s="436"/>
      <c r="DG87" s="436"/>
      <c r="DH87" s="436"/>
      <c r="DI87" s="436"/>
      <c r="DJ87" s="436"/>
      <c r="DK87" s="436"/>
      <c r="DL87" s="436"/>
      <c r="DM87" s="436"/>
      <c r="DN87" s="436"/>
      <c r="DO87" s="436"/>
      <c r="DP87" s="436"/>
      <c r="DQ87" s="436"/>
      <c r="DR87" s="436"/>
      <c r="DS87" s="436"/>
      <c r="DT87" s="436"/>
      <c r="DU87" s="436"/>
      <c r="DV87" s="436"/>
      <c r="DW87" s="436"/>
      <c r="DX87" s="436"/>
      <c r="DY87" s="436"/>
      <c r="DZ87" s="436"/>
      <c r="EA87" s="440"/>
      <c r="EB87" s="439"/>
      <c r="EC87" s="436"/>
      <c r="ED87" s="436"/>
      <c r="EE87" s="436"/>
      <c r="EF87" s="436"/>
      <c r="EG87" s="436"/>
      <c r="EH87" s="436"/>
      <c r="EI87" s="436"/>
      <c r="EJ87" s="436"/>
      <c r="EK87" s="436"/>
      <c r="EL87" s="436"/>
      <c r="EM87" s="436"/>
      <c r="EN87" s="436"/>
      <c r="EO87" s="436"/>
      <c r="EP87" s="436"/>
      <c r="EQ87" s="436"/>
      <c r="ER87" s="436"/>
      <c r="ES87" s="436"/>
      <c r="ET87" s="436"/>
      <c r="EU87" s="436"/>
      <c r="EV87" s="436"/>
      <c r="EW87" s="436"/>
      <c r="EX87" s="436"/>
      <c r="EY87" s="436"/>
      <c r="EZ87" s="440"/>
      <c r="FA87" s="439"/>
      <c r="FB87" s="436"/>
      <c r="FC87" s="436"/>
      <c r="FD87" s="436"/>
      <c r="FE87" s="436"/>
      <c r="FF87" s="436"/>
      <c r="FG87" s="436"/>
      <c r="FH87" s="436"/>
      <c r="FI87" s="436"/>
      <c r="FJ87" s="436"/>
      <c r="FK87" s="436"/>
      <c r="FL87" s="436"/>
      <c r="FM87" s="436"/>
      <c r="FN87" s="436"/>
      <c r="FO87" s="436"/>
      <c r="FP87" s="436"/>
      <c r="FQ87" s="436"/>
      <c r="FR87" s="436"/>
      <c r="FS87" s="436"/>
      <c r="FT87" s="436"/>
      <c r="FU87" s="436"/>
      <c r="FV87" s="436"/>
      <c r="FW87" s="436"/>
      <c r="FX87" s="436"/>
      <c r="FY87" s="440"/>
      <c r="FZ87" s="439"/>
      <c r="GA87" s="436"/>
      <c r="GB87" s="436"/>
      <c r="GC87" s="436"/>
      <c r="GD87" s="436"/>
      <c r="GE87" s="436"/>
      <c r="GF87" s="436"/>
      <c r="GG87" s="436"/>
      <c r="GH87" s="436"/>
      <c r="GI87" s="436"/>
      <c r="GJ87" s="436"/>
      <c r="GK87" s="436"/>
      <c r="GL87" s="436"/>
      <c r="GM87" s="436"/>
      <c r="GN87" s="436"/>
      <c r="GO87" s="436"/>
      <c r="GP87" s="436"/>
      <c r="GQ87" s="436"/>
      <c r="GR87" s="436"/>
      <c r="GS87" s="436"/>
      <c r="GT87" s="436"/>
      <c r="GU87" s="436"/>
      <c r="GV87" s="436"/>
      <c r="GW87" s="436"/>
      <c r="GX87" s="440"/>
      <c r="GY87" s="439"/>
      <c r="GZ87" s="436"/>
      <c r="HA87" s="436"/>
      <c r="HB87" s="436"/>
      <c r="HC87" s="436"/>
      <c r="HD87" s="436"/>
      <c r="HE87" s="436"/>
      <c r="HF87" s="436"/>
      <c r="HG87" s="436"/>
      <c r="HH87" s="436"/>
      <c r="HI87" s="436"/>
      <c r="HJ87" s="436"/>
      <c r="HK87" s="436"/>
      <c r="HL87" s="436"/>
      <c r="HM87" s="436"/>
      <c r="HN87" s="436"/>
      <c r="HO87" s="436"/>
      <c r="HP87" s="436"/>
      <c r="HQ87" s="436"/>
      <c r="HR87" s="436"/>
      <c r="HS87" s="436"/>
      <c r="HT87" s="436"/>
      <c r="HU87" s="436"/>
      <c r="HV87" s="436"/>
      <c r="HW87" s="440"/>
    </row>
    <row r="88" spans="1:231" ht="24" customHeight="1">
      <c r="A88" s="439"/>
      <c r="B88" s="436"/>
      <c r="C88" s="436"/>
      <c r="D88" s="436"/>
      <c r="E88" s="436"/>
      <c r="F88" s="436"/>
      <c r="G88" s="436"/>
      <c r="H88" s="436"/>
      <c r="I88" s="436"/>
      <c r="J88" s="436"/>
      <c r="K88" s="436"/>
      <c r="L88" s="436"/>
      <c r="M88" s="436"/>
      <c r="N88" s="436"/>
      <c r="O88" s="436"/>
      <c r="P88" s="436"/>
      <c r="Q88" s="436"/>
      <c r="R88" s="436"/>
      <c r="S88" s="436"/>
      <c r="T88" s="436"/>
      <c r="U88" s="436"/>
      <c r="V88" s="436"/>
      <c r="W88" s="436"/>
      <c r="X88" s="436"/>
      <c r="Y88" s="436"/>
      <c r="Z88" s="440"/>
      <c r="AA88" s="436"/>
      <c r="AB88" s="436"/>
      <c r="AC88" s="436"/>
      <c r="AD88" s="436"/>
      <c r="AE88" s="436"/>
      <c r="AF88" s="439"/>
      <c r="AG88" s="436"/>
      <c r="AH88" s="436"/>
      <c r="AI88" s="436"/>
      <c r="AJ88" s="436"/>
      <c r="AK88" s="436"/>
      <c r="AL88" s="436"/>
      <c r="AM88" s="436"/>
      <c r="AN88" s="436"/>
      <c r="AO88" s="436"/>
      <c r="AP88" s="436"/>
      <c r="AQ88" s="436"/>
      <c r="AR88" s="436"/>
      <c r="AS88" s="436"/>
      <c r="AT88" s="436"/>
      <c r="AU88" s="436"/>
      <c r="AV88" s="436"/>
      <c r="AW88" s="436"/>
      <c r="AX88" s="436"/>
      <c r="AY88" s="436"/>
      <c r="AZ88" s="436"/>
      <c r="BA88" s="436"/>
      <c r="BB88" s="436"/>
      <c r="BC88" s="436"/>
      <c r="BD88" s="440"/>
      <c r="BE88" s="439"/>
      <c r="BF88" s="436"/>
      <c r="BG88" s="436"/>
      <c r="BH88" s="436"/>
      <c r="BI88" s="436"/>
      <c r="BJ88" s="436"/>
      <c r="BK88" s="436"/>
      <c r="BL88" s="436"/>
      <c r="BM88" s="436"/>
      <c r="BN88" s="436"/>
      <c r="BO88" s="436"/>
      <c r="BP88" s="436"/>
      <c r="BQ88" s="436"/>
      <c r="BR88" s="436"/>
      <c r="BS88" s="436"/>
      <c r="BT88" s="436"/>
      <c r="BU88" s="436"/>
      <c r="BV88" s="436"/>
      <c r="BW88" s="436"/>
      <c r="BX88" s="436"/>
      <c r="BY88" s="436"/>
      <c r="BZ88" s="436"/>
      <c r="CA88" s="436"/>
      <c r="CB88" s="436"/>
      <c r="CC88" s="440"/>
      <c r="CD88" s="439"/>
      <c r="CE88" s="436"/>
      <c r="CF88" s="436"/>
      <c r="CG88" s="436"/>
      <c r="CH88" s="436"/>
      <c r="CI88" s="436"/>
      <c r="CJ88" s="436"/>
      <c r="CK88" s="436"/>
      <c r="CL88" s="436"/>
      <c r="CM88" s="436"/>
      <c r="CN88" s="436"/>
      <c r="CO88" s="436"/>
      <c r="CP88" s="436"/>
      <c r="CQ88" s="436"/>
      <c r="CR88" s="436"/>
      <c r="CS88" s="436"/>
      <c r="CT88" s="436"/>
      <c r="CU88" s="436"/>
      <c r="CV88" s="436"/>
      <c r="CW88" s="436"/>
      <c r="CX88" s="436"/>
      <c r="CY88" s="436"/>
      <c r="CZ88" s="436"/>
      <c r="DA88" s="436"/>
      <c r="DB88" s="440"/>
      <c r="DC88" s="439"/>
      <c r="DD88" s="436"/>
      <c r="DE88" s="436"/>
      <c r="DF88" s="436"/>
      <c r="DG88" s="436"/>
      <c r="DH88" s="436"/>
      <c r="DI88" s="436"/>
      <c r="DJ88" s="436"/>
      <c r="DK88" s="436"/>
      <c r="DL88" s="436"/>
      <c r="DM88" s="436"/>
      <c r="DN88" s="436"/>
      <c r="DO88" s="436"/>
      <c r="DP88" s="436"/>
      <c r="DQ88" s="436"/>
      <c r="DR88" s="436"/>
      <c r="DS88" s="436"/>
      <c r="DT88" s="436"/>
      <c r="DU88" s="436"/>
      <c r="DV88" s="436"/>
      <c r="DW88" s="436"/>
      <c r="DX88" s="436"/>
      <c r="DY88" s="436"/>
      <c r="DZ88" s="436"/>
      <c r="EA88" s="440"/>
      <c r="EB88" s="439"/>
      <c r="EC88" s="436"/>
      <c r="ED88" s="436"/>
      <c r="EE88" s="436"/>
      <c r="EF88" s="436"/>
      <c r="EG88" s="436"/>
      <c r="EH88" s="436"/>
      <c r="EI88" s="436"/>
      <c r="EJ88" s="436"/>
      <c r="EK88" s="436"/>
      <c r="EL88" s="436"/>
      <c r="EM88" s="436"/>
      <c r="EN88" s="436"/>
      <c r="EO88" s="436"/>
      <c r="EP88" s="436"/>
      <c r="EQ88" s="436"/>
      <c r="ER88" s="436"/>
      <c r="ES88" s="436"/>
      <c r="ET88" s="436"/>
      <c r="EU88" s="436"/>
      <c r="EV88" s="436"/>
      <c r="EW88" s="436"/>
      <c r="EX88" s="436"/>
      <c r="EY88" s="436"/>
      <c r="EZ88" s="440"/>
      <c r="FA88" s="439"/>
      <c r="FB88" s="436"/>
      <c r="FC88" s="436"/>
      <c r="FD88" s="436"/>
      <c r="FE88" s="436"/>
      <c r="FF88" s="436"/>
      <c r="FG88" s="436"/>
      <c r="FH88" s="436"/>
      <c r="FI88" s="436"/>
      <c r="FJ88" s="436"/>
      <c r="FK88" s="436"/>
      <c r="FL88" s="436"/>
      <c r="FM88" s="436"/>
      <c r="FN88" s="436"/>
      <c r="FO88" s="436"/>
      <c r="FP88" s="436"/>
      <c r="FQ88" s="436"/>
      <c r="FR88" s="436"/>
      <c r="FS88" s="436"/>
      <c r="FT88" s="436"/>
      <c r="FU88" s="436"/>
      <c r="FV88" s="436"/>
      <c r="FW88" s="436"/>
      <c r="FX88" s="436"/>
      <c r="FY88" s="440"/>
      <c r="FZ88" s="439"/>
      <c r="GA88" s="436"/>
      <c r="GB88" s="436"/>
      <c r="GC88" s="436"/>
      <c r="GD88" s="436"/>
      <c r="GE88" s="436"/>
      <c r="GF88" s="436"/>
      <c r="GG88" s="436"/>
      <c r="GH88" s="436"/>
      <c r="GI88" s="436"/>
      <c r="GJ88" s="436"/>
      <c r="GK88" s="436"/>
      <c r="GL88" s="436"/>
      <c r="GM88" s="436"/>
      <c r="GN88" s="436"/>
      <c r="GO88" s="436"/>
      <c r="GP88" s="436"/>
      <c r="GQ88" s="436"/>
      <c r="GR88" s="436"/>
      <c r="GS88" s="436"/>
      <c r="GT88" s="436"/>
      <c r="GU88" s="436"/>
      <c r="GV88" s="436"/>
      <c r="GW88" s="436"/>
      <c r="GX88" s="440"/>
      <c r="GY88" s="439"/>
      <c r="GZ88" s="436"/>
      <c r="HA88" s="436"/>
      <c r="HB88" s="436"/>
      <c r="HC88" s="436"/>
      <c r="HD88" s="436"/>
      <c r="HE88" s="436"/>
      <c r="HF88" s="436"/>
      <c r="HG88" s="436"/>
      <c r="HH88" s="436"/>
      <c r="HI88" s="436"/>
      <c r="HJ88" s="436"/>
      <c r="HK88" s="436"/>
      <c r="HL88" s="436"/>
      <c r="HM88" s="436"/>
      <c r="HN88" s="436"/>
      <c r="HO88" s="436"/>
      <c r="HP88" s="436"/>
      <c r="HQ88" s="436"/>
      <c r="HR88" s="436"/>
      <c r="HS88" s="436"/>
      <c r="HT88" s="436"/>
      <c r="HU88" s="436"/>
      <c r="HV88" s="436"/>
      <c r="HW88" s="440"/>
    </row>
    <row r="89" spans="1:231" ht="24" customHeight="1">
      <c r="A89" s="439"/>
      <c r="B89" s="436"/>
      <c r="C89" s="436"/>
      <c r="D89" s="436"/>
      <c r="E89" s="436"/>
      <c r="F89" s="436"/>
      <c r="G89" s="436"/>
      <c r="H89" s="436"/>
      <c r="I89" s="436"/>
      <c r="J89" s="436"/>
      <c r="K89" s="436"/>
      <c r="L89" s="436"/>
      <c r="M89" s="436"/>
      <c r="N89" s="436"/>
      <c r="O89" s="436"/>
      <c r="P89" s="436"/>
      <c r="Q89" s="436"/>
      <c r="R89" s="436"/>
      <c r="S89" s="436"/>
      <c r="T89" s="436"/>
      <c r="U89" s="436"/>
      <c r="V89" s="436"/>
      <c r="W89" s="436"/>
      <c r="X89" s="436"/>
      <c r="Y89" s="436"/>
      <c r="Z89" s="440"/>
      <c r="AA89" s="436"/>
      <c r="AB89" s="436"/>
      <c r="AC89" s="436"/>
      <c r="AD89" s="436"/>
      <c r="AE89" s="436"/>
      <c r="AF89" s="439"/>
      <c r="AG89" s="436"/>
      <c r="AH89" s="436"/>
      <c r="AI89" s="436"/>
      <c r="AJ89" s="436"/>
      <c r="AK89" s="436"/>
      <c r="AL89" s="436"/>
      <c r="AM89" s="436"/>
      <c r="AN89" s="436"/>
      <c r="AO89" s="436"/>
      <c r="AP89" s="436"/>
      <c r="AQ89" s="436"/>
      <c r="AR89" s="436"/>
      <c r="AS89" s="436"/>
      <c r="AT89" s="436"/>
      <c r="AU89" s="436"/>
      <c r="AV89" s="436"/>
      <c r="AW89" s="436"/>
      <c r="AX89" s="436"/>
      <c r="AY89" s="436"/>
      <c r="AZ89" s="436"/>
      <c r="BA89" s="436"/>
      <c r="BB89" s="436"/>
      <c r="BC89" s="436"/>
      <c r="BD89" s="440"/>
      <c r="BE89" s="439"/>
      <c r="BF89" s="436"/>
      <c r="BG89" s="436"/>
      <c r="BH89" s="436"/>
      <c r="BI89" s="436"/>
      <c r="BJ89" s="436"/>
      <c r="BK89" s="436"/>
      <c r="BL89" s="436"/>
      <c r="BM89" s="436"/>
      <c r="BN89" s="436"/>
      <c r="BO89" s="436"/>
      <c r="BP89" s="436"/>
      <c r="BQ89" s="436"/>
      <c r="BR89" s="436"/>
      <c r="BS89" s="436"/>
      <c r="BT89" s="436"/>
      <c r="BU89" s="436"/>
      <c r="BV89" s="436"/>
      <c r="BW89" s="436"/>
      <c r="BX89" s="436"/>
      <c r="BY89" s="436"/>
      <c r="BZ89" s="436"/>
      <c r="CA89" s="436"/>
      <c r="CB89" s="436"/>
      <c r="CC89" s="440"/>
      <c r="CD89" s="439"/>
      <c r="CE89" s="436"/>
      <c r="CF89" s="436"/>
      <c r="CG89" s="436"/>
      <c r="CH89" s="436"/>
      <c r="CI89" s="436"/>
      <c r="CJ89" s="436"/>
      <c r="CK89" s="436"/>
      <c r="CL89" s="436"/>
      <c r="CM89" s="436"/>
      <c r="CN89" s="436"/>
      <c r="CO89" s="436"/>
      <c r="CP89" s="436"/>
      <c r="CQ89" s="436"/>
      <c r="CR89" s="436"/>
      <c r="CS89" s="436"/>
      <c r="CT89" s="436"/>
      <c r="CU89" s="436"/>
      <c r="CV89" s="436"/>
      <c r="CW89" s="436"/>
      <c r="CX89" s="436"/>
      <c r="CY89" s="436"/>
      <c r="CZ89" s="436"/>
      <c r="DA89" s="436"/>
      <c r="DB89" s="440"/>
      <c r="DC89" s="439"/>
      <c r="DD89" s="436"/>
      <c r="DE89" s="436"/>
      <c r="DF89" s="436"/>
      <c r="DG89" s="436"/>
      <c r="DH89" s="436"/>
      <c r="DI89" s="436"/>
      <c r="DJ89" s="436"/>
      <c r="DK89" s="436"/>
      <c r="DL89" s="436"/>
      <c r="DM89" s="436"/>
      <c r="DN89" s="436"/>
      <c r="DO89" s="436"/>
      <c r="DP89" s="436"/>
      <c r="DQ89" s="436"/>
      <c r="DR89" s="436"/>
      <c r="DS89" s="436"/>
      <c r="DT89" s="436"/>
      <c r="DU89" s="436"/>
      <c r="DV89" s="436"/>
      <c r="DW89" s="436"/>
      <c r="DX89" s="436"/>
      <c r="DY89" s="436"/>
      <c r="DZ89" s="436"/>
      <c r="EA89" s="440"/>
      <c r="EB89" s="439"/>
      <c r="EC89" s="436"/>
      <c r="ED89" s="436"/>
      <c r="EE89" s="436"/>
      <c r="EF89" s="436"/>
      <c r="EG89" s="436"/>
      <c r="EH89" s="436"/>
      <c r="EI89" s="436"/>
      <c r="EJ89" s="436"/>
      <c r="EK89" s="436"/>
      <c r="EL89" s="436"/>
      <c r="EM89" s="436"/>
      <c r="EN89" s="436"/>
      <c r="EO89" s="436"/>
      <c r="EP89" s="436"/>
      <c r="EQ89" s="436"/>
      <c r="ER89" s="436"/>
      <c r="ES89" s="436"/>
      <c r="ET89" s="436"/>
      <c r="EU89" s="436"/>
      <c r="EV89" s="436"/>
      <c r="EW89" s="436"/>
      <c r="EX89" s="436"/>
      <c r="EY89" s="436"/>
      <c r="EZ89" s="440"/>
      <c r="FA89" s="439"/>
      <c r="FB89" s="436"/>
      <c r="FC89" s="436"/>
      <c r="FD89" s="436"/>
      <c r="FE89" s="436"/>
      <c r="FF89" s="436"/>
      <c r="FG89" s="436"/>
      <c r="FH89" s="436"/>
      <c r="FI89" s="436"/>
      <c r="FJ89" s="436"/>
      <c r="FK89" s="436"/>
      <c r="FL89" s="436"/>
      <c r="FM89" s="436"/>
      <c r="FN89" s="436"/>
      <c r="FO89" s="436"/>
      <c r="FP89" s="436"/>
      <c r="FQ89" s="436"/>
      <c r="FR89" s="436"/>
      <c r="FS89" s="436"/>
      <c r="FT89" s="436"/>
      <c r="FU89" s="436"/>
      <c r="FV89" s="436"/>
      <c r="FW89" s="436"/>
      <c r="FX89" s="436"/>
      <c r="FY89" s="440"/>
      <c r="FZ89" s="439"/>
      <c r="GA89" s="436"/>
      <c r="GB89" s="436"/>
      <c r="GC89" s="436"/>
      <c r="GD89" s="436"/>
      <c r="GE89" s="436"/>
      <c r="GF89" s="436"/>
      <c r="GG89" s="436"/>
      <c r="GH89" s="436"/>
      <c r="GI89" s="436"/>
      <c r="GJ89" s="436"/>
      <c r="GK89" s="436"/>
      <c r="GL89" s="436"/>
      <c r="GM89" s="436"/>
      <c r="GN89" s="436"/>
      <c r="GO89" s="436"/>
      <c r="GP89" s="436"/>
      <c r="GQ89" s="436"/>
      <c r="GR89" s="436"/>
      <c r="GS89" s="436"/>
      <c r="GT89" s="436"/>
      <c r="GU89" s="436"/>
      <c r="GV89" s="436"/>
      <c r="GW89" s="436"/>
      <c r="GX89" s="440"/>
      <c r="GY89" s="439"/>
      <c r="GZ89" s="436"/>
      <c r="HA89" s="436"/>
      <c r="HB89" s="436"/>
      <c r="HC89" s="436"/>
      <c r="HD89" s="436"/>
      <c r="HE89" s="436"/>
      <c r="HF89" s="436"/>
      <c r="HG89" s="436"/>
      <c r="HH89" s="436"/>
      <c r="HI89" s="436"/>
      <c r="HJ89" s="436"/>
      <c r="HK89" s="436"/>
      <c r="HL89" s="436"/>
      <c r="HM89" s="436"/>
      <c r="HN89" s="436"/>
      <c r="HO89" s="436"/>
      <c r="HP89" s="436"/>
      <c r="HQ89" s="436"/>
      <c r="HR89" s="436"/>
      <c r="HS89" s="436"/>
      <c r="HT89" s="436"/>
      <c r="HU89" s="436"/>
      <c r="HV89" s="436"/>
      <c r="HW89" s="440"/>
    </row>
    <row r="90" spans="1:231" ht="24" customHeight="1">
      <c r="A90" s="439"/>
      <c r="B90" s="436"/>
      <c r="C90" s="436"/>
      <c r="D90" s="436"/>
      <c r="E90" s="436"/>
      <c r="F90" s="436"/>
      <c r="G90" s="436"/>
      <c r="H90" s="436"/>
      <c r="I90" s="436"/>
      <c r="J90" s="436"/>
      <c r="K90" s="436"/>
      <c r="L90" s="436"/>
      <c r="M90" s="436"/>
      <c r="N90" s="436"/>
      <c r="O90" s="436"/>
      <c r="P90" s="436"/>
      <c r="Q90" s="436"/>
      <c r="R90" s="436"/>
      <c r="S90" s="436"/>
      <c r="T90" s="436"/>
      <c r="U90" s="436"/>
      <c r="V90" s="436"/>
      <c r="W90" s="436"/>
      <c r="X90" s="436"/>
      <c r="Y90" s="436"/>
      <c r="Z90" s="440"/>
      <c r="AA90" s="436"/>
      <c r="AB90" s="436"/>
      <c r="AC90" s="436"/>
      <c r="AD90" s="436"/>
      <c r="AE90" s="436"/>
      <c r="AF90" s="439"/>
      <c r="AG90" s="436"/>
      <c r="AH90" s="436"/>
      <c r="AI90" s="436"/>
      <c r="AJ90" s="436"/>
      <c r="AK90" s="436"/>
      <c r="AL90" s="436"/>
      <c r="AM90" s="436"/>
      <c r="AN90" s="436"/>
      <c r="AO90" s="436"/>
      <c r="AP90" s="436"/>
      <c r="AQ90" s="436"/>
      <c r="AR90" s="436"/>
      <c r="AS90" s="436"/>
      <c r="AT90" s="436"/>
      <c r="AU90" s="436"/>
      <c r="AV90" s="436"/>
      <c r="AW90" s="436"/>
      <c r="AX90" s="436"/>
      <c r="AY90" s="436"/>
      <c r="AZ90" s="436"/>
      <c r="BA90" s="436"/>
      <c r="BB90" s="436"/>
      <c r="BC90" s="436"/>
      <c r="BD90" s="440"/>
      <c r="BE90" s="439"/>
      <c r="BF90" s="436"/>
      <c r="BG90" s="436"/>
      <c r="BH90" s="436"/>
      <c r="BI90" s="436"/>
      <c r="BJ90" s="436"/>
      <c r="BK90" s="436"/>
      <c r="BL90" s="436"/>
      <c r="BM90" s="436"/>
      <c r="BN90" s="436"/>
      <c r="BO90" s="436"/>
      <c r="BP90" s="436"/>
      <c r="BQ90" s="436"/>
      <c r="BR90" s="436"/>
      <c r="BS90" s="436"/>
      <c r="BT90" s="436"/>
      <c r="BU90" s="436"/>
      <c r="BV90" s="436"/>
      <c r="BW90" s="436"/>
      <c r="BX90" s="436"/>
      <c r="BY90" s="436"/>
      <c r="BZ90" s="436"/>
      <c r="CA90" s="436"/>
      <c r="CB90" s="436"/>
      <c r="CC90" s="440"/>
      <c r="CD90" s="439"/>
      <c r="CE90" s="436"/>
      <c r="CF90" s="436"/>
      <c r="CG90" s="436"/>
      <c r="CH90" s="436"/>
      <c r="CI90" s="436"/>
      <c r="CJ90" s="436"/>
      <c r="CK90" s="436"/>
      <c r="CL90" s="436"/>
      <c r="CM90" s="436"/>
      <c r="CN90" s="436"/>
      <c r="CO90" s="436"/>
      <c r="CP90" s="436"/>
      <c r="CQ90" s="436"/>
      <c r="CR90" s="436"/>
      <c r="CS90" s="436"/>
      <c r="CT90" s="436"/>
      <c r="CU90" s="436"/>
      <c r="CV90" s="436"/>
      <c r="CW90" s="436"/>
      <c r="CX90" s="436"/>
      <c r="CY90" s="436"/>
      <c r="CZ90" s="436"/>
      <c r="DA90" s="436"/>
      <c r="DB90" s="440"/>
      <c r="DC90" s="439"/>
      <c r="DD90" s="436"/>
      <c r="DE90" s="436"/>
      <c r="DF90" s="436"/>
      <c r="DG90" s="436"/>
      <c r="DH90" s="436"/>
      <c r="DI90" s="436"/>
      <c r="DJ90" s="436"/>
      <c r="DK90" s="436"/>
      <c r="DL90" s="436"/>
      <c r="DM90" s="436"/>
      <c r="DN90" s="436"/>
      <c r="DO90" s="436"/>
      <c r="DP90" s="436"/>
      <c r="DQ90" s="436"/>
      <c r="DR90" s="436"/>
      <c r="DS90" s="436"/>
      <c r="DT90" s="436"/>
      <c r="DU90" s="436"/>
      <c r="DV90" s="436"/>
      <c r="DW90" s="436"/>
      <c r="DX90" s="436"/>
      <c r="DY90" s="436"/>
      <c r="DZ90" s="436"/>
      <c r="EA90" s="440"/>
      <c r="EB90" s="439"/>
      <c r="EC90" s="436"/>
      <c r="ED90" s="436"/>
      <c r="EE90" s="436"/>
      <c r="EF90" s="436"/>
      <c r="EG90" s="436"/>
      <c r="EH90" s="436"/>
      <c r="EI90" s="436"/>
      <c r="EJ90" s="436"/>
      <c r="EK90" s="436"/>
      <c r="EL90" s="436"/>
      <c r="EM90" s="436"/>
      <c r="EN90" s="436"/>
      <c r="EO90" s="436"/>
      <c r="EP90" s="436"/>
      <c r="EQ90" s="436"/>
      <c r="ER90" s="436"/>
      <c r="ES90" s="436"/>
      <c r="ET90" s="436"/>
      <c r="EU90" s="436"/>
      <c r="EV90" s="436"/>
      <c r="EW90" s="436"/>
      <c r="EX90" s="436"/>
      <c r="EY90" s="436"/>
      <c r="EZ90" s="440"/>
      <c r="FA90" s="439"/>
      <c r="FB90" s="436"/>
      <c r="FC90" s="436"/>
      <c r="FD90" s="436"/>
      <c r="FE90" s="436"/>
      <c r="FF90" s="436"/>
      <c r="FG90" s="436"/>
      <c r="FH90" s="436"/>
      <c r="FI90" s="436"/>
      <c r="FJ90" s="436"/>
      <c r="FK90" s="436"/>
      <c r="FL90" s="436"/>
      <c r="FM90" s="436"/>
      <c r="FN90" s="436"/>
      <c r="FO90" s="436"/>
      <c r="FP90" s="436"/>
      <c r="FQ90" s="436"/>
      <c r="FR90" s="436"/>
      <c r="FS90" s="436"/>
      <c r="FT90" s="436"/>
      <c r="FU90" s="436"/>
      <c r="FV90" s="436"/>
      <c r="FW90" s="436"/>
      <c r="FX90" s="436"/>
      <c r="FY90" s="440"/>
      <c r="FZ90" s="439"/>
      <c r="GA90" s="436"/>
      <c r="GB90" s="436"/>
      <c r="GC90" s="436"/>
      <c r="GD90" s="436"/>
      <c r="GE90" s="436"/>
      <c r="GF90" s="436"/>
      <c r="GG90" s="436"/>
      <c r="GH90" s="436"/>
      <c r="GI90" s="436"/>
      <c r="GJ90" s="436"/>
      <c r="GK90" s="436"/>
      <c r="GL90" s="436"/>
      <c r="GM90" s="436"/>
      <c r="GN90" s="436"/>
      <c r="GO90" s="436"/>
      <c r="GP90" s="436"/>
      <c r="GQ90" s="436"/>
      <c r="GR90" s="436"/>
      <c r="GS90" s="436"/>
      <c r="GT90" s="436"/>
      <c r="GU90" s="436"/>
      <c r="GV90" s="436"/>
      <c r="GW90" s="436"/>
      <c r="GX90" s="440"/>
      <c r="GY90" s="439"/>
      <c r="GZ90" s="436"/>
      <c r="HA90" s="436"/>
      <c r="HB90" s="436"/>
      <c r="HC90" s="436"/>
      <c r="HD90" s="436"/>
      <c r="HE90" s="436"/>
      <c r="HF90" s="436"/>
      <c r="HG90" s="436"/>
      <c r="HH90" s="436"/>
      <c r="HI90" s="436"/>
      <c r="HJ90" s="436"/>
      <c r="HK90" s="436"/>
      <c r="HL90" s="436"/>
      <c r="HM90" s="436"/>
      <c r="HN90" s="436"/>
      <c r="HO90" s="436"/>
      <c r="HP90" s="436"/>
      <c r="HQ90" s="436"/>
      <c r="HR90" s="436"/>
      <c r="HS90" s="436"/>
      <c r="HT90" s="436"/>
      <c r="HU90" s="436"/>
      <c r="HV90" s="436"/>
      <c r="HW90" s="440"/>
    </row>
    <row r="91" spans="1:231" ht="24" customHeight="1">
      <c r="A91" s="439"/>
      <c r="B91" s="436"/>
      <c r="C91" s="436"/>
      <c r="D91" s="436"/>
      <c r="E91" s="436"/>
      <c r="F91" s="436"/>
      <c r="G91" s="436"/>
      <c r="H91" s="436"/>
      <c r="I91" s="436"/>
      <c r="J91" s="436"/>
      <c r="K91" s="436"/>
      <c r="L91" s="436"/>
      <c r="M91" s="436"/>
      <c r="N91" s="436"/>
      <c r="O91" s="436"/>
      <c r="P91" s="436"/>
      <c r="Q91" s="436"/>
      <c r="R91" s="436"/>
      <c r="S91" s="436"/>
      <c r="T91" s="436"/>
      <c r="U91" s="436"/>
      <c r="V91" s="436"/>
      <c r="W91" s="436"/>
      <c r="X91" s="436"/>
      <c r="Y91" s="436"/>
      <c r="Z91" s="440"/>
      <c r="AA91" s="436"/>
      <c r="AB91" s="436"/>
      <c r="AC91" s="436"/>
      <c r="AD91" s="436"/>
      <c r="AE91" s="436"/>
      <c r="AF91" s="439"/>
      <c r="AG91" s="436"/>
      <c r="AH91" s="436"/>
      <c r="AI91" s="436"/>
      <c r="AJ91" s="436"/>
      <c r="AK91" s="436"/>
      <c r="AL91" s="436"/>
      <c r="AM91" s="436"/>
      <c r="AN91" s="436"/>
      <c r="AO91" s="436"/>
      <c r="AP91" s="436"/>
      <c r="AQ91" s="436"/>
      <c r="AR91" s="436"/>
      <c r="AS91" s="436"/>
      <c r="AT91" s="436"/>
      <c r="AU91" s="436"/>
      <c r="AV91" s="436"/>
      <c r="AW91" s="436"/>
      <c r="AX91" s="436"/>
      <c r="AY91" s="436"/>
      <c r="AZ91" s="436"/>
      <c r="BA91" s="436"/>
      <c r="BB91" s="436"/>
      <c r="BC91" s="436"/>
      <c r="BD91" s="440"/>
      <c r="BE91" s="439"/>
      <c r="BF91" s="436"/>
      <c r="BG91" s="436"/>
      <c r="BH91" s="436"/>
      <c r="BI91" s="436"/>
      <c r="BJ91" s="436"/>
      <c r="BK91" s="436"/>
      <c r="BL91" s="436"/>
      <c r="BM91" s="436"/>
      <c r="BN91" s="436"/>
      <c r="BO91" s="436"/>
      <c r="BP91" s="436"/>
      <c r="BQ91" s="436"/>
      <c r="BR91" s="436"/>
      <c r="BS91" s="436"/>
      <c r="BT91" s="436"/>
      <c r="BU91" s="436"/>
      <c r="BV91" s="436"/>
      <c r="BW91" s="436"/>
      <c r="BX91" s="436"/>
      <c r="BY91" s="436"/>
      <c r="BZ91" s="436"/>
      <c r="CA91" s="436"/>
      <c r="CB91" s="436"/>
      <c r="CC91" s="440"/>
      <c r="CD91" s="439"/>
      <c r="CE91" s="436"/>
      <c r="CF91" s="436"/>
      <c r="CG91" s="436"/>
      <c r="CH91" s="436"/>
      <c r="CI91" s="436"/>
      <c r="CJ91" s="436"/>
      <c r="CK91" s="436"/>
      <c r="CL91" s="436"/>
      <c r="CM91" s="436"/>
      <c r="CN91" s="436"/>
      <c r="CO91" s="436"/>
      <c r="CP91" s="436"/>
      <c r="CQ91" s="436"/>
      <c r="CR91" s="436"/>
      <c r="CS91" s="436"/>
      <c r="CT91" s="436"/>
      <c r="CU91" s="436"/>
      <c r="CV91" s="436"/>
      <c r="CW91" s="436"/>
      <c r="CX91" s="436"/>
      <c r="CY91" s="436"/>
      <c r="CZ91" s="436"/>
      <c r="DA91" s="436"/>
      <c r="DB91" s="440"/>
      <c r="DC91" s="439"/>
      <c r="DD91" s="436"/>
      <c r="DE91" s="436"/>
      <c r="DF91" s="436"/>
      <c r="DG91" s="436"/>
      <c r="DH91" s="436"/>
      <c r="DI91" s="436"/>
      <c r="DJ91" s="436"/>
      <c r="DK91" s="436"/>
      <c r="DL91" s="436"/>
      <c r="DM91" s="436"/>
      <c r="DN91" s="436"/>
      <c r="DO91" s="436"/>
      <c r="DP91" s="436"/>
      <c r="DQ91" s="436"/>
      <c r="DR91" s="436"/>
      <c r="DS91" s="436"/>
      <c r="DT91" s="436"/>
      <c r="DU91" s="436"/>
      <c r="DV91" s="436"/>
      <c r="DW91" s="436"/>
      <c r="DX91" s="436"/>
      <c r="DY91" s="436"/>
      <c r="DZ91" s="436"/>
      <c r="EA91" s="440"/>
      <c r="EB91" s="439"/>
      <c r="EC91" s="436"/>
      <c r="ED91" s="436"/>
      <c r="EE91" s="436"/>
      <c r="EF91" s="436"/>
      <c r="EG91" s="436"/>
      <c r="EH91" s="436"/>
      <c r="EI91" s="436"/>
      <c r="EJ91" s="436"/>
      <c r="EK91" s="436"/>
      <c r="EL91" s="436"/>
      <c r="EM91" s="436"/>
      <c r="EN91" s="436"/>
      <c r="EO91" s="436"/>
      <c r="EP91" s="436"/>
      <c r="EQ91" s="436"/>
      <c r="ER91" s="436"/>
      <c r="ES91" s="436"/>
      <c r="ET91" s="436"/>
      <c r="EU91" s="436"/>
      <c r="EV91" s="436"/>
      <c r="EW91" s="436"/>
      <c r="EX91" s="436"/>
      <c r="EY91" s="436"/>
      <c r="EZ91" s="440"/>
      <c r="FA91" s="439"/>
      <c r="FB91" s="436"/>
      <c r="FC91" s="436"/>
      <c r="FD91" s="436"/>
      <c r="FE91" s="436"/>
      <c r="FF91" s="436"/>
      <c r="FG91" s="436"/>
      <c r="FH91" s="436"/>
      <c r="FI91" s="436"/>
      <c r="FJ91" s="436"/>
      <c r="FK91" s="436"/>
      <c r="FL91" s="436"/>
      <c r="FM91" s="436"/>
      <c r="FN91" s="436"/>
      <c r="FO91" s="436"/>
      <c r="FP91" s="436"/>
      <c r="FQ91" s="436"/>
      <c r="FR91" s="436"/>
      <c r="FS91" s="436"/>
      <c r="FT91" s="436"/>
      <c r="FU91" s="436"/>
      <c r="FV91" s="436"/>
      <c r="FW91" s="436"/>
      <c r="FX91" s="436"/>
      <c r="FY91" s="440"/>
      <c r="FZ91" s="439"/>
      <c r="GA91" s="436"/>
      <c r="GB91" s="436"/>
      <c r="GC91" s="436"/>
      <c r="GD91" s="436"/>
      <c r="GE91" s="436"/>
      <c r="GF91" s="436"/>
      <c r="GG91" s="436"/>
      <c r="GH91" s="436"/>
      <c r="GI91" s="436"/>
      <c r="GJ91" s="436"/>
      <c r="GK91" s="436"/>
      <c r="GL91" s="436"/>
      <c r="GM91" s="436"/>
      <c r="GN91" s="436"/>
      <c r="GO91" s="436"/>
      <c r="GP91" s="436"/>
      <c r="GQ91" s="436"/>
      <c r="GR91" s="436"/>
      <c r="GS91" s="436"/>
      <c r="GT91" s="436"/>
      <c r="GU91" s="436"/>
      <c r="GV91" s="436"/>
      <c r="GW91" s="436"/>
      <c r="GX91" s="440"/>
      <c r="GY91" s="439"/>
      <c r="GZ91" s="436"/>
      <c r="HA91" s="436"/>
      <c r="HB91" s="436"/>
      <c r="HC91" s="436"/>
      <c r="HD91" s="436"/>
      <c r="HE91" s="436"/>
      <c r="HF91" s="436"/>
      <c r="HG91" s="436"/>
      <c r="HH91" s="436"/>
      <c r="HI91" s="436"/>
      <c r="HJ91" s="436"/>
      <c r="HK91" s="436"/>
      <c r="HL91" s="436"/>
      <c r="HM91" s="436"/>
      <c r="HN91" s="436"/>
      <c r="HO91" s="436"/>
      <c r="HP91" s="436"/>
      <c r="HQ91" s="436"/>
      <c r="HR91" s="436"/>
      <c r="HS91" s="436"/>
      <c r="HT91" s="436"/>
      <c r="HU91" s="436"/>
      <c r="HV91" s="436"/>
      <c r="HW91" s="440"/>
    </row>
    <row r="92" spans="1:231" ht="24" customHeight="1">
      <c r="A92" s="439"/>
      <c r="B92" s="436"/>
      <c r="C92" s="436"/>
      <c r="D92" s="436"/>
      <c r="E92" s="436"/>
      <c r="F92" s="436"/>
      <c r="G92" s="436"/>
      <c r="H92" s="436"/>
      <c r="I92" s="436"/>
      <c r="J92" s="436"/>
      <c r="K92" s="436"/>
      <c r="L92" s="436"/>
      <c r="M92" s="436"/>
      <c r="N92" s="436"/>
      <c r="O92" s="436"/>
      <c r="P92" s="436"/>
      <c r="Q92" s="436"/>
      <c r="R92" s="436"/>
      <c r="S92" s="436"/>
      <c r="T92" s="436"/>
      <c r="U92" s="436"/>
      <c r="V92" s="436"/>
      <c r="W92" s="436"/>
      <c r="X92" s="436"/>
      <c r="Y92" s="436"/>
      <c r="Z92" s="440"/>
      <c r="AA92" s="436"/>
      <c r="AB92" s="436"/>
      <c r="AC92" s="436"/>
      <c r="AD92" s="436"/>
      <c r="AE92" s="436"/>
      <c r="AF92" s="439"/>
      <c r="AG92" s="436"/>
      <c r="AH92" s="436"/>
      <c r="AI92" s="436"/>
      <c r="AJ92" s="436"/>
      <c r="AK92" s="436"/>
      <c r="AL92" s="436"/>
      <c r="AM92" s="436"/>
      <c r="AN92" s="436"/>
      <c r="AO92" s="436"/>
      <c r="AP92" s="436"/>
      <c r="AQ92" s="436"/>
      <c r="AR92" s="436"/>
      <c r="AS92" s="436"/>
      <c r="AT92" s="436"/>
      <c r="AU92" s="436"/>
      <c r="AV92" s="436"/>
      <c r="AW92" s="436"/>
      <c r="AX92" s="436"/>
      <c r="AY92" s="436"/>
      <c r="AZ92" s="436"/>
      <c r="BA92" s="436"/>
      <c r="BB92" s="436"/>
      <c r="BC92" s="436"/>
      <c r="BD92" s="440"/>
      <c r="BE92" s="439"/>
      <c r="BF92" s="436"/>
      <c r="BG92" s="436"/>
      <c r="BH92" s="436"/>
      <c r="BI92" s="436"/>
      <c r="BJ92" s="436"/>
      <c r="BK92" s="436"/>
      <c r="BL92" s="436"/>
      <c r="BM92" s="436"/>
      <c r="BN92" s="436"/>
      <c r="BO92" s="436"/>
      <c r="BP92" s="436"/>
      <c r="BQ92" s="436"/>
      <c r="BR92" s="436"/>
      <c r="BS92" s="436"/>
      <c r="BT92" s="436"/>
      <c r="BU92" s="436"/>
      <c r="BV92" s="436"/>
      <c r="BW92" s="436"/>
      <c r="BX92" s="436"/>
      <c r="BY92" s="436"/>
      <c r="BZ92" s="436"/>
      <c r="CA92" s="436"/>
      <c r="CB92" s="436"/>
      <c r="CC92" s="440"/>
      <c r="CD92" s="439"/>
      <c r="CE92" s="436"/>
      <c r="CF92" s="436"/>
      <c r="CG92" s="436"/>
      <c r="CH92" s="436"/>
      <c r="CI92" s="436"/>
      <c r="CJ92" s="436"/>
      <c r="CK92" s="436"/>
      <c r="CL92" s="436"/>
      <c r="CM92" s="436"/>
      <c r="CN92" s="436"/>
      <c r="CO92" s="436"/>
      <c r="CP92" s="436"/>
      <c r="CQ92" s="436"/>
      <c r="CR92" s="436"/>
      <c r="CS92" s="436"/>
      <c r="CT92" s="436"/>
      <c r="CU92" s="436"/>
      <c r="CV92" s="436"/>
      <c r="CW92" s="436"/>
      <c r="CX92" s="436"/>
      <c r="CY92" s="436"/>
      <c r="CZ92" s="436"/>
      <c r="DA92" s="436"/>
      <c r="DB92" s="440"/>
      <c r="DC92" s="439"/>
      <c r="DD92" s="436"/>
      <c r="DE92" s="436"/>
      <c r="DF92" s="436"/>
      <c r="DG92" s="436"/>
      <c r="DH92" s="436"/>
      <c r="DI92" s="436"/>
      <c r="DJ92" s="436"/>
      <c r="DK92" s="436"/>
      <c r="DL92" s="436"/>
      <c r="DM92" s="436"/>
      <c r="DN92" s="436"/>
      <c r="DO92" s="436"/>
      <c r="DP92" s="436"/>
      <c r="DQ92" s="436"/>
      <c r="DR92" s="436"/>
      <c r="DS92" s="436"/>
      <c r="DT92" s="436"/>
      <c r="DU92" s="436"/>
      <c r="DV92" s="436"/>
      <c r="DW92" s="436"/>
      <c r="DX92" s="436"/>
      <c r="DY92" s="436"/>
      <c r="DZ92" s="436"/>
      <c r="EA92" s="440"/>
      <c r="EB92" s="439"/>
      <c r="EC92" s="436"/>
      <c r="ED92" s="436"/>
      <c r="EE92" s="436"/>
      <c r="EF92" s="436"/>
      <c r="EG92" s="436"/>
      <c r="EH92" s="436"/>
      <c r="EI92" s="436"/>
      <c r="EJ92" s="436"/>
      <c r="EK92" s="436"/>
      <c r="EL92" s="436"/>
      <c r="EM92" s="436"/>
      <c r="EN92" s="436"/>
      <c r="EO92" s="436"/>
      <c r="EP92" s="436"/>
      <c r="EQ92" s="436"/>
      <c r="ER92" s="436"/>
      <c r="ES92" s="436"/>
      <c r="ET92" s="436"/>
      <c r="EU92" s="436"/>
      <c r="EV92" s="436"/>
      <c r="EW92" s="436"/>
      <c r="EX92" s="436"/>
      <c r="EY92" s="436"/>
      <c r="EZ92" s="440"/>
      <c r="FA92" s="439"/>
      <c r="FB92" s="436"/>
      <c r="FC92" s="436"/>
      <c r="FD92" s="436"/>
      <c r="FE92" s="436"/>
      <c r="FF92" s="436"/>
      <c r="FG92" s="436"/>
      <c r="FH92" s="436"/>
      <c r="FI92" s="436"/>
      <c r="FJ92" s="436"/>
      <c r="FK92" s="436"/>
      <c r="FL92" s="436"/>
      <c r="FM92" s="436"/>
      <c r="FN92" s="436"/>
      <c r="FO92" s="436"/>
      <c r="FP92" s="436"/>
      <c r="FQ92" s="436"/>
      <c r="FR92" s="436"/>
      <c r="FS92" s="436"/>
      <c r="FT92" s="436"/>
      <c r="FU92" s="436"/>
      <c r="FV92" s="436"/>
      <c r="FW92" s="436"/>
      <c r="FX92" s="436"/>
      <c r="FY92" s="440"/>
      <c r="FZ92" s="439"/>
      <c r="GA92" s="436"/>
      <c r="GB92" s="436"/>
      <c r="GC92" s="436"/>
      <c r="GD92" s="436"/>
      <c r="GE92" s="436"/>
      <c r="GF92" s="436"/>
      <c r="GG92" s="436"/>
      <c r="GH92" s="436"/>
      <c r="GI92" s="436"/>
      <c r="GJ92" s="436"/>
      <c r="GK92" s="436"/>
      <c r="GL92" s="436"/>
      <c r="GM92" s="436"/>
      <c r="GN92" s="436"/>
      <c r="GO92" s="436"/>
      <c r="GP92" s="436"/>
      <c r="GQ92" s="436"/>
      <c r="GR92" s="436"/>
      <c r="GS92" s="436"/>
      <c r="GT92" s="436"/>
      <c r="GU92" s="436"/>
      <c r="GV92" s="436"/>
      <c r="GW92" s="436"/>
      <c r="GX92" s="440"/>
      <c r="GY92" s="439"/>
      <c r="GZ92" s="436"/>
      <c r="HA92" s="436"/>
      <c r="HB92" s="436"/>
      <c r="HC92" s="436"/>
      <c r="HD92" s="436"/>
      <c r="HE92" s="436"/>
      <c r="HF92" s="436"/>
      <c r="HG92" s="436"/>
      <c r="HH92" s="436"/>
      <c r="HI92" s="436"/>
      <c r="HJ92" s="436"/>
      <c r="HK92" s="436"/>
      <c r="HL92" s="436"/>
      <c r="HM92" s="436"/>
      <c r="HN92" s="436"/>
      <c r="HO92" s="436"/>
      <c r="HP92" s="436"/>
      <c r="HQ92" s="436"/>
      <c r="HR92" s="436"/>
      <c r="HS92" s="436"/>
      <c r="HT92" s="436"/>
      <c r="HU92" s="436"/>
      <c r="HV92" s="436"/>
      <c r="HW92" s="440"/>
    </row>
    <row r="93" spans="1:231" ht="24" customHeight="1">
      <c r="A93" s="439"/>
      <c r="B93" s="436"/>
      <c r="C93" s="436"/>
      <c r="D93" s="436"/>
      <c r="E93" s="436"/>
      <c r="F93" s="436"/>
      <c r="G93" s="436"/>
      <c r="H93" s="436"/>
      <c r="I93" s="436"/>
      <c r="J93" s="436"/>
      <c r="K93" s="436"/>
      <c r="L93" s="436"/>
      <c r="M93" s="436"/>
      <c r="N93" s="436"/>
      <c r="O93" s="436"/>
      <c r="P93" s="436"/>
      <c r="Q93" s="436"/>
      <c r="R93" s="436"/>
      <c r="S93" s="436"/>
      <c r="T93" s="436"/>
      <c r="U93" s="436"/>
      <c r="V93" s="436"/>
      <c r="W93" s="436"/>
      <c r="X93" s="436"/>
      <c r="Y93" s="436"/>
      <c r="Z93" s="440"/>
      <c r="AA93" s="436"/>
      <c r="AB93" s="436"/>
      <c r="AC93" s="436"/>
      <c r="AD93" s="436"/>
      <c r="AE93" s="436"/>
      <c r="AF93" s="439"/>
      <c r="AG93" s="436"/>
      <c r="AH93" s="436"/>
      <c r="AI93" s="436"/>
      <c r="AJ93" s="436"/>
      <c r="AK93" s="436"/>
      <c r="AL93" s="436"/>
      <c r="AM93" s="436"/>
      <c r="AN93" s="436"/>
      <c r="AO93" s="436"/>
      <c r="AP93" s="436"/>
      <c r="AQ93" s="436"/>
      <c r="AR93" s="436"/>
      <c r="AS93" s="436"/>
      <c r="AT93" s="436"/>
      <c r="AU93" s="436"/>
      <c r="AV93" s="436"/>
      <c r="AW93" s="436"/>
      <c r="AX93" s="436"/>
      <c r="AY93" s="436"/>
      <c r="AZ93" s="436"/>
      <c r="BA93" s="436"/>
      <c r="BB93" s="436"/>
      <c r="BC93" s="436"/>
      <c r="BD93" s="440"/>
      <c r="BE93" s="439"/>
      <c r="BF93" s="436"/>
      <c r="BG93" s="436"/>
      <c r="BH93" s="436"/>
      <c r="BI93" s="436"/>
      <c r="BJ93" s="436"/>
      <c r="BK93" s="436"/>
      <c r="BL93" s="436"/>
      <c r="BM93" s="436"/>
      <c r="BN93" s="436"/>
      <c r="BO93" s="436"/>
      <c r="BP93" s="436"/>
      <c r="BQ93" s="436"/>
      <c r="BR93" s="436"/>
      <c r="BS93" s="436"/>
      <c r="BT93" s="436"/>
      <c r="BU93" s="436"/>
      <c r="BV93" s="436"/>
      <c r="BW93" s="436"/>
      <c r="BX93" s="436"/>
      <c r="BY93" s="436"/>
      <c r="BZ93" s="436"/>
      <c r="CA93" s="436"/>
      <c r="CB93" s="436"/>
      <c r="CC93" s="440"/>
      <c r="CD93" s="439"/>
      <c r="CE93" s="436"/>
      <c r="CF93" s="436"/>
      <c r="CG93" s="436"/>
      <c r="CH93" s="436"/>
      <c r="CI93" s="436"/>
      <c r="CJ93" s="436"/>
      <c r="CK93" s="436"/>
      <c r="CL93" s="436"/>
      <c r="CM93" s="436"/>
      <c r="CN93" s="436"/>
      <c r="CO93" s="436"/>
      <c r="CP93" s="436"/>
      <c r="CQ93" s="436"/>
      <c r="CR93" s="436"/>
      <c r="CS93" s="436"/>
      <c r="CT93" s="436"/>
      <c r="CU93" s="436"/>
      <c r="CV93" s="436"/>
      <c r="CW93" s="436"/>
      <c r="CX93" s="436"/>
      <c r="CY93" s="436"/>
      <c r="CZ93" s="436"/>
      <c r="DA93" s="436"/>
      <c r="DB93" s="440"/>
      <c r="DC93" s="439"/>
      <c r="DD93" s="436"/>
      <c r="DE93" s="436"/>
      <c r="DF93" s="436"/>
      <c r="DG93" s="436"/>
      <c r="DH93" s="436"/>
      <c r="DI93" s="436"/>
      <c r="DJ93" s="436"/>
      <c r="DK93" s="436"/>
      <c r="DL93" s="436"/>
      <c r="DM93" s="436"/>
      <c r="DN93" s="436"/>
      <c r="DO93" s="436"/>
      <c r="DP93" s="436"/>
      <c r="DQ93" s="436"/>
      <c r="DR93" s="436"/>
      <c r="DS93" s="436"/>
      <c r="DT93" s="436"/>
      <c r="DU93" s="436"/>
      <c r="DV93" s="436"/>
      <c r="DW93" s="436"/>
      <c r="DX93" s="436"/>
      <c r="DY93" s="436"/>
      <c r="DZ93" s="436"/>
      <c r="EA93" s="440"/>
      <c r="EB93" s="439"/>
      <c r="EC93" s="436"/>
      <c r="ED93" s="436"/>
      <c r="EE93" s="436"/>
      <c r="EF93" s="436"/>
      <c r="EG93" s="436"/>
      <c r="EH93" s="436"/>
      <c r="EI93" s="436"/>
      <c r="EJ93" s="436"/>
      <c r="EK93" s="436"/>
      <c r="EL93" s="436"/>
      <c r="EM93" s="436"/>
      <c r="EN93" s="436"/>
      <c r="EO93" s="436"/>
      <c r="EP93" s="436"/>
      <c r="EQ93" s="436"/>
      <c r="ER93" s="436"/>
      <c r="ES93" s="436"/>
      <c r="ET93" s="436"/>
      <c r="EU93" s="436"/>
      <c r="EV93" s="436"/>
      <c r="EW93" s="436"/>
      <c r="EX93" s="436"/>
      <c r="EY93" s="436"/>
      <c r="EZ93" s="440"/>
      <c r="FA93" s="439"/>
      <c r="FB93" s="436"/>
      <c r="FC93" s="436"/>
      <c r="FD93" s="436"/>
      <c r="FE93" s="436"/>
      <c r="FF93" s="436"/>
      <c r="FG93" s="436"/>
      <c r="FH93" s="436"/>
      <c r="FI93" s="436"/>
      <c r="FJ93" s="436"/>
      <c r="FK93" s="436"/>
      <c r="FL93" s="436"/>
      <c r="FM93" s="436"/>
      <c r="FN93" s="436"/>
      <c r="FO93" s="436"/>
      <c r="FP93" s="436"/>
      <c r="FQ93" s="436"/>
      <c r="FR93" s="436"/>
      <c r="FS93" s="436"/>
      <c r="FT93" s="436"/>
      <c r="FU93" s="436"/>
      <c r="FV93" s="436"/>
      <c r="FW93" s="436"/>
      <c r="FX93" s="436"/>
      <c r="FY93" s="440"/>
      <c r="FZ93" s="439"/>
      <c r="GA93" s="436"/>
      <c r="GB93" s="436"/>
      <c r="GC93" s="436"/>
      <c r="GD93" s="436"/>
      <c r="GE93" s="436"/>
      <c r="GF93" s="436"/>
      <c r="GG93" s="436"/>
      <c r="GH93" s="436"/>
      <c r="GI93" s="436"/>
      <c r="GJ93" s="436"/>
      <c r="GK93" s="436"/>
      <c r="GL93" s="436"/>
      <c r="GM93" s="436"/>
      <c r="GN93" s="436"/>
      <c r="GO93" s="436"/>
      <c r="GP93" s="436"/>
      <c r="GQ93" s="436"/>
      <c r="GR93" s="436"/>
      <c r="GS93" s="436"/>
      <c r="GT93" s="436"/>
      <c r="GU93" s="436"/>
      <c r="GV93" s="436"/>
      <c r="GW93" s="436"/>
      <c r="GX93" s="440"/>
      <c r="GY93" s="439"/>
      <c r="GZ93" s="436"/>
      <c r="HA93" s="436"/>
      <c r="HB93" s="436"/>
      <c r="HC93" s="436"/>
      <c r="HD93" s="436"/>
      <c r="HE93" s="436"/>
      <c r="HF93" s="436"/>
      <c r="HG93" s="436"/>
      <c r="HH93" s="436"/>
      <c r="HI93" s="436"/>
      <c r="HJ93" s="436"/>
      <c r="HK93" s="436"/>
      <c r="HL93" s="436"/>
      <c r="HM93" s="436"/>
      <c r="HN93" s="436"/>
      <c r="HO93" s="436"/>
      <c r="HP93" s="436"/>
      <c r="HQ93" s="436"/>
      <c r="HR93" s="436"/>
      <c r="HS93" s="436"/>
      <c r="HT93" s="436"/>
      <c r="HU93" s="436"/>
      <c r="HV93" s="436"/>
      <c r="HW93" s="440"/>
    </row>
    <row r="94" spans="1:231" ht="24" customHeight="1" thickBot="1">
      <c r="A94" s="439"/>
      <c r="B94" s="441"/>
      <c r="C94" s="441"/>
      <c r="D94" s="441"/>
      <c r="E94" s="436"/>
      <c r="F94" s="436"/>
      <c r="G94" s="436"/>
      <c r="H94" s="436"/>
      <c r="I94" s="436"/>
      <c r="J94" s="436"/>
      <c r="K94" s="436"/>
      <c r="L94" s="436"/>
      <c r="M94" s="436"/>
      <c r="N94" s="436"/>
      <c r="O94" s="436"/>
      <c r="P94" s="436"/>
      <c r="Q94" s="436"/>
      <c r="R94" s="436"/>
      <c r="S94" s="436"/>
      <c r="T94" s="436"/>
      <c r="U94" s="436"/>
      <c r="V94" s="436"/>
      <c r="W94" s="436"/>
      <c r="X94" s="436"/>
      <c r="Y94" s="436"/>
      <c r="Z94" s="440"/>
      <c r="AA94" s="436"/>
      <c r="AB94" s="436"/>
      <c r="AC94" s="436"/>
      <c r="AD94" s="436"/>
      <c r="AE94" s="436"/>
      <c r="AF94" s="439"/>
      <c r="AG94" s="441"/>
      <c r="AH94" s="441"/>
      <c r="AI94" s="441"/>
      <c r="AJ94" s="436"/>
      <c r="AK94" s="436"/>
      <c r="AL94" s="436"/>
      <c r="AM94" s="436"/>
      <c r="AN94" s="436"/>
      <c r="AO94" s="436"/>
      <c r="AP94" s="436"/>
      <c r="AQ94" s="436"/>
      <c r="AR94" s="436"/>
      <c r="AS94" s="436"/>
      <c r="AT94" s="436"/>
      <c r="AU94" s="436"/>
      <c r="AV94" s="436"/>
      <c r="AW94" s="436"/>
      <c r="AX94" s="436"/>
      <c r="AY94" s="436"/>
      <c r="AZ94" s="436"/>
      <c r="BA94" s="436"/>
      <c r="BB94" s="436"/>
      <c r="BC94" s="436"/>
      <c r="BD94" s="440"/>
      <c r="BE94" s="439"/>
      <c r="BF94" s="441"/>
      <c r="BG94" s="441"/>
      <c r="BH94" s="441"/>
      <c r="BI94" s="436"/>
      <c r="BJ94" s="436"/>
      <c r="BK94" s="436"/>
      <c r="BL94" s="436"/>
      <c r="BM94" s="436"/>
      <c r="BN94" s="436"/>
      <c r="BO94" s="436"/>
      <c r="BP94" s="436"/>
      <c r="BQ94" s="436"/>
      <c r="BR94" s="436"/>
      <c r="BS94" s="436"/>
      <c r="BT94" s="436"/>
      <c r="BU94" s="436"/>
      <c r="BV94" s="436"/>
      <c r="BW94" s="436"/>
      <c r="BX94" s="436"/>
      <c r="BY94" s="436"/>
      <c r="BZ94" s="436"/>
      <c r="CA94" s="436"/>
      <c r="CB94" s="436"/>
      <c r="CC94" s="440"/>
      <c r="CD94" s="439"/>
      <c r="CE94" s="441"/>
      <c r="CF94" s="441"/>
      <c r="CG94" s="441"/>
      <c r="CH94" s="436"/>
      <c r="CI94" s="436"/>
      <c r="CJ94" s="436"/>
      <c r="CK94" s="436"/>
      <c r="CL94" s="436"/>
      <c r="CM94" s="436"/>
      <c r="CN94" s="436"/>
      <c r="CO94" s="436"/>
      <c r="CP94" s="436"/>
      <c r="CQ94" s="436"/>
      <c r="CR94" s="436"/>
      <c r="CS94" s="436"/>
      <c r="CT94" s="436"/>
      <c r="CU94" s="436"/>
      <c r="CV94" s="436"/>
      <c r="CW94" s="436"/>
      <c r="CX94" s="436"/>
      <c r="CY94" s="436"/>
      <c r="CZ94" s="436"/>
      <c r="DA94" s="436"/>
      <c r="DB94" s="440"/>
      <c r="DC94" s="439"/>
      <c r="DD94" s="441"/>
      <c r="DE94" s="441"/>
      <c r="DF94" s="441"/>
      <c r="DG94" s="436"/>
      <c r="DH94" s="436"/>
      <c r="DI94" s="436"/>
      <c r="DJ94" s="436"/>
      <c r="DK94" s="436"/>
      <c r="DL94" s="436"/>
      <c r="DM94" s="436"/>
      <c r="DN94" s="436"/>
      <c r="DO94" s="436"/>
      <c r="DP94" s="436"/>
      <c r="DQ94" s="436"/>
      <c r="DR94" s="436"/>
      <c r="DS94" s="436"/>
      <c r="DT94" s="436"/>
      <c r="DU94" s="436"/>
      <c r="DV94" s="436"/>
      <c r="DW94" s="436"/>
      <c r="DX94" s="436"/>
      <c r="DY94" s="436"/>
      <c r="DZ94" s="436"/>
      <c r="EA94" s="440"/>
      <c r="EB94" s="439"/>
      <c r="EC94" s="441"/>
      <c r="ED94" s="441"/>
      <c r="EE94" s="441"/>
      <c r="EF94" s="436"/>
      <c r="EG94" s="436"/>
      <c r="EH94" s="436"/>
      <c r="EI94" s="436"/>
      <c r="EJ94" s="436"/>
      <c r="EK94" s="436"/>
      <c r="EL94" s="436"/>
      <c r="EM94" s="436"/>
      <c r="EN94" s="436"/>
      <c r="EO94" s="436"/>
      <c r="EP94" s="436"/>
      <c r="EQ94" s="436"/>
      <c r="ER94" s="436"/>
      <c r="ES94" s="436"/>
      <c r="ET94" s="436"/>
      <c r="EU94" s="436"/>
      <c r="EV94" s="436"/>
      <c r="EW94" s="436"/>
      <c r="EX94" s="436"/>
      <c r="EY94" s="436"/>
      <c r="EZ94" s="440"/>
      <c r="FA94" s="439"/>
      <c r="FB94" s="441"/>
      <c r="FC94" s="441"/>
      <c r="FD94" s="441"/>
      <c r="FE94" s="436"/>
      <c r="FF94" s="436"/>
      <c r="FG94" s="436"/>
      <c r="FH94" s="436"/>
      <c r="FI94" s="436"/>
      <c r="FJ94" s="436"/>
      <c r="FK94" s="436"/>
      <c r="FL94" s="436"/>
      <c r="FM94" s="436"/>
      <c r="FN94" s="436"/>
      <c r="FO94" s="436"/>
      <c r="FP94" s="436"/>
      <c r="FQ94" s="436"/>
      <c r="FR94" s="436"/>
      <c r="FS94" s="436"/>
      <c r="FT94" s="436"/>
      <c r="FU94" s="436"/>
      <c r="FV94" s="436"/>
      <c r="FW94" s="436"/>
      <c r="FX94" s="436"/>
      <c r="FY94" s="440"/>
      <c r="FZ94" s="439"/>
      <c r="GA94" s="441"/>
      <c r="GB94" s="441"/>
      <c r="GC94" s="441"/>
      <c r="GD94" s="436"/>
      <c r="GE94" s="436"/>
      <c r="GF94" s="436"/>
      <c r="GG94" s="436"/>
      <c r="GH94" s="436"/>
      <c r="GI94" s="436"/>
      <c r="GJ94" s="436"/>
      <c r="GK94" s="436"/>
      <c r="GL94" s="436"/>
      <c r="GM94" s="436"/>
      <c r="GN94" s="436"/>
      <c r="GO94" s="436"/>
      <c r="GP94" s="436"/>
      <c r="GQ94" s="436"/>
      <c r="GR94" s="436"/>
      <c r="GS94" s="436"/>
      <c r="GT94" s="436"/>
      <c r="GU94" s="436"/>
      <c r="GV94" s="436"/>
      <c r="GW94" s="436"/>
      <c r="GX94" s="440"/>
      <c r="GY94" s="439"/>
      <c r="GZ94" s="441"/>
      <c r="HA94" s="441"/>
      <c r="HB94" s="441"/>
      <c r="HC94" s="436"/>
      <c r="HD94" s="436"/>
      <c r="HE94" s="436"/>
      <c r="HF94" s="436"/>
      <c r="HG94" s="436"/>
      <c r="HH94" s="436"/>
      <c r="HI94" s="436"/>
      <c r="HJ94" s="436"/>
      <c r="HK94" s="436"/>
      <c r="HL94" s="436"/>
      <c r="HM94" s="436"/>
      <c r="HN94" s="436"/>
      <c r="HO94" s="436"/>
      <c r="HP94" s="436"/>
      <c r="HQ94" s="436"/>
      <c r="HR94" s="436"/>
      <c r="HS94" s="436"/>
      <c r="HT94" s="436"/>
      <c r="HU94" s="436"/>
      <c r="HV94" s="436"/>
      <c r="HW94" s="440"/>
    </row>
    <row r="95" spans="1:231" ht="24" customHeight="1" thickBot="1">
      <c r="A95" s="444"/>
      <c r="B95" s="1917" t="str">
        <f>'Вывод расчетов'!$AK$9</f>
        <v>Раздел 1</v>
      </c>
      <c r="C95" s="1915"/>
      <c r="D95" s="1915"/>
      <c r="E95" s="445"/>
      <c r="F95" s="1917" t="str">
        <f>'Вывод расчетов'!$AN$9</f>
        <v>Определение главных размеров асинхронного двигателя</v>
      </c>
      <c r="G95" s="1915"/>
      <c r="H95" s="1915"/>
      <c r="I95" s="1915"/>
      <c r="J95" s="1915"/>
      <c r="K95" s="1915"/>
      <c r="L95" s="1915"/>
      <c r="M95" s="1915"/>
      <c r="N95" s="1915"/>
      <c r="O95" s="1915"/>
      <c r="P95" s="1915"/>
      <c r="Q95" s="1915"/>
      <c r="R95" s="1918"/>
      <c r="S95" s="445"/>
      <c r="T95" s="1917" t="s">
        <v>1502</v>
      </c>
      <c r="U95" s="1915"/>
      <c r="V95" s="1918"/>
      <c r="W95" s="445"/>
      <c r="X95" s="1917">
        <v>5</v>
      </c>
      <c r="Y95" s="1918"/>
      <c r="Z95" s="446"/>
      <c r="AA95" s="608"/>
      <c r="AB95" s="608"/>
      <c r="AC95" s="608"/>
      <c r="AD95" s="608"/>
      <c r="AE95" s="608"/>
      <c r="AF95" s="444"/>
      <c r="AG95" s="1917" t="str">
        <f>'Вывод расчетов'!$CC$9</f>
        <v>Раздел 3</v>
      </c>
      <c r="AH95" s="1915"/>
      <c r="AI95" s="1915"/>
      <c r="AJ95" s="445"/>
      <c r="AK95" s="1917" t="str">
        <f>'Вывод расчетов'!$CF$9</f>
        <v>Расчет обмотки статора</v>
      </c>
      <c r="AL95" s="1915"/>
      <c r="AM95" s="1915"/>
      <c r="AN95" s="1915"/>
      <c r="AO95" s="1915"/>
      <c r="AP95" s="1915"/>
      <c r="AQ95" s="1915"/>
      <c r="AR95" s="1915"/>
      <c r="AS95" s="1915"/>
      <c r="AT95" s="1915"/>
      <c r="AU95" s="1915"/>
      <c r="AV95" s="1918"/>
      <c r="AW95" s="445"/>
      <c r="AX95" s="1917" t="s">
        <v>1502</v>
      </c>
      <c r="AY95" s="1915"/>
      <c r="AZ95" s="1918"/>
      <c r="BA95" s="445"/>
      <c r="BB95" s="1917">
        <v>11</v>
      </c>
      <c r="BC95" s="1918"/>
      <c r="BD95" s="446"/>
      <c r="BE95" s="444"/>
      <c r="BF95" s="1917" t="str">
        <f>'Вывод расчетов'!$CC$9</f>
        <v>Раздел 3</v>
      </c>
      <c r="BG95" s="1915"/>
      <c r="BH95" s="1915"/>
      <c r="BI95" s="445"/>
      <c r="BJ95" s="1917" t="str">
        <f>'Вывод расчетов'!$CF$9</f>
        <v>Расчет обмотки статора</v>
      </c>
      <c r="BK95" s="1915"/>
      <c r="BL95" s="1915"/>
      <c r="BM95" s="1915"/>
      <c r="BN95" s="1915"/>
      <c r="BO95" s="1915"/>
      <c r="BP95" s="1915"/>
      <c r="BQ95" s="1915"/>
      <c r="BR95" s="1915"/>
      <c r="BS95" s="1915"/>
      <c r="BT95" s="1915"/>
      <c r="BU95" s="1918"/>
      <c r="BV95" s="445"/>
      <c r="BW95" s="1917" t="s">
        <v>1502</v>
      </c>
      <c r="BX95" s="1915"/>
      <c r="BY95" s="1918"/>
      <c r="BZ95" s="445"/>
      <c r="CA95" s="1917">
        <v>11</v>
      </c>
      <c r="CB95" s="1918"/>
      <c r="CC95" s="446"/>
      <c r="CD95" s="444"/>
      <c r="CE95" s="1917" t="str">
        <f>'Вывод расчетов'!$CC$9</f>
        <v>Раздел 3</v>
      </c>
      <c r="CF95" s="1915"/>
      <c r="CG95" s="1915"/>
      <c r="CH95" s="445"/>
      <c r="CI95" s="1917" t="str">
        <f>'Вывод расчетов'!$CF$9</f>
        <v>Расчет обмотки статора</v>
      </c>
      <c r="CJ95" s="1915"/>
      <c r="CK95" s="1915"/>
      <c r="CL95" s="1915"/>
      <c r="CM95" s="1915"/>
      <c r="CN95" s="1915"/>
      <c r="CO95" s="1915"/>
      <c r="CP95" s="1915"/>
      <c r="CQ95" s="1915"/>
      <c r="CR95" s="1915"/>
      <c r="CS95" s="1915"/>
      <c r="CT95" s="1918"/>
      <c r="CU95" s="445"/>
      <c r="CV95" s="1917" t="s">
        <v>1502</v>
      </c>
      <c r="CW95" s="1915"/>
      <c r="CX95" s="1918"/>
      <c r="CY95" s="445"/>
      <c r="CZ95" s="1917">
        <v>11</v>
      </c>
      <c r="DA95" s="1918"/>
      <c r="DB95" s="446"/>
      <c r="DC95" s="444"/>
      <c r="DD95" s="1917" t="str">
        <f>'Вывод расчетов'!$CC$9</f>
        <v>Раздел 3</v>
      </c>
      <c r="DE95" s="1915"/>
      <c r="DF95" s="1915"/>
      <c r="DG95" s="445"/>
      <c r="DH95" s="1917" t="str">
        <f>'Вывод расчетов'!$CF$9</f>
        <v>Расчет обмотки статора</v>
      </c>
      <c r="DI95" s="1915"/>
      <c r="DJ95" s="1915"/>
      <c r="DK95" s="1915"/>
      <c r="DL95" s="1915"/>
      <c r="DM95" s="1915"/>
      <c r="DN95" s="1915"/>
      <c r="DO95" s="1915"/>
      <c r="DP95" s="1915"/>
      <c r="DQ95" s="1915"/>
      <c r="DR95" s="1915"/>
      <c r="DS95" s="1918"/>
      <c r="DT95" s="445"/>
      <c r="DU95" s="1917" t="s">
        <v>1502</v>
      </c>
      <c r="DV95" s="1915"/>
      <c r="DW95" s="1918"/>
      <c r="DX95" s="445"/>
      <c r="DY95" s="1917">
        <v>11</v>
      </c>
      <c r="DZ95" s="1918"/>
      <c r="EA95" s="446"/>
      <c r="EB95" s="444"/>
      <c r="EC95" s="1917" t="str">
        <f>'Вывод расчетов'!$CC$9</f>
        <v>Раздел 3</v>
      </c>
      <c r="ED95" s="1915"/>
      <c r="EE95" s="1915"/>
      <c r="EF95" s="445"/>
      <c r="EG95" s="1917" t="str">
        <f>'Вывод расчетов'!$CF$9</f>
        <v>Расчет обмотки статора</v>
      </c>
      <c r="EH95" s="1915"/>
      <c r="EI95" s="1915"/>
      <c r="EJ95" s="1915"/>
      <c r="EK95" s="1915"/>
      <c r="EL95" s="1915"/>
      <c r="EM95" s="1915"/>
      <c r="EN95" s="1915"/>
      <c r="EO95" s="1915"/>
      <c r="EP95" s="1915"/>
      <c r="EQ95" s="1915"/>
      <c r="ER95" s="1918"/>
      <c r="ES95" s="445"/>
      <c r="ET95" s="1917" t="s">
        <v>1502</v>
      </c>
      <c r="EU95" s="1915"/>
      <c r="EV95" s="1918"/>
      <c r="EW95" s="445"/>
      <c r="EX95" s="1917">
        <v>11</v>
      </c>
      <c r="EY95" s="1918"/>
      <c r="EZ95" s="446"/>
      <c r="FA95" s="444"/>
      <c r="FB95" s="1917" t="str">
        <f>'Вывод расчетов'!$CC$9</f>
        <v>Раздел 3</v>
      </c>
      <c r="FC95" s="1915"/>
      <c r="FD95" s="1915"/>
      <c r="FE95" s="445"/>
      <c r="FF95" s="1917" t="str">
        <f>'Вывод расчетов'!$CF$9</f>
        <v>Расчет обмотки статора</v>
      </c>
      <c r="FG95" s="1915"/>
      <c r="FH95" s="1915"/>
      <c r="FI95" s="1915"/>
      <c r="FJ95" s="1915"/>
      <c r="FK95" s="1915"/>
      <c r="FL95" s="1915"/>
      <c r="FM95" s="1915"/>
      <c r="FN95" s="1915"/>
      <c r="FO95" s="1915"/>
      <c r="FP95" s="1915"/>
      <c r="FQ95" s="1918"/>
      <c r="FR95" s="445"/>
      <c r="FS95" s="1917" t="s">
        <v>1502</v>
      </c>
      <c r="FT95" s="1915"/>
      <c r="FU95" s="1918"/>
      <c r="FV95" s="445"/>
      <c r="FW95" s="1917">
        <v>11</v>
      </c>
      <c r="FX95" s="1918"/>
      <c r="FY95" s="446"/>
      <c r="FZ95" s="444"/>
      <c r="GA95" s="1917" t="str">
        <f>'Вывод расчетов'!$CC$9</f>
        <v>Раздел 3</v>
      </c>
      <c r="GB95" s="1915"/>
      <c r="GC95" s="1915"/>
      <c r="GD95" s="445"/>
      <c r="GE95" s="1917" t="str">
        <f>'Вывод расчетов'!$CF$9</f>
        <v>Расчет обмотки статора</v>
      </c>
      <c r="GF95" s="1915"/>
      <c r="GG95" s="1915"/>
      <c r="GH95" s="1915"/>
      <c r="GI95" s="1915"/>
      <c r="GJ95" s="1915"/>
      <c r="GK95" s="1915"/>
      <c r="GL95" s="1915"/>
      <c r="GM95" s="1915"/>
      <c r="GN95" s="1915"/>
      <c r="GO95" s="1915"/>
      <c r="GP95" s="1918"/>
      <c r="GQ95" s="445"/>
      <c r="GR95" s="1917" t="s">
        <v>1502</v>
      </c>
      <c r="GS95" s="1915"/>
      <c r="GT95" s="1918"/>
      <c r="GU95" s="445"/>
      <c r="GV95" s="1917">
        <v>11</v>
      </c>
      <c r="GW95" s="1918"/>
      <c r="GX95" s="446"/>
      <c r="GY95" s="444"/>
      <c r="GZ95" s="1917" t="str">
        <f>'Вывод расчетов'!$CC$9</f>
        <v>Раздел 3</v>
      </c>
      <c r="HA95" s="1915"/>
      <c r="HB95" s="1915"/>
      <c r="HC95" s="445"/>
      <c r="HD95" s="1917" t="str">
        <f>'Вывод расчетов'!$CF$9</f>
        <v>Расчет обмотки статора</v>
      </c>
      <c r="HE95" s="1915"/>
      <c r="HF95" s="1915"/>
      <c r="HG95" s="1915"/>
      <c r="HH95" s="1915"/>
      <c r="HI95" s="1915"/>
      <c r="HJ95" s="1915"/>
      <c r="HK95" s="1915"/>
      <c r="HL95" s="1915"/>
      <c r="HM95" s="1915"/>
      <c r="HN95" s="1915"/>
      <c r="HO95" s="1918"/>
      <c r="HP95" s="445"/>
      <c r="HQ95" s="1917" t="s">
        <v>1502</v>
      </c>
      <c r="HR95" s="1915"/>
      <c r="HS95" s="1918"/>
      <c r="HT95" s="445"/>
      <c r="HU95" s="1917">
        <v>11</v>
      </c>
      <c r="HV95" s="1918"/>
      <c r="HW95" s="446"/>
    </row>
    <row r="96" spans="1:231" ht="24" customHeight="1" thickBot="1">
      <c r="A96" s="1914" t="s">
        <v>1230</v>
      </c>
      <c r="B96" s="1915"/>
      <c r="C96" s="1915"/>
      <c r="D96" s="1915"/>
      <c r="E96" s="1915"/>
      <c r="F96" s="1915"/>
      <c r="G96" s="1915"/>
      <c r="H96" s="1915"/>
      <c r="I96" s="1915"/>
      <c r="J96" s="1915"/>
      <c r="K96" s="1915"/>
      <c r="L96" s="1915"/>
      <c r="M96" s="1915"/>
      <c r="N96" s="1915"/>
      <c r="O96" s="1915"/>
      <c r="P96" s="1915"/>
      <c r="Q96" s="1915"/>
      <c r="R96" s="1915"/>
      <c r="S96" s="1915"/>
      <c r="T96" s="1915"/>
      <c r="U96" s="1915"/>
      <c r="V96" s="1915"/>
      <c r="W96" s="1915"/>
      <c r="X96" s="1915"/>
      <c r="Y96" s="1915"/>
      <c r="Z96" s="1916"/>
      <c r="AA96" s="605"/>
      <c r="AB96" s="605"/>
      <c r="AC96" s="605"/>
      <c r="AD96" s="605"/>
      <c r="AE96" s="605"/>
      <c r="AF96" s="1914" t="s">
        <v>1230</v>
      </c>
      <c r="AG96" s="1915"/>
      <c r="AH96" s="1915"/>
      <c r="AI96" s="1915"/>
      <c r="AJ96" s="1915"/>
      <c r="AK96" s="1915"/>
      <c r="AL96" s="1915"/>
      <c r="AM96" s="1915"/>
      <c r="AN96" s="1915"/>
      <c r="AO96" s="1915"/>
      <c r="AP96" s="1915"/>
      <c r="AQ96" s="1915"/>
      <c r="AR96" s="1915"/>
      <c r="AS96" s="1915"/>
      <c r="AT96" s="1915"/>
      <c r="AU96" s="1915"/>
      <c r="AV96" s="1915"/>
      <c r="AW96" s="1915"/>
      <c r="AX96" s="1915"/>
      <c r="AY96" s="1915"/>
      <c r="AZ96" s="1915"/>
      <c r="BA96" s="1915"/>
      <c r="BB96" s="1915"/>
      <c r="BC96" s="1915"/>
      <c r="BD96" s="1916"/>
      <c r="BE96" s="1914" t="s">
        <v>1230</v>
      </c>
      <c r="BF96" s="1915"/>
      <c r="BG96" s="1915"/>
      <c r="BH96" s="1915"/>
      <c r="BI96" s="1915"/>
      <c r="BJ96" s="1915"/>
      <c r="BK96" s="1915"/>
      <c r="BL96" s="1915"/>
      <c r="BM96" s="1915"/>
      <c r="BN96" s="1915"/>
      <c r="BO96" s="1915"/>
      <c r="BP96" s="1915"/>
      <c r="BQ96" s="1915"/>
      <c r="BR96" s="1915"/>
      <c r="BS96" s="1915"/>
      <c r="BT96" s="1915"/>
      <c r="BU96" s="1915"/>
      <c r="BV96" s="1915"/>
      <c r="BW96" s="1915"/>
      <c r="BX96" s="1915"/>
      <c r="BY96" s="1915"/>
      <c r="BZ96" s="1915"/>
      <c r="CA96" s="1915"/>
      <c r="CB96" s="1915"/>
      <c r="CC96" s="1916"/>
      <c r="CD96" s="1914" t="s">
        <v>1230</v>
      </c>
      <c r="CE96" s="1915"/>
      <c r="CF96" s="1915"/>
      <c r="CG96" s="1915"/>
      <c r="CH96" s="1915"/>
      <c r="CI96" s="1915"/>
      <c r="CJ96" s="1915"/>
      <c r="CK96" s="1915"/>
      <c r="CL96" s="1915"/>
      <c r="CM96" s="1915"/>
      <c r="CN96" s="1915"/>
      <c r="CO96" s="1915"/>
      <c r="CP96" s="1915"/>
      <c r="CQ96" s="1915"/>
      <c r="CR96" s="1915"/>
      <c r="CS96" s="1915"/>
      <c r="CT96" s="1915"/>
      <c r="CU96" s="1915"/>
      <c r="CV96" s="1915"/>
      <c r="CW96" s="1915"/>
      <c r="CX96" s="1915"/>
      <c r="CY96" s="1915"/>
      <c r="CZ96" s="1915"/>
      <c r="DA96" s="1915"/>
      <c r="DB96" s="1916"/>
      <c r="DC96" s="1914" t="s">
        <v>1230</v>
      </c>
      <c r="DD96" s="1915"/>
      <c r="DE96" s="1915"/>
      <c r="DF96" s="1915"/>
      <c r="DG96" s="1915"/>
      <c r="DH96" s="1915"/>
      <c r="DI96" s="1915"/>
      <c r="DJ96" s="1915"/>
      <c r="DK96" s="1915"/>
      <c r="DL96" s="1915"/>
      <c r="DM96" s="1915"/>
      <c r="DN96" s="1915"/>
      <c r="DO96" s="1915"/>
      <c r="DP96" s="1915"/>
      <c r="DQ96" s="1915"/>
      <c r="DR96" s="1915"/>
      <c r="DS96" s="1915"/>
      <c r="DT96" s="1915"/>
      <c r="DU96" s="1915"/>
      <c r="DV96" s="1915"/>
      <c r="DW96" s="1915"/>
      <c r="DX96" s="1915"/>
      <c r="DY96" s="1915"/>
      <c r="DZ96" s="1915"/>
      <c r="EA96" s="1916"/>
      <c r="EB96" s="1914" t="s">
        <v>1230</v>
      </c>
      <c r="EC96" s="1915"/>
      <c r="ED96" s="1915"/>
      <c r="EE96" s="1915"/>
      <c r="EF96" s="1915"/>
      <c r="EG96" s="1915"/>
      <c r="EH96" s="1915"/>
      <c r="EI96" s="1915"/>
      <c r="EJ96" s="1915"/>
      <c r="EK96" s="1915"/>
      <c r="EL96" s="1915"/>
      <c r="EM96" s="1915"/>
      <c r="EN96" s="1915"/>
      <c r="EO96" s="1915"/>
      <c r="EP96" s="1915"/>
      <c r="EQ96" s="1915"/>
      <c r="ER96" s="1915"/>
      <c r="ES96" s="1915"/>
      <c r="ET96" s="1915"/>
      <c r="EU96" s="1915"/>
      <c r="EV96" s="1915"/>
      <c r="EW96" s="1915"/>
      <c r="EX96" s="1915"/>
      <c r="EY96" s="1915"/>
      <c r="EZ96" s="1916"/>
      <c r="FA96" s="1914" t="s">
        <v>1230</v>
      </c>
      <c r="FB96" s="1915"/>
      <c r="FC96" s="1915"/>
      <c r="FD96" s="1915"/>
      <c r="FE96" s="1915"/>
      <c r="FF96" s="1915"/>
      <c r="FG96" s="1915"/>
      <c r="FH96" s="1915"/>
      <c r="FI96" s="1915"/>
      <c r="FJ96" s="1915"/>
      <c r="FK96" s="1915"/>
      <c r="FL96" s="1915"/>
      <c r="FM96" s="1915"/>
      <c r="FN96" s="1915"/>
      <c r="FO96" s="1915"/>
      <c r="FP96" s="1915"/>
      <c r="FQ96" s="1915"/>
      <c r="FR96" s="1915"/>
      <c r="FS96" s="1915"/>
      <c r="FT96" s="1915"/>
      <c r="FU96" s="1915"/>
      <c r="FV96" s="1915"/>
      <c r="FW96" s="1915"/>
      <c r="FX96" s="1915"/>
      <c r="FY96" s="1916"/>
      <c r="FZ96" s="1914" t="s">
        <v>1230</v>
      </c>
      <c r="GA96" s="1915"/>
      <c r="GB96" s="1915"/>
      <c r="GC96" s="1915"/>
      <c r="GD96" s="1915"/>
      <c r="GE96" s="1915"/>
      <c r="GF96" s="1915"/>
      <c r="GG96" s="1915"/>
      <c r="GH96" s="1915"/>
      <c r="GI96" s="1915"/>
      <c r="GJ96" s="1915"/>
      <c r="GK96" s="1915"/>
      <c r="GL96" s="1915"/>
      <c r="GM96" s="1915"/>
      <c r="GN96" s="1915"/>
      <c r="GO96" s="1915"/>
      <c r="GP96" s="1915"/>
      <c r="GQ96" s="1915"/>
      <c r="GR96" s="1915"/>
      <c r="GS96" s="1915"/>
      <c r="GT96" s="1915"/>
      <c r="GU96" s="1915"/>
      <c r="GV96" s="1915"/>
      <c r="GW96" s="1915"/>
      <c r="GX96" s="1916"/>
      <c r="GY96" s="1914" t="s">
        <v>1230</v>
      </c>
      <c r="GZ96" s="1915"/>
      <c r="HA96" s="1915"/>
      <c r="HB96" s="1915"/>
      <c r="HC96" s="1915"/>
      <c r="HD96" s="1915"/>
      <c r="HE96" s="1915"/>
      <c r="HF96" s="1915"/>
      <c r="HG96" s="1915"/>
      <c r="HH96" s="1915"/>
      <c r="HI96" s="1915"/>
      <c r="HJ96" s="1915"/>
      <c r="HK96" s="1915"/>
      <c r="HL96" s="1915"/>
      <c r="HM96" s="1915"/>
      <c r="HN96" s="1915"/>
      <c r="HO96" s="1915"/>
      <c r="HP96" s="1915"/>
      <c r="HQ96" s="1915"/>
      <c r="HR96" s="1915"/>
      <c r="HS96" s="1915"/>
      <c r="HT96" s="1915"/>
      <c r="HU96" s="1915"/>
      <c r="HV96" s="1915"/>
      <c r="HW96" s="1916"/>
    </row>
    <row r="97" spans="1:231" ht="24" customHeight="1">
      <c r="A97" s="437"/>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47"/>
      <c r="AA97" s="438"/>
      <c r="AB97" s="438"/>
      <c r="AC97" s="438"/>
      <c r="AD97" s="438"/>
      <c r="AE97" s="438"/>
      <c r="AF97" s="437"/>
      <c r="AG97" s="438"/>
      <c r="AH97" s="438"/>
      <c r="AI97" s="438"/>
      <c r="AJ97" s="438"/>
      <c r="AK97" s="438"/>
      <c r="AL97" s="438"/>
      <c r="AM97" s="438"/>
      <c r="AN97" s="438"/>
      <c r="AO97" s="438"/>
      <c r="AP97" s="438"/>
      <c r="AQ97" s="438"/>
      <c r="AR97" s="438"/>
      <c r="AS97" s="438"/>
      <c r="AT97" s="438"/>
      <c r="AU97" s="438"/>
      <c r="AV97" s="438"/>
      <c r="AW97" s="438"/>
      <c r="AX97" s="438"/>
      <c r="AY97" s="438"/>
      <c r="AZ97" s="438"/>
      <c r="BA97" s="438"/>
      <c r="BB97" s="438"/>
      <c r="BC97" s="438"/>
      <c r="BD97" s="447"/>
      <c r="BE97" s="437"/>
      <c r="BF97" s="438"/>
      <c r="BG97" s="438"/>
      <c r="BH97" s="438"/>
      <c r="BI97" s="438"/>
      <c r="BJ97" s="438"/>
      <c r="BK97" s="438"/>
      <c r="BL97" s="438"/>
      <c r="BM97" s="438"/>
      <c r="BN97" s="438"/>
      <c r="BO97" s="438"/>
      <c r="BP97" s="438"/>
      <c r="BQ97" s="438"/>
      <c r="BR97" s="438"/>
      <c r="BS97" s="438"/>
      <c r="BT97" s="438"/>
      <c r="BU97" s="438"/>
      <c r="BV97" s="438"/>
      <c r="BW97" s="438"/>
      <c r="BX97" s="438"/>
      <c r="BY97" s="438"/>
      <c r="BZ97" s="438"/>
      <c r="CA97" s="438"/>
      <c r="CB97" s="438"/>
      <c r="CC97" s="447"/>
      <c r="CD97" s="437"/>
      <c r="CE97" s="438"/>
      <c r="CF97" s="438"/>
      <c r="CG97" s="438"/>
      <c r="CH97" s="438"/>
      <c r="CI97" s="438"/>
      <c r="CJ97" s="438"/>
      <c r="CK97" s="438"/>
      <c r="CL97" s="438"/>
      <c r="CM97" s="438"/>
      <c r="CN97" s="438"/>
      <c r="CO97" s="438"/>
      <c r="CP97" s="438"/>
      <c r="CQ97" s="438"/>
      <c r="CR97" s="438"/>
      <c r="CS97" s="438"/>
      <c r="CT97" s="438"/>
      <c r="CU97" s="438"/>
      <c r="CV97" s="438"/>
      <c r="CW97" s="438"/>
      <c r="CX97" s="438"/>
      <c r="CY97" s="438"/>
      <c r="CZ97" s="438"/>
      <c r="DA97" s="438"/>
      <c r="DB97" s="447"/>
      <c r="DC97" s="437"/>
      <c r="DD97" s="438"/>
      <c r="DE97" s="438"/>
      <c r="DF97" s="438"/>
      <c r="DG97" s="438"/>
      <c r="DH97" s="438"/>
      <c r="DI97" s="438"/>
      <c r="DJ97" s="438"/>
      <c r="DK97" s="438"/>
      <c r="DL97" s="438"/>
      <c r="DM97" s="438"/>
      <c r="DN97" s="438"/>
      <c r="DO97" s="438"/>
      <c r="DP97" s="438"/>
      <c r="DQ97" s="438"/>
      <c r="DR97" s="438"/>
      <c r="DS97" s="438"/>
      <c r="DT97" s="438"/>
      <c r="DU97" s="438"/>
      <c r="DV97" s="438"/>
      <c r="DW97" s="438"/>
      <c r="DX97" s="438"/>
      <c r="DY97" s="438"/>
      <c r="DZ97" s="438"/>
      <c r="EA97" s="447"/>
      <c r="EB97" s="437"/>
      <c r="EC97" s="438"/>
      <c r="ED97" s="438"/>
      <c r="EE97" s="438"/>
      <c r="EF97" s="438"/>
      <c r="EG97" s="438"/>
      <c r="EH97" s="438"/>
      <c r="EI97" s="438"/>
      <c r="EJ97" s="438"/>
      <c r="EK97" s="438"/>
      <c r="EL97" s="438"/>
      <c r="EM97" s="438"/>
      <c r="EN97" s="438"/>
      <c r="EO97" s="438"/>
      <c r="EP97" s="438"/>
      <c r="EQ97" s="438"/>
      <c r="ER97" s="438"/>
      <c r="ES97" s="438"/>
      <c r="ET97" s="438"/>
      <c r="EU97" s="438"/>
      <c r="EV97" s="438"/>
      <c r="EW97" s="438"/>
      <c r="EX97" s="438"/>
      <c r="EY97" s="438"/>
      <c r="EZ97" s="447"/>
      <c r="FA97" s="437"/>
      <c r="FB97" s="438"/>
      <c r="FC97" s="438"/>
      <c r="FD97" s="438"/>
      <c r="FE97" s="438"/>
      <c r="FF97" s="438"/>
      <c r="FG97" s="438"/>
      <c r="FH97" s="438"/>
      <c r="FI97" s="438"/>
      <c r="FJ97" s="438"/>
      <c r="FK97" s="438"/>
      <c r="FL97" s="438"/>
      <c r="FM97" s="438"/>
      <c r="FN97" s="438"/>
      <c r="FO97" s="438"/>
      <c r="FP97" s="438"/>
      <c r="FQ97" s="438"/>
      <c r="FR97" s="438"/>
      <c r="FS97" s="438"/>
      <c r="FT97" s="438"/>
      <c r="FU97" s="438"/>
      <c r="FV97" s="438"/>
      <c r="FW97" s="438"/>
      <c r="FX97" s="438"/>
      <c r="FY97" s="447"/>
      <c r="FZ97" s="437"/>
      <c r="GA97" s="438"/>
      <c r="GB97" s="438"/>
      <c r="GC97" s="438"/>
      <c r="GD97" s="438"/>
      <c r="GE97" s="438"/>
      <c r="GF97" s="438"/>
      <c r="GG97" s="438"/>
      <c r="GH97" s="438"/>
      <c r="GI97" s="438"/>
      <c r="GJ97" s="438"/>
      <c r="GK97" s="438"/>
      <c r="GL97" s="438"/>
      <c r="GM97" s="438"/>
      <c r="GN97" s="438"/>
      <c r="GO97" s="438"/>
      <c r="GP97" s="438"/>
      <c r="GQ97" s="438"/>
      <c r="GR97" s="438"/>
      <c r="GS97" s="438"/>
      <c r="GT97" s="438"/>
      <c r="GU97" s="438"/>
      <c r="GV97" s="438"/>
      <c r="GW97" s="438"/>
      <c r="GX97" s="447"/>
      <c r="GY97" s="437"/>
      <c r="GZ97" s="438"/>
      <c r="HA97" s="438"/>
      <c r="HB97" s="438"/>
      <c r="HC97" s="438"/>
      <c r="HD97" s="438"/>
      <c r="HE97" s="438"/>
      <c r="HF97" s="438"/>
      <c r="HG97" s="438"/>
      <c r="HH97" s="438"/>
      <c r="HI97" s="438"/>
      <c r="HJ97" s="438"/>
      <c r="HK97" s="438"/>
      <c r="HL97" s="438"/>
      <c r="HM97" s="438"/>
      <c r="HN97" s="438"/>
      <c r="HO97" s="438"/>
      <c r="HP97" s="438"/>
      <c r="HQ97" s="438"/>
      <c r="HR97" s="438"/>
      <c r="HS97" s="438"/>
      <c r="HT97" s="438"/>
      <c r="HU97" s="438"/>
      <c r="HV97" s="438"/>
      <c r="HW97" s="447"/>
    </row>
    <row r="98" spans="1:231" ht="24" customHeight="1">
      <c r="A98" s="439"/>
      <c r="B98" s="436"/>
      <c r="C98" s="436"/>
      <c r="D98" s="436"/>
      <c r="E98" s="436"/>
      <c r="F98" s="436"/>
      <c r="G98" s="436"/>
      <c r="H98" s="436"/>
      <c r="I98" s="436"/>
      <c r="J98" s="436"/>
      <c r="K98" s="436"/>
      <c r="L98" s="436"/>
      <c r="M98" s="436"/>
      <c r="N98" s="436"/>
      <c r="O98" s="436"/>
      <c r="P98" s="436"/>
      <c r="Q98" s="436"/>
      <c r="R98" s="436"/>
      <c r="S98" s="436"/>
      <c r="T98" s="436"/>
      <c r="U98" s="436"/>
      <c r="V98" s="436"/>
      <c r="W98" s="436"/>
      <c r="X98" s="436"/>
      <c r="Y98" s="436"/>
      <c r="Z98" s="440"/>
      <c r="AA98" s="436"/>
      <c r="AB98" s="436"/>
      <c r="AC98" s="436"/>
      <c r="AD98" s="436"/>
      <c r="AE98" s="436"/>
      <c r="AF98" s="439"/>
      <c r="AG98" s="436"/>
      <c r="AH98" s="436"/>
      <c r="AI98" s="436"/>
      <c r="AJ98" s="436"/>
      <c r="AK98" s="436"/>
      <c r="AL98" s="436"/>
      <c r="AM98" s="436"/>
      <c r="AN98" s="436"/>
      <c r="AO98" s="436"/>
      <c r="AP98" s="436"/>
      <c r="AQ98" s="436"/>
      <c r="AR98" s="436"/>
      <c r="AS98" s="436"/>
      <c r="AT98" s="436"/>
      <c r="AU98" s="436"/>
      <c r="AV98" s="436"/>
      <c r="AW98" s="436"/>
      <c r="AX98" s="436"/>
      <c r="AY98" s="436"/>
      <c r="AZ98" s="436"/>
      <c r="BA98" s="436"/>
      <c r="BB98" s="436"/>
      <c r="BC98" s="436"/>
      <c r="BD98" s="440"/>
      <c r="BE98" s="439"/>
      <c r="BF98" s="436"/>
      <c r="BG98" s="436"/>
      <c r="BH98" s="436"/>
      <c r="BI98" s="436"/>
      <c r="BJ98" s="436"/>
      <c r="BK98" s="436"/>
      <c r="BL98" s="436"/>
      <c r="BM98" s="436"/>
      <c r="BN98" s="436"/>
      <c r="BO98" s="436"/>
      <c r="BP98" s="436"/>
      <c r="BQ98" s="436"/>
      <c r="BR98" s="436"/>
      <c r="BS98" s="436"/>
      <c r="BT98" s="436"/>
      <c r="BU98" s="436"/>
      <c r="BV98" s="436"/>
      <c r="BW98" s="436"/>
      <c r="BX98" s="436"/>
      <c r="BY98" s="436"/>
      <c r="BZ98" s="436"/>
      <c r="CA98" s="436"/>
      <c r="CB98" s="436"/>
      <c r="CC98" s="440"/>
      <c r="CD98" s="439"/>
      <c r="CE98" s="436"/>
      <c r="CF98" s="436"/>
      <c r="CG98" s="436"/>
      <c r="CH98" s="436"/>
      <c r="CI98" s="436"/>
      <c r="CJ98" s="436"/>
      <c r="CK98" s="436"/>
      <c r="CL98" s="436"/>
      <c r="CM98" s="436"/>
      <c r="CN98" s="436"/>
      <c r="CO98" s="436"/>
      <c r="CP98" s="436"/>
      <c r="CQ98" s="436"/>
      <c r="CR98" s="436"/>
      <c r="CS98" s="436"/>
      <c r="CT98" s="436"/>
      <c r="CU98" s="436"/>
      <c r="CV98" s="436"/>
      <c r="CW98" s="436"/>
      <c r="CX98" s="436"/>
      <c r="CY98" s="436"/>
      <c r="CZ98" s="436"/>
      <c r="DA98" s="436"/>
      <c r="DB98" s="440"/>
      <c r="DC98" s="439"/>
      <c r="DD98" s="436"/>
      <c r="DE98" s="436"/>
      <c r="DF98" s="436"/>
      <c r="DG98" s="436"/>
      <c r="DH98" s="436"/>
      <c r="DI98" s="436"/>
      <c r="DJ98" s="436"/>
      <c r="DK98" s="436"/>
      <c r="DL98" s="436"/>
      <c r="DM98" s="436"/>
      <c r="DN98" s="436"/>
      <c r="DO98" s="436"/>
      <c r="DP98" s="436"/>
      <c r="DQ98" s="436"/>
      <c r="DR98" s="436"/>
      <c r="DS98" s="436"/>
      <c r="DT98" s="436"/>
      <c r="DU98" s="436"/>
      <c r="DV98" s="436"/>
      <c r="DW98" s="436"/>
      <c r="DX98" s="436"/>
      <c r="DY98" s="436"/>
      <c r="DZ98" s="436"/>
      <c r="EA98" s="440"/>
      <c r="EB98" s="439"/>
      <c r="EC98" s="436"/>
      <c r="ED98" s="436"/>
      <c r="EE98" s="436"/>
      <c r="EF98" s="436"/>
      <c r="EG98" s="436"/>
      <c r="EH98" s="436"/>
      <c r="EI98" s="436"/>
      <c r="EJ98" s="436"/>
      <c r="EK98" s="436"/>
      <c r="EL98" s="436"/>
      <c r="EM98" s="436"/>
      <c r="EN98" s="436"/>
      <c r="EO98" s="436"/>
      <c r="EP98" s="436"/>
      <c r="EQ98" s="436"/>
      <c r="ER98" s="436"/>
      <c r="ES98" s="436"/>
      <c r="ET98" s="436"/>
      <c r="EU98" s="436"/>
      <c r="EV98" s="436"/>
      <c r="EW98" s="436"/>
      <c r="EX98" s="436"/>
      <c r="EY98" s="436"/>
      <c r="EZ98" s="440"/>
      <c r="FA98" s="439"/>
      <c r="FB98" s="436"/>
      <c r="FC98" s="436"/>
      <c r="FD98" s="436"/>
      <c r="FE98" s="436"/>
      <c r="FF98" s="436"/>
      <c r="FG98" s="436"/>
      <c r="FH98" s="436"/>
      <c r="FI98" s="436"/>
      <c r="FJ98" s="436"/>
      <c r="FK98" s="436"/>
      <c r="FL98" s="436"/>
      <c r="FM98" s="436"/>
      <c r="FN98" s="436"/>
      <c r="FO98" s="436"/>
      <c r="FP98" s="436"/>
      <c r="FQ98" s="436"/>
      <c r="FR98" s="436"/>
      <c r="FS98" s="436"/>
      <c r="FT98" s="436"/>
      <c r="FU98" s="436"/>
      <c r="FV98" s="436"/>
      <c r="FW98" s="436"/>
      <c r="FX98" s="436"/>
      <c r="FY98" s="440"/>
      <c r="FZ98" s="439"/>
      <c r="GA98" s="436"/>
      <c r="GB98" s="436"/>
      <c r="GC98" s="436"/>
      <c r="GD98" s="436"/>
      <c r="GE98" s="436"/>
      <c r="GF98" s="436"/>
      <c r="GG98" s="436"/>
      <c r="GH98" s="436"/>
      <c r="GI98" s="436"/>
      <c r="GJ98" s="436"/>
      <c r="GK98" s="436"/>
      <c r="GL98" s="436"/>
      <c r="GM98" s="436"/>
      <c r="GN98" s="436"/>
      <c r="GO98" s="436"/>
      <c r="GP98" s="436"/>
      <c r="GQ98" s="436"/>
      <c r="GR98" s="436"/>
      <c r="GS98" s="436"/>
      <c r="GT98" s="436"/>
      <c r="GU98" s="436"/>
      <c r="GV98" s="436"/>
      <c r="GW98" s="436"/>
      <c r="GX98" s="440"/>
      <c r="GY98" s="439"/>
      <c r="GZ98" s="436"/>
      <c r="HA98" s="436"/>
      <c r="HB98" s="436"/>
      <c r="HC98" s="436"/>
      <c r="HD98" s="436"/>
      <c r="HE98" s="436"/>
      <c r="HF98" s="436"/>
      <c r="HG98" s="436"/>
      <c r="HH98" s="436"/>
      <c r="HI98" s="436"/>
      <c r="HJ98" s="436"/>
      <c r="HK98" s="436"/>
      <c r="HL98" s="436"/>
      <c r="HM98" s="436"/>
      <c r="HN98" s="436"/>
      <c r="HO98" s="436"/>
      <c r="HP98" s="436"/>
      <c r="HQ98" s="436"/>
      <c r="HR98" s="436"/>
      <c r="HS98" s="436"/>
      <c r="HT98" s="436"/>
      <c r="HU98" s="436"/>
      <c r="HV98" s="436"/>
      <c r="HW98" s="440"/>
    </row>
    <row r="99" spans="1:231" ht="24" customHeight="1">
      <c r="A99" s="439"/>
      <c r="B99" s="436"/>
      <c r="C99" s="436"/>
      <c r="D99" s="436"/>
      <c r="E99" s="436"/>
      <c r="F99" s="436"/>
      <c r="G99" s="436"/>
      <c r="H99" s="436"/>
      <c r="I99" s="436"/>
      <c r="J99" s="436"/>
      <c r="K99" s="436"/>
      <c r="L99" s="436"/>
      <c r="M99" s="436"/>
      <c r="N99" s="436"/>
      <c r="O99" s="436"/>
      <c r="P99" s="436"/>
      <c r="Q99" s="436"/>
      <c r="R99" s="436"/>
      <c r="S99" s="436"/>
      <c r="T99" s="436"/>
      <c r="U99" s="436"/>
      <c r="V99" s="436"/>
      <c r="W99" s="436"/>
      <c r="X99" s="436"/>
      <c r="Y99" s="436"/>
      <c r="Z99" s="440"/>
      <c r="AA99" s="436"/>
      <c r="AB99" s="436"/>
      <c r="AC99" s="436"/>
      <c r="AD99" s="436"/>
      <c r="AE99" s="436"/>
      <c r="AF99" s="439"/>
      <c r="AG99" s="436"/>
      <c r="AH99" s="436"/>
      <c r="AI99" s="436"/>
      <c r="AJ99" s="436"/>
      <c r="AK99" s="436"/>
      <c r="AL99" s="436"/>
      <c r="AM99" s="436"/>
      <c r="AN99" s="436"/>
      <c r="AO99" s="436"/>
      <c r="AP99" s="436"/>
      <c r="AQ99" s="436"/>
      <c r="AR99" s="436"/>
      <c r="AS99" s="436"/>
      <c r="AT99" s="436"/>
      <c r="AU99" s="436"/>
      <c r="AV99" s="436"/>
      <c r="AW99" s="436"/>
      <c r="AX99" s="436"/>
      <c r="AY99" s="436"/>
      <c r="AZ99" s="436"/>
      <c r="BA99" s="436"/>
      <c r="BB99" s="436"/>
      <c r="BC99" s="436"/>
      <c r="BD99" s="440"/>
      <c r="BE99" s="439"/>
      <c r="BF99" s="436"/>
      <c r="BG99" s="436"/>
      <c r="BH99" s="436"/>
      <c r="BI99" s="436"/>
      <c r="BJ99" s="436"/>
      <c r="BK99" s="436"/>
      <c r="BL99" s="436"/>
      <c r="BM99" s="436"/>
      <c r="BN99" s="436"/>
      <c r="BO99" s="436"/>
      <c r="BP99" s="436"/>
      <c r="BQ99" s="436"/>
      <c r="BR99" s="436"/>
      <c r="BS99" s="436"/>
      <c r="BT99" s="436"/>
      <c r="BU99" s="436"/>
      <c r="BV99" s="436"/>
      <c r="BW99" s="436"/>
      <c r="BX99" s="436"/>
      <c r="BY99" s="436"/>
      <c r="BZ99" s="436"/>
      <c r="CA99" s="436"/>
      <c r="CB99" s="436"/>
      <c r="CC99" s="440"/>
      <c r="CD99" s="439"/>
      <c r="CE99" s="436"/>
      <c r="CF99" s="436"/>
      <c r="CG99" s="436"/>
      <c r="CH99" s="436"/>
      <c r="CI99" s="436"/>
      <c r="CJ99" s="436"/>
      <c r="CK99" s="436"/>
      <c r="CL99" s="436"/>
      <c r="CM99" s="436"/>
      <c r="CN99" s="436"/>
      <c r="CO99" s="436"/>
      <c r="CP99" s="436"/>
      <c r="CQ99" s="436"/>
      <c r="CR99" s="436"/>
      <c r="CS99" s="436"/>
      <c r="CT99" s="436"/>
      <c r="CU99" s="436"/>
      <c r="CV99" s="436"/>
      <c r="CW99" s="436"/>
      <c r="CX99" s="436"/>
      <c r="CY99" s="436"/>
      <c r="CZ99" s="436"/>
      <c r="DA99" s="436"/>
      <c r="DB99" s="440"/>
      <c r="DC99" s="439"/>
      <c r="DD99" s="436"/>
      <c r="DE99" s="436"/>
      <c r="DF99" s="436"/>
      <c r="DG99" s="436"/>
      <c r="DH99" s="436"/>
      <c r="DI99" s="436"/>
      <c r="DJ99" s="436"/>
      <c r="DK99" s="436"/>
      <c r="DL99" s="436"/>
      <c r="DM99" s="436"/>
      <c r="DN99" s="436"/>
      <c r="DO99" s="436"/>
      <c r="DP99" s="436"/>
      <c r="DQ99" s="436"/>
      <c r="DR99" s="436"/>
      <c r="DS99" s="436"/>
      <c r="DT99" s="436"/>
      <c r="DU99" s="436"/>
      <c r="DV99" s="436"/>
      <c r="DW99" s="436"/>
      <c r="DX99" s="436"/>
      <c r="DY99" s="436"/>
      <c r="DZ99" s="436"/>
      <c r="EA99" s="440"/>
      <c r="EB99" s="439"/>
      <c r="EC99" s="436"/>
      <c r="ED99" s="436"/>
      <c r="EE99" s="436"/>
      <c r="EF99" s="436"/>
      <c r="EG99" s="436"/>
      <c r="EH99" s="436"/>
      <c r="EI99" s="436"/>
      <c r="EJ99" s="436"/>
      <c r="EK99" s="436"/>
      <c r="EL99" s="436"/>
      <c r="EM99" s="436"/>
      <c r="EN99" s="436"/>
      <c r="EO99" s="436"/>
      <c r="EP99" s="436"/>
      <c r="EQ99" s="436"/>
      <c r="ER99" s="436"/>
      <c r="ES99" s="436"/>
      <c r="ET99" s="436"/>
      <c r="EU99" s="436"/>
      <c r="EV99" s="436"/>
      <c r="EW99" s="436"/>
      <c r="EX99" s="436"/>
      <c r="EY99" s="436"/>
      <c r="EZ99" s="440"/>
      <c r="FA99" s="439"/>
      <c r="FB99" s="436"/>
      <c r="FC99" s="436"/>
      <c r="FD99" s="436"/>
      <c r="FE99" s="436"/>
      <c r="FF99" s="436"/>
      <c r="FG99" s="436"/>
      <c r="FH99" s="436"/>
      <c r="FI99" s="436"/>
      <c r="FJ99" s="436"/>
      <c r="FK99" s="436"/>
      <c r="FL99" s="436"/>
      <c r="FM99" s="436"/>
      <c r="FN99" s="436"/>
      <c r="FO99" s="436"/>
      <c r="FP99" s="436"/>
      <c r="FQ99" s="436"/>
      <c r="FR99" s="436"/>
      <c r="FS99" s="436"/>
      <c r="FT99" s="436"/>
      <c r="FU99" s="436"/>
      <c r="FV99" s="436"/>
      <c r="FW99" s="436"/>
      <c r="FX99" s="436"/>
      <c r="FY99" s="440"/>
      <c r="FZ99" s="439"/>
      <c r="GA99" s="436"/>
      <c r="GB99" s="436"/>
      <c r="GC99" s="436"/>
      <c r="GD99" s="436"/>
      <c r="GE99" s="436"/>
      <c r="GF99" s="436"/>
      <c r="GG99" s="436"/>
      <c r="GH99" s="436"/>
      <c r="GI99" s="436"/>
      <c r="GJ99" s="436"/>
      <c r="GK99" s="436"/>
      <c r="GL99" s="436"/>
      <c r="GM99" s="436"/>
      <c r="GN99" s="436"/>
      <c r="GO99" s="436"/>
      <c r="GP99" s="436"/>
      <c r="GQ99" s="436"/>
      <c r="GR99" s="436"/>
      <c r="GS99" s="436"/>
      <c r="GT99" s="436"/>
      <c r="GU99" s="436"/>
      <c r="GV99" s="436"/>
      <c r="GW99" s="436"/>
      <c r="GX99" s="440"/>
      <c r="GY99" s="439"/>
      <c r="GZ99" s="436"/>
      <c r="HA99" s="436"/>
      <c r="HB99" s="436"/>
      <c r="HC99" s="436"/>
      <c r="HD99" s="436"/>
      <c r="HE99" s="436"/>
      <c r="HF99" s="436"/>
      <c r="HG99" s="436"/>
      <c r="HH99" s="436"/>
      <c r="HI99" s="436"/>
      <c r="HJ99" s="436"/>
      <c r="HK99" s="436"/>
      <c r="HL99" s="436"/>
      <c r="HM99" s="436"/>
      <c r="HN99" s="436"/>
      <c r="HO99" s="436"/>
      <c r="HP99" s="436"/>
      <c r="HQ99" s="436"/>
      <c r="HR99" s="436"/>
      <c r="HS99" s="436"/>
      <c r="HT99" s="436"/>
      <c r="HU99" s="436"/>
      <c r="HV99" s="436"/>
      <c r="HW99" s="440"/>
    </row>
    <row r="100" spans="1:231" ht="24" customHeight="1">
      <c r="A100" s="439"/>
      <c r="B100" s="436"/>
      <c r="C100" s="43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40"/>
      <c r="AA100" s="436"/>
      <c r="AB100" s="436"/>
      <c r="AC100" s="436"/>
      <c r="AD100" s="436"/>
      <c r="AE100" s="436"/>
      <c r="AF100" s="439"/>
      <c r="AG100" s="436"/>
      <c r="AH100" s="436"/>
      <c r="AI100" s="436"/>
      <c r="AJ100" s="436"/>
      <c r="AK100" s="436"/>
      <c r="AL100" s="436"/>
      <c r="AM100" s="436"/>
      <c r="AN100" s="436"/>
      <c r="AO100" s="436"/>
      <c r="AP100" s="436"/>
      <c r="AQ100" s="436"/>
      <c r="AR100" s="436"/>
      <c r="AS100" s="436"/>
      <c r="AT100" s="436"/>
      <c r="AU100" s="436"/>
      <c r="AV100" s="436"/>
      <c r="AW100" s="436"/>
      <c r="AX100" s="436"/>
      <c r="AY100" s="436"/>
      <c r="AZ100" s="436"/>
      <c r="BA100" s="436"/>
      <c r="BB100" s="436"/>
      <c r="BC100" s="436"/>
      <c r="BD100" s="440"/>
      <c r="BE100" s="439"/>
      <c r="BF100" s="436"/>
      <c r="BG100" s="436"/>
      <c r="BH100" s="436"/>
      <c r="BI100" s="436"/>
      <c r="BJ100" s="436"/>
      <c r="BK100" s="436"/>
      <c r="BL100" s="436"/>
      <c r="BM100" s="436"/>
      <c r="BN100" s="436"/>
      <c r="BO100" s="436"/>
      <c r="BP100" s="436"/>
      <c r="BQ100" s="436"/>
      <c r="BR100" s="436"/>
      <c r="BS100" s="436"/>
      <c r="BT100" s="436"/>
      <c r="BU100" s="436"/>
      <c r="BV100" s="436"/>
      <c r="BW100" s="436"/>
      <c r="BX100" s="436"/>
      <c r="BY100" s="436"/>
      <c r="BZ100" s="436"/>
      <c r="CA100" s="436"/>
      <c r="CB100" s="436"/>
      <c r="CC100" s="440"/>
      <c r="CD100" s="439"/>
      <c r="CE100" s="436"/>
      <c r="CF100" s="436"/>
      <c r="CG100" s="436"/>
      <c r="CH100" s="436"/>
      <c r="CI100" s="436"/>
      <c r="CJ100" s="436"/>
      <c r="CK100" s="436"/>
      <c r="CL100" s="436"/>
      <c r="CM100" s="436"/>
      <c r="CN100" s="436"/>
      <c r="CO100" s="436"/>
      <c r="CP100" s="436"/>
      <c r="CQ100" s="436"/>
      <c r="CR100" s="436"/>
      <c r="CS100" s="436"/>
      <c r="CT100" s="436"/>
      <c r="CU100" s="436"/>
      <c r="CV100" s="436"/>
      <c r="CW100" s="436"/>
      <c r="CX100" s="436"/>
      <c r="CY100" s="436"/>
      <c r="CZ100" s="436"/>
      <c r="DA100" s="436"/>
      <c r="DB100" s="440"/>
      <c r="DC100" s="439"/>
      <c r="DD100" s="436"/>
      <c r="DE100" s="436"/>
      <c r="DF100" s="436"/>
      <c r="DG100" s="436"/>
      <c r="DH100" s="436"/>
      <c r="DI100" s="436"/>
      <c r="DJ100" s="436"/>
      <c r="DK100" s="436"/>
      <c r="DL100" s="436"/>
      <c r="DM100" s="436"/>
      <c r="DN100" s="436"/>
      <c r="DO100" s="436"/>
      <c r="DP100" s="436"/>
      <c r="DQ100" s="436"/>
      <c r="DR100" s="436"/>
      <c r="DS100" s="436"/>
      <c r="DT100" s="436"/>
      <c r="DU100" s="436"/>
      <c r="DV100" s="436"/>
      <c r="DW100" s="436"/>
      <c r="DX100" s="436"/>
      <c r="DY100" s="436"/>
      <c r="DZ100" s="436"/>
      <c r="EA100" s="440"/>
      <c r="EB100" s="439"/>
      <c r="EC100" s="436"/>
      <c r="ED100" s="436"/>
      <c r="EE100" s="436"/>
      <c r="EF100" s="436"/>
      <c r="EG100" s="436"/>
      <c r="EH100" s="436"/>
      <c r="EI100" s="436"/>
      <c r="EJ100" s="436"/>
      <c r="EK100" s="436"/>
      <c r="EL100" s="436"/>
      <c r="EM100" s="436"/>
      <c r="EN100" s="436"/>
      <c r="EO100" s="436"/>
      <c r="EP100" s="436"/>
      <c r="EQ100" s="436"/>
      <c r="ER100" s="436"/>
      <c r="ES100" s="436"/>
      <c r="ET100" s="436"/>
      <c r="EU100" s="436"/>
      <c r="EV100" s="436"/>
      <c r="EW100" s="436"/>
      <c r="EX100" s="436"/>
      <c r="EY100" s="436"/>
      <c r="EZ100" s="440"/>
      <c r="FA100" s="439"/>
      <c r="FB100" s="436"/>
      <c r="FC100" s="436"/>
      <c r="FD100" s="436"/>
      <c r="FE100" s="436"/>
      <c r="FF100" s="436"/>
      <c r="FG100" s="436"/>
      <c r="FH100" s="436"/>
      <c r="FI100" s="436"/>
      <c r="FJ100" s="436"/>
      <c r="FK100" s="436"/>
      <c r="FL100" s="436"/>
      <c r="FM100" s="436"/>
      <c r="FN100" s="436"/>
      <c r="FO100" s="436"/>
      <c r="FP100" s="436"/>
      <c r="FQ100" s="436"/>
      <c r="FR100" s="436"/>
      <c r="FS100" s="436"/>
      <c r="FT100" s="436"/>
      <c r="FU100" s="436"/>
      <c r="FV100" s="436"/>
      <c r="FW100" s="436"/>
      <c r="FX100" s="436"/>
      <c r="FY100" s="440"/>
      <c r="FZ100" s="439"/>
      <c r="GA100" s="436"/>
      <c r="GB100" s="436"/>
      <c r="GC100" s="436"/>
      <c r="GD100" s="436"/>
      <c r="GE100" s="436"/>
      <c r="GF100" s="436"/>
      <c r="GG100" s="436"/>
      <c r="GH100" s="436"/>
      <c r="GI100" s="436"/>
      <c r="GJ100" s="436"/>
      <c r="GK100" s="436"/>
      <c r="GL100" s="436"/>
      <c r="GM100" s="436"/>
      <c r="GN100" s="436"/>
      <c r="GO100" s="436"/>
      <c r="GP100" s="436"/>
      <c r="GQ100" s="436"/>
      <c r="GR100" s="436"/>
      <c r="GS100" s="436"/>
      <c r="GT100" s="436"/>
      <c r="GU100" s="436"/>
      <c r="GV100" s="436"/>
      <c r="GW100" s="436"/>
      <c r="GX100" s="440"/>
      <c r="GY100" s="439"/>
      <c r="GZ100" s="436"/>
      <c r="HA100" s="436"/>
      <c r="HB100" s="436"/>
      <c r="HC100" s="436"/>
      <c r="HD100" s="436"/>
      <c r="HE100" s="436"/>
      <c r="HF100" s="436"/>
      <c r="HG100" s="436"/>
      <c r="HH100" s="436"/>
      <c r="HI100" s="436"/>
      <c r="HJ100" s="436"/>
      <c r="HK100" s="436"/>
      <c r="HL100" s="436"/>
      <c r="HM100" s="436"/>
      <c r="HN100" s="436"/>
      <c r="HO100" s="436"/>
      <c r="HP100" s="436"/>
      <c r="HQ100" s="436"/>
      <c r="HR100" s="436"/>
      <c r="HS100" s="436"/>
      <c r="HT100" s="436"/>
      <c r="HU100" s="436"/>
      <c r="HV100" s="436"/>
      <c r="HW100" s="440"/>
    </row>
    <row r="101" spans="1:231" ht="24" customHeight="1">
      <c r="A101" s="439"/>
      <c r="B101" s="436"/>
      <c r="C101" s="43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40"/>
      <c r="AA101" s="436"/>
      <c r="AB101" s="436"/>
      <c r="AC101" s="436"/>
      <c r="AD101" s="436"/>
      <c r="AE101" s="436"/>
      <c r="AF101" s="439"/>
      <c r="AG101" s="436"/>
      <c r="AH101" s="436"/>
      <c r="AI101" s="436"/>
      <c r="AJ101" s="436"/>
      <c r="AK101" s="436"/>
      <c r="AL101" s="436"/>
      <c r="AM101" s="436"/>
      <c r="AN101" s="436"/>
      <c r="AO101" s="436"/>
      <c r="AP101" s="436"/>
      <c r="AQ101" s="436"/>
      <c r="AR101" s="436"/>
      <c r="AS101" s="436"/>
      <c r="AT101" s="436"/>
      <c r="AU101" s="436"/>
      <c r="AV101" s="436"/>
      <c r="AW101" s="436"/>
      <c r="AX101" s="436"/>
      <c r="AY101" s="436"/>
      <c r="AZ101" s="436"/>
      <c r="BA101" s="436"/>
      <c r="BB101" s="436"/>
      <c r="BC101" s="436"/>
      <c r="BD101" s="440"/>
      <c r="BE101" s="439"/>
      <c r="BF101" s="436"/>
      <c r="BG101" s="436"/>
      <c r="BH101" s="436"/>
      <c r="BI101" s="436"/>
      <c r="BJ101" s="436"/>
      <c r="BK101" s="436"/>
      <c r="BL101" s="436"/>
      <c r="BM101" s="436"/>
      <c r="BN101" s="436"/>
      <c r="BO101" s="436"/>
      <c r="BP101" s="436"/>
      <c r="BQ101" s="436"/>
      <c r="BR101" s="436"/>
      <c r="BS101" s="436"/>
      <c r="BT101" s="436"/>
      <c r="BU101" s="436"/>
      <c r="BV101" s="436"/>
      <c r="BW101" s="436"/>
      <c r="BX101" s="436"/>
      <c r="BY101" s="436"/>
      <c r="BZ101" s="436"/>
      <c r="CA101" s="436"/>
      <c r="CB101" s="436"/>
      <c r="CC101" s="440"/>
      <c r="CD101" s="439"/>
      <c r="CE101" s="436"/>
      <c r="CF101" s="436"/>
      <c r="CG101" s="436"/>
      <c r="CH101" s="436"/>
      <c r="CI101" s="436"/>
      <c r="CJ101" s="436"/>
      <c r="CK101" s="436"/>
      <c r="CL101" s="436"/>
      <c r="CM101" s="436"/>
      <c r="CN101" s="436"/>
      <c r="CO101" s="436"/>
      <c r="CP101" s="436"/>
      <c r="CQ101" s="436"/>
      <c r="CR101" s="436"/>
      <c r="CS101" s="436"/>
      <c r="CT101" s="436"/>
      <c r="CU101" s="436"/>
      <c r="CV101" s="436"/>
      <c r="CW101" s="436"/>
      <c r="CX101" s="436"/>
      <c r="CY101" s="436"/>
      <c r="CZ101" s="436"/>
      <c r="DA101" s="436"/>
      <c r="DB101" s="440"/>
      <c r="DC101" s="439"/>
      <c r="DD101" s="436"/>
      <c r="DE101" s="436"/>
      <c r="DF101" s="436"/>
      <c r="DG101" s="436"/>
      <c r="DH101" s="436"/>
      <c r="DI101" s="436"/>
      <c r="DJ101" s="436"/>
      <c r="DK101" s="436"/>
      <c r="DL101" s="436"/>
      <c r="DM101" s="436"/>
      <c r="DN101" s="436"/>
      <c r="DO101" s="436"/>
      <c r="DP101" s="436"/>
      <c r="DQ101" s="436"/>
      <c r="DR101" s="436"/>
      <c r="DS101" s="436"/>
      <c r="DT101" s="436"/>
      <c r="DU101" s="436"/>
      <c r="DV101" s="436"/>
      <c r="DW101" s="436"/>
      <c r="DX101" s="436"/>
      <c r="DY101" s="436"/>
      <c r="DZ101" s="436"/>
      <c r="EA101" s="440"/>
      <c r="EB101" s="439"/>
      <c r="EC101" s="436"/>
      <c r="ED101" s="436"/>
      <c r="EE101" s="436"/>
      <c r="EF101" s="436"/>
      <c r="EG101" s="436"/>
      <c r="EH101" s="436"/>
      <c r="EI101" s="436"/>
      <c r="EJ101" s="436"/>
      <c r="EK101" s="436"/>
      <c r="EL101" s="436"/>
      <c r="EM101" s="436"/>
      <c r="EN101" s="436"/>
      <c r="EO101" s="436"/>
      <c r="EP101" s="436"/>
      <c r="EQ101" s="436"/>
      <c r="ER101" s="436"/>
      <c r="ES101" s="436"/>
      <c r="ET101" s="436"/>
      <c r="EU101" s="436"/>
      <c r="EV101" s="436"/>
      <c r="EW101" s="436"/>
      <c r="EX101" s="436"/>
      <c r="EY101" s="436"/>
      <c r="EZ101" s="440"/>
      <c r="FA101" s="439"/>
      <c r="FB101" s="436"/>
      <c r="FC101" s="436"/>
      <c r="FD101" s="436"/>
      <c r="FE101" s="436"/>
      <c r="FF101" s="436"/>
      <c r="FG101" s="436"/>
      <c r="FH101" s="436"/>
      <c r="FI101" s="436"/>
      <c r="FJ101" s="436"/>
      <c r="FK101" s="436"/>
      <c r="FL101" s="436"/>
      <c r="FM101" s="436"/>
      <c r="FN101" s="436"/>
      <c r="FO101" s="436"/>
      <c r="FP101" s="436"/>
      <c r="FQ101" s="436"/>
      <c r="FR101" s="436"/>
      <c r="FS101" s="436"/>
      <c r="FT101" s="436"/>
      <c r="FU101" s="436"/>
      <c r="FV101" s="436"/>
      <c r="FW101" s="436"/>
      <c r="FX101" s="436"/>
      <c r="FY101" s="440"/>
      <c r="FZ101" s="439"/>
      <c r="GA101" s="436"/>
      <c r="GB101" s="436"/>
      <c r="GC101" s="436"/>
      <c r="GD101" s="436"/>
      <c r="GE101" s="436"/>
      <c r="GF101" s="436"/>
      <c r="GG101" s="436"/>
      <c r="GH101" s="436"/>
      <c r="GI101" s="436"/>
      <c r="GJ101" s="436"/>
      <c r="GK101" s="436"/>
      <c r="GL101" s="436"/>
      <c r="GM101" s="436"/>
      <c r="GN101" s="436"/>
      <c r="GO101" s="436"/>
      <c r="GP101" s="436"/>
      <c r="GQ101" s="436"/>
      <c r="GR101" s="436"/>
      <c r="GS101" s="436"/>
      <c r="GT101" s="436"/>
      <c r="GU101" s="436"/>
      <c r="GV101" s="436"/>
      <c r="GW101" s="436"/>
      <c r="GX101" s="440"/>
      <c r="GY101" s="439"/>
      <c r="GZ101" s="436"/>
      <c r="HA101" s="436"/>
      <c r="HB101" s="436"/>
      <c r="HC101" s="436"/>
      <c r="HD101" s="436"/>
      <c r="HE101" s="436"/>
      <c r="HF101" s="436"/>
      <c r="HG101" s="436"/>
      <c r="HH101" s="436"/>
      <c r="HI101" s="436"/>
      <c r="HJ101" s="436"/>
      <c r="HK101" s="436"/>
      <c r="HL101" s="436"/>
      <c r="HM101" s="436"/>
      <c r="HN101" s="436"/>
      <c r="HO101" s="436"/>
      <c r="HP101" s="436"/>
      <c r="HQ101" s="436"/>
      <c r="HR101" s="436"/>
      <c r="HS101" s="436"/>
      <c r="HT101" s="436"/>
      <c r="HU101" s="436"/>
      <c r="HV101" s="436"/>
      <c r="HW101" s="440"/>
    </row>
    <row r="102" spans="1:231" ht="24" customHeight="1">
      <c r="A102" s="439"/>
      <c r="B102" s="436"/>
      <c r="C102" s="43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40"/>
      <c r="AA102" s="436"/>
      <c r="AB102" s="436"/>
      <c r="AC102" s="436"/>
      <c r="AD102" s="436"/>
      <c r="AE102" s="436"/>
      <c r="AF102" s="439"/>
      <c r="AG102" s="436"/>
      <c r="AH102" s="436"/>
      <c r="AI102" s="436"/>
      <c r="AJ102" s="436"/>
      <c r="AK102" s="436"/>
      <c r="AL102" s="436"/>
      <c r="AM102" s="436"/>
      <c r="AN102" s="436"/>
      <c r="AO102" s="436"/>
      <c r="AP102" s="436"/>
      <c r="AQ102" s="436"/>
      <c r="AR102" s="436"/>
      <c r="AS102" s="436"/>
      <c r="AT102" s="436"/>
      <c r="AU102" s="436"/>
      <c r="AV102" s="436"/>
      <c r="AW102" s="436"/>
      <c r="AX102" s="436"/>
      <c r="AY102" s="436"/>
      <c r="AZ102" s="436"/>
      <c r="BA102" s="436"/>
      <c r="BB102" s="436"/>
      <c r="BC102" s="436"/>
      <c r="BD102" s="440"/>
      <c r="BE102" s="439"/>
      <c r="BF102" s="436"/>
      <c r="BG102" s="436"/>
      <c r="BH102" s="436"/>
      <c r="BI102" s="436"/>
      <c r="BJ102" s="436"/>
      <c r="BK102" s="436"/>
      <c r="BL102" s="436"/>
      <c r="BM102" s="436"/>
      <c r="BN102" s="436"/>
      <c r="BO102" s="436"/>
      <c r="BP102" s="436"/>
      <c r="BQ102" s="436"/>
      <c r="BR102" s="436"/>
      <c r="BS102" s="436"/>
      <c r="BT102" s="436"/>
      <c r="BU102" s="436"/>
      <c r="BV102" s="436"/>
      <c r="BW102" s="436"/>
      <c r="BX102" s="436"/>
      <c r="BY102" s="436"/>
      <c r="BZ102" s="436"/>
      <c r="CA102" s="436"/>
      <c r="CB102" s="436"/>
      <c r="CC102" s="440"/>
      <c r="CD102" s="439"/>
      <c r="CE102" s="436"/>
      <c r="CF102" s="436"/>
      <c r="CG102" s="436"/>
      <c r="CH102" s="436"/>
      <c r="CI102" s="436"/>
      <c r="CJ102" s="436"/>
      <c r="CK102" s="436"/>
      <c r="CL102" s="436"/>
      <c r="CM102" s="436"/>
      <c r="CN102" s="436"/>
      <c r="CO102" s="436"/>
      <c r="CP102" s="436"/>
      <c r="CQ102" s="436"/>
      <c r="CR102" s="436"/>
      <c r="CS102" s="436"/>
      <c r="CT102" s="436"/>
      <c r="CU102" s="436"/>
      <c r="CV102" s="436"/>
      <c r="CW102" s="436"/>
      <c r="CX102" s="436"/>
      <c r="CY102" s="436"/>
      <c r="CZ102" s="436"/>
      <c r="DA102" s="436"/>
      <c r="DB102" s="440"/>
      <c r="DC102" s="439"/>
      <c r="DD102" s="436"/>
      <c r="DE102" s="436"/>
      <c r="DF102" s="436"/>
      <c r="DG102" s="436"/>
      <c r="DH102" s="436"/>
      <c r="DI102" s="436"/>
      <c r="DJ102" s="436"/>
      <c r="DK102" s="436"/>
      <c r="DL102" s="436"/>
      <c r="DM102" s="436"/>
      <c r="DN102" s="436"/>
      <c r="DO102" s="436"/>
      <c r="DP102" s="436"/>
      <c r="DQ102" s="436"/>
      <c r="DR102" s="436"/>
      <c r="DS102" s="436"/>
      <c r="DT102" s="436"/>
      <c r="DU102" s="436"/>
      <c r="DV102" s="436"/>
      <c r="DW102" s="436"/>
      <c r="DX102" s="436"/>
      <c r="DY102" s="436"/>
      <c r="DZ102" s="436"/>
      <c r="EA102" s="440"/>
      <c r="EB102" s="439"/>
      <c r="EC102" s="436"/>
      <c r="ED102" s="436"/>
      <c r="EE102" s="436"/>
      <c r="EF102" s="436"/>
      <c r="EG102" s="436"/>
      <c r="EH102" s="436"/>
      <c r="EI102" s="436"/>
      <c r="EJ102" s="436"/>
      <c r="EK102" s="436"/>
      <c r="EL102" s="436"/>
      <c r="EM102" s="436"/>
      <c r="EN102" s="436"/>
      <c r="EO102" s="436"/>
      <c r="EP102" s="436"/>
      <c r="EQ102" s="436"/>
      <c r="ER102" s="436"/>
      <c r="ES102" s="436"/>
      <c r="ET102" s="436"/>
      <c r="EU102" s="436"/>
      <c r="EV102" s="436"/>
      <c r="EW102" s="436"/>
      <c r="EX102" s="436"/>
      <c r="EY102" s="436"/>
      <c r="EZ102" s="440"/>
      <c r="FA102" s="439"/>
      <c r="FB102" s="436"/>
      <c r="FC102" s="436"/>
      <c r="FD102" s="436"/>
      <c r="FE102" s="436"/>
      <c r="FF102" s="436"/>
      <c r="FG102" s="436"/>
      <c r="FH102" s="436"/>
      <c r="FI102" s="436"/>
      <c r="FJ102" s="436"/>
      <c r="FK102" s="436"/>
      <c r="FL102" s="436"/>
      <c r="FM102" s="436"/>
      <c r="FN102" s="436"/>
      <c r="FO102" s="436"/>
      <c r="FP102" s="436"/>
      <c r="FQ102" s="436"/>
      <c r="FR102" s="436"/>
      <c r="FS102" s="436"/>
      <c r="FT102" s="436"/>
      <c r="FU102" s="436"/>
      <c r="FV102" s="436"/>
      <c r="FW102" s="436"/>
      <c r="FX102" s="436"/>
      <c r="FY102" s="440"/>
      <c r="FZ102" s="439"/>
      <c r="GA102" s="436"/>
      <c r="GB102" s="436"/>
      <c r="GC102" s="436"/>
      <c r="GD102" s="436"/>
      <c r="GE102" s="436"/>
      <c r="GF102" s="436"/>
      <c r="GG102" s="436"/>
      <c r="GH102" s="436"/>
      <c r="GI102" s="436"/>
      <c r="GJ102" s="436"/>
      <c r="GK102" s="436"/>
      <c r="GL102" s="436"/>
      <c r="GM102" s="436"/>
      <c r="GN102" s="436"/>
      <c r="GO102" s="436"/>
      <c r="GP102" s="436"/>
      <c r="GQ102" s="436"/>
      <c r="GR102" s="436"/>
      <c r="GS102" s="436"/>
      <c r="GT102" s="436"/>
      <c r="GU102" s="436"/>
      <c r="GV102" s="436"/>
      <c r="GW102" s="436"/>
      <c r="GX102" s="440"/>
      <c r="GY102" s="439"/>
      <c r="GZ102" s="436"/>
      <c r="HA102" s="436"/>
      <c r="HB102" s="436"/>
      <c r="HC102" s="436"/>
      <c r="HD102" s="436"/>
      <c r="HE102" s="436"/>
      <c r="HF102" s="436"/>
      <c r="HG102" s="436"/>
      <c r="HH102" s="436"/>
      <c r="HI102" s="436"/>
      <c r="HJ102" s="436"/>
      <c r="HK102" s="436"/>
      <c r="HL102" s="436"/>
      <c r="HM102" s="436"/>
      <c r="HN102" s="436"/>
      <c r="HO102" s="436"/>
      <c r="HP102" s="436"/>
      <c r="HQ102" s="436"/>
      <c r="HR102" s="436"/>
      <c r="HS102" s="436"/>
      <c r="HT102" s="436"/>
      <c r="HU102" s="436"/>
      <c r="HV102" s="436"/>
      <c r="HW102" s="440"/>
    </row>
    <row r="103" spans="1:231" ht="24" customHeight="1">
      <c r="A103" s="439"/>
      <c r="B103" s="436"/>
      <c r="C103" s="43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40"/>
      <c r="AA103" s="436"/>
      <c r="AB103" s="436"/>
      <c r="AC103" s="436"/>
      <c r="AD103" s="436"/>
      <c r="AE103" s="436"/>
      <c r="AF103" s="439"/>
      <c r="AG103" s="436"/>
      <c r="AH103" s="436"/>
      <c r="AI103" s="436"/>
      <c r="AJ103" s="436"/>
      <c r="AK103" s="436"/>
      <c r="AL103" s="436"/>
      <c r="AM103" s="436"/>
      <c r="AN103" s="436"/>
      <c r="AO103" s="436"/>
      <c r="AP103" s="436"/>
      <c r="AQ103" s="436"/>
      <c r="AR103" s="436"/>
      <c r="AS103" s="436"/>
      <c r="AT103" s="436"/>
      <c r="AU103" s="436"/>
      <c r="AV103" s="436"/>
      <c r="AW103" s="436"/>
      <c r="AX103" s="436"/>
      <c r="AY103" s="436"/>
      <c r="AZ103" s="436"/>
      <c r="BA103" s="436"/>
      <c r="BB103" s="436"/>
      <c r="BC103" s="436"/>
      <c r="BD103" s="440"/>
      <c r="BE103" s="439"/>
      <c r="BF103" s="436"/>
      <c r="BG103" s="436"/>
      <c r="BH103" s="436"/>
      <c r="BI103" s="436"/>
      <c r="BJ103" s="436"/>
      <c r="BK103" s="436"/>
      <c r="BL103" s="436"/>
      <c r="BM103" s="436"/>
      <c r="BN103" s="436"/>
      <c r="BO103" s="436"/>
      <c r="BP103" s="436"/>
      <c r="BQ103" s="436"/>
      <c r="BR103" s="436"/>
      <c r="BS103" s="436"/>
      <c r="BT103" s="436"/>
      <c r="BU103" s="436"/>
      <c r="BV103" s="436"/>
      <c r="BW103" s="436"/>
      <c r="BX103" s="436"/>
      <c r="BY103" s="436"/>
      <c r="BZ103" s="436"/>
      <c r="CA103" s="436"/>
      <c r="CB103" s="436"/>
      <c r="CC103" s="440"/>
      <c r="CD103" s="439"/>
      <c r="CE103" s="436"/>
      <c r="CF103" s="436"/>
      <c r="CG103" s="436"/>
      <c r="CH103" s="436"/>
      <c r="CI103" s="436"/>
      <c r="CJ103" s="436"/>
      <c r="CK103" s="436"/>
      <c r="CL103" s="436"/>
      <c r="CM103" s="436"/>
      <c r="CN103" s="436"/>
      <c r="CO103" s="436"/>
      <c r="CP103" s="436"/>
      <c r="CQ103" s="436"/>
      <c r="CR103" s="436"/>
      <c r="CS103" s="436"/>
      <c r="CT103" s="436"/>
      <c r="CU103" s="436"/>
      <c r="CV103" s="436"/>
      <c r="CW103" s="436"/>
      <c r="CX103" s="436"/>
      <c r="CY103" s="436"/>
      <c r="CZ103" s="436"/>
      <c r="DA103" s="436"/>
      <c r="DB103" s="440"/>
      <c r="DC103" s="439"/>
      <c r="DD103" s="436"/>
      <c r="DE103" s="436"/>
      <c r="DF103" s="436"/>
      <c r="DG103" s="436"/>
      <c r="DH103" s="436"/>
      <c r="DI103" s="436"/>
      <c r="DJ103" s="436"/>
      <c r="DK103" s="436"/>
      <c r="DL103" s="436"/>
      <c r="DM103" s="436"/>
      <c r="DN103" s="436"/>
      <c r="DO103" s="436"/>
      <c r="DP103" s="436"/>
      <c r="DQ103" s="436"/>
      <c r="DR103" s="436"/>
      <c r="DS103" s="436"/>
      <c r="DT103" s="436"/>
      <c r="DU103" s="436"/>
      <c r="DV103" s="436"/>
      <c r="DW103" s="436"/>
      <c r="DX103" s="436"/>
      <c r="DY103" s="436"/>
      <c r="DZ103" s="436"/>
      <c r="EA103" s="440"/>
      <c r="EB103" s="439"/>
      <c r="EC103" s="436"/>
      <c r="ED103" s="436"/>
      <c r="EE103" s="436"/>
      <c r="EF103" s="436"/>
      <c r="EG103" s="436"/>
      <c r="EH103" s="436"/>
      <c r="EI103" s="436"/>
      <c r="EJ103" s="436"/>
      <c r="EK103" s="436"/>
      <c r="EL103" s="436"/>
      <c r="EM103" s="436"/>
      <c r="EN103" s="436"/>
      <c r="EO103" s="436"/>
      <c r="EP103" s="436"/>
      <c r="EQ103" s="436"/>
      <c r="ER103" s="436"/>
      <c r="ES103" s="436"/>
      <c r="ET103" s="436"/>
      <c r="EU103" s="436"/>
      <c r="EV103" s="436"/>
      <c r="EW103" s="436"/>
      <c r="EX103" s="436"/>
      <c r="EY103" s="436"/>
      <c r="EZ103" s="440"/>
      <c r="FA103" s="439"/>
      <c r="FB103" s="436"/>
      <c r="FC103" s="436"/>
      <c r="FD103" s="436"/>
      <c r="FE103" s="436"/>
      <c r="FF103" s="436"/>
      <c r="FG103" s="436"/>
      <c r="FH103" s="436"/>
      <c r="FI103" s="436"/>
      <c r="FJ103" s="436"/>
      <c r="FK103" s="436"/>
      <c r="FL103" s="436"/>
      <c r="FM103" s="436"/>
      <c r="FN103" s="436"/>
      <c r="FO103" s="436"/>
      <c r="FP103" s="436"/>
      <c r="FQ103" s="436"/>
      <c r="FR103" s="436"/>
      <c r="FS103" s="436"/>
      <c r="FT103" s="436"/>
      <c r="FU103" s="436"/>
      <c r="FV103" s="436"/>
      <c r="FW103" s="436"/>
      <c r="FX103" s="436"/>
      <c r="FY103" s="440"/>
      <c r="FZ103" s="439"/>
      <c r="GA103" s="436"/>
      <c r="GB103" s="436"/>
      <c r="GC103" s="436"/>
      <c r="GD103" s="436"/>
      <c r="GE103" s="436"/>
      <c r="GF103" s="436"/>
      <c r="GG103" s="436"/>
      <c r="GH103" s="436"/>
      <c r="GI103" s="436"/>
      <c r="GJ103" s="436"/>
      <c r="GK103" s="436"/>
      <c r="GL103" s="436"/>
      <c r="GM103" s="436"/>
      <c r="GN103" s="436"/>
      <c r="GO103" s="436"/>
      <c r="GP103" s="436"/>
      <c r="GQ103" s="436"/>
      <c r="GR103" s="436"/>
      <c r="GS103" s="436"/>
      <c r="GT103" s="436"/>
      <c r="GU103" s="436"/>
      <c r="GV103" s="436"/>
      <c r="GW103" s="436"/>
      <c r="GX103" s="440"/>
      <c r="GY103" s="439"/>
      <c r="GZ103" s="436"/>
      <c r="HA103" s="436"/>
      <c r="HB103" s="436"/>
      <c r="HC103" s="436"/>
      <c r="HD103" s="436"/>
      <c r="HE103" s="436"/>
      <c r="HF103" s="436"/>
      <c r="HG103" s="436"/>
      <c r="HH103" s="436"/>
      <c r="HI103" s="436"/>
      <c r="HJ103" s="436"/>
      <c r="HK103" s="436"/>
      <c r="HL103" s="436"/>
      <c r="HM103" s="436"/>
      <c r="HN103" s="436"/>
      <c r="HO103" s="436"/>
      <c r="HP103" s="436"/>
      <c r="HQ103" s="436"/>
      <c r="HR103" s="436"/>
      <c r="HS103" s="436"/>
      <c r="HT103" s="436"/>
      <c r="HU103" s="436"/>
      <c r="HV103" s="436"/>
      <c r="HW103" s="440"/>
    </row>
    <row r="104" spans="1:231" ht="24" customHeight="1">
      <c r="A104" s="439"/>
      <c r="B104" s="436"/>
      <c r="C104" s="43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40"/>
      <c r="AA104" s="436"/>
      <c r="AB104" s="436"/>
      <c r="AC104" s="436"/>
      <c r="AD104" s="436"/>
      <c r="AE104" s="436"/>
      <c r="AF104" s="439"/>
      <c r="AG104" s="436"/>
      <c r="AH104" s="436"/>
      <c r="AI104" s="436"/>
      <c r="AJ104" s="436"/>
      <c r="AK104" s="436"/>
      <c r="AL104" s="436"/>
      <c r="AM104" s="436"/>
      <c r="AN104" s="436"/>
      <c r="AO104" s="436"/>
      <c r="AP104" s="436"/>
      <c r="AQ104" s="436"/>
      <c r="AR104" s="436"/>
      <c r="AS104" s="436"/>
      <c r="AT104" s="436"/>
      <c r="AU104" s="436"/>
      <c r="AV104" s="436"/>
      <c r="AW104" s="436"/>
      <c r="AX104" s="436"/>
      <c r="AY104" s="436"/>
      <c r="AZ104" s="436"/>
      <c r="BA104" s="436"/>
      <c r="BB104" s="436"/>
      <c r="BC104" s="436"/>
      <c r="BD104" s="440"/>
      <c r="BE104" s="439"/>
      <c r="BF104" s="436"/>
      <c r="BG104" s="436"/>
      <c r="BH104" s="436"/>
      <c r="BI104" s="436"/>
      <c r="BJ104" s="436"/>
      <c r="BK104" s="436"/>
      <c r="BL104" s="436"/>
      <c r="BM104" s="436"/>
      <c r="BN104" s="436"/>
      <c r="BO104" s="436"/>
      <c r="BP104" s="436"/>
      <c r="BQ104" s="436"/>
      <c r="BR104" s="436"/>
      <c r="BS104" s="436"/>
      <c r="BT104" s="436"/>
      <c r="BU104" s="436"/>
      <c r="BV104" s="436"/>
      <c r="BW104" s="436"/>
      <c r="BX104" s="436"/>
      <c r="BY104" s="436"/>
      <c r="BZ104" s="436"/>
      <c r="CA104" s="436"/>
      <c r="CB104" s="436"/>
      <c r="CC104" s="440"/>
      <c r="CD104" s="439"/>
      <c r="CE104" s="436"/>
      <c r="CF104" s="436"/>
      <c r="CG104" s="436"/>
      <c r="CH104" s="436"/>
      <c r="CI104" s="436"/>
      <c r="CJ104" s="436"/>
      <c r="CK104" s="436"/>
      <c r="CL104" s="436"/>
      <c r="CM104" s="436"/>
      <c r="CN104" s="436"/>
      <c r="CO104" s="436"/>
      <c r="CP104" s="436"/>
      <c r="CQ104" s="436"/>
      <c r="CR104" s="436"/>
      <c r="CS104" s="436"/>
      <c r="CT104" s="436"/>
      <c r="CU104" s="436"/>
      <c r="CV104" s="436"/>
      <c r="CW104" s="436"/>
      <c r="CX104" s="436"/>
      <c r="CY104" s="436"/>
      <c r="CZ104" s="436"/>
      <c r="DA104" s="436"/>
      <c r="DB104" s="440"/>
      <c r="DC104" s="439"/>
      <c r="DD104" s="436"/>
      <c r="DE104" s="436"/>
      <c r="DF104" s="436"/>
      <c r="DG104" s="436"/>
      <c r="DH104" s="436"/>
      <c r="DI104" s="436"/>
      <c r="DJ104" s="436"/>
      <c r="DK104" s="436"/>
      <c r="DL104" s="436"/>
      <c r="DM104" s="436"/>
      <c r="DN104" s="436"/>
      <c r="DO104" s="436"/>
      <c r="DP104" s="436"/>
      <c r="DQ104" s="436"/>
      <c r="DR104" s="436"/>
      <c r="DS104" s="436"/>
      <c r="DT104" s="436"/>
      <c r="DU104" s="436"/>
      <c r="DV104" s="436"/>
      <c r="DW104" s="436"/>
      <c r="DX104" s="436"/>
      <c r="DY104" s="436"/>
      <c r="DZ104" s="436"/>
      <c r="EA104" s="440"/>
      <c r="EB104" s="439"/>
      <c r="EC104" s="436"/>
      <c r="ED104" s="436"/>
      <c r="EE104" s="436"/>
      <c r="EF104" s="436"/>
      <c r="EG104" s="436"/>
      <c r="EH104" s="436"/>
      <c r="EI104" s="436"/>
      <c r="EJ104" s="436"/>
      <c r="EK104" s="436"/>
      <c r="EL104" s="436"/>
      <c r="EM104" s="436"/>
      <c r="EN104" s="436"/>
      <c r="EO104" s="436"/>
      <c r="EP104" s="436"/>
      <c r="EQ104" s="436"/>
      <c r="ER104" s="436"/>
      <c r="ES104" s="436"/>
      <c r="ET104" s="436"/>
      <c r="EU104" s="436"/>
      <c r="EV104" s="436"/>
      <c r="EW104" s="436"/>
      <c r="EX104" s="436"/>
      <c r="EY104" s="436"/>
      <c r="EZ104" s="440"/>
      <c r="FA104" s="439"/>
      <c r="FB104" s="436"/>
      <c r="FC104" s="436"/>
      <c r="FD104" s="436"/>
      <c r="FE104" s="436"/>
      <c r="FF104" s="436"/>
      <c r="FG104" s="436"/>
      <c r="FH104" s="436"/>
      <c r="FI104" s="436"/>
      <c r="FJ104" s="436"/>
      <c r="FK104" s="436"/>
      <c r="FL104" s="436"/>
      <c r="FM104" s="436"/>
      <c r="FN104" s="436"/>
      <c r="FO104" s="436"/>
      <c r="FP104" s="436"/>
      <c r="FQ104" s="436"/>
      <c r="FR104" s="436"/>
      <c r="FS104" s="436"/>
      <c r="FT104" s="436"/>
      <c r="FU104" s="436"/>
      <c r="FV104" s="436"/>
      <c r="FW104" s="436"/>
      <c r="FX104" s="436"/>
      <c r="FY104" s="440"/>
      <c r="FZ104" s="439"/>
      <c r="GA104" s="436"/>
      <c r="GB104" s="436"/>
      <c r="GC104" s="436"/>
      <c r="GD104" s="436"/>
      <c r="GE104" s="436"/>
      <c r="GF104" s="436"/>
      <c r="GG104" s="436"/>
      <c r="GH104" s="436"/>
      <c r="GI104" s="436"/>
      <c r="GJ104" s="436"/>
      <c r="GK104" s="436"/>
      <c r="GL104" s="436"/>
      <c r="GM104" s="436"/>
      <c r="GN104" s="436"/>
      <c r="GO104" s="436"/>
      <c r="GP104" s="436"/>
      <c r="GQ104" s="436"/>
      <c r="GR104" s="436"/>
      <c r="GS104" s="436"/>
      <c r="GT104" s="436"/>
      <c r="GU104" s="436"/>
      <c r="GV104" s="436"/>
      <c r="GW104" s="436"/>
      <c r="GX104" s="440"/>
      <c r="GY104" s="439"/>
      <c r="GZ104" s="436"/>
      <c r="HA104" s="436"/>
      <c r="HB104" s="436"/>
      <c r="HC104" s="436"/>
      <c r="HD104" s="436"/>
      <c r="HE104" s="436"/>
      <c r="HF104" s="436"/>
      <c r="HG104" s="436"/>
      <c r="HH104" s="436"/>
      <c r="HI104" s="436"/>
      <c r="HJ104" s="436"/>
      <c r="HK104" s="436"/>
      <c r="HL104" s="436"/>
      <c r="HM104" s="436"/>
      <c r="HN104" s="436"/>
      <c r="HO104" s="436"/>
      <c r="HP104" s="436"/>
      <c r="HQ104" s="436"/>
      <c r="HR104" s="436"/>
      <c r="HS104" s="436"/>
      <c r="HT104" s="436"/>
      <c r="HU104" s="436"/>
      <c r="HV104" s="436"/>
      <c r="HW104" s="440"/>
    </row>
    <row r="105" spans="1:231" ht="24" customHeight="1">
      <c r="A105" s="439"/>
      <c r="B105" s="436"/>
      <c r="C105" s="43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40"/>
      <c r="AA105" s="436"/>
      <c r="AB105" s="436"/>
      <c r="AC105" s="436"/>
      <c r="AD105" s="436"/>
      <c r="AE105" s="436"/>
      <c r="AF105" s="439"/>
      <c r="AG105" s="436"/>
      <c r="AH105" s="436"/>
      <c r="AI105" s="436"/>
      <c r="AJ105" s="436"/>
      <c r="AK105" s="436"/>
      <c r="AL105" s="436"/>
      <c r="AM105" s="436"/>
      <c r="AN105" s="436"/>
      <c r="AO105" s="436"/>
      <c r="AP105" s="436"/>
      <c r="AQ105" s="436"/>
      <c r="AR105" s="436"/>
      <c r="AS105" s="436"/>
      <c r="AT105" s="436"/>
      <c r="AU105" s="436"/>
      <c r="AV105" s="436"/>
      <c r="AW105" s="436"/>
      <c r="AX105" s="436"/>
      <c r="AY105" s="436"/>
      <c r="AZ105" s="436"/>
      <c r="BA105" s="436"/>
      <c r="BB105" s="436"/>
      <c r="BC105" s="436"/>
      <c r="BD105" s="440"/>
      <c r="BE105" s="439"/>
      <c r="BF105" s="436"/>
      <c r="BG105" s="436"/>
      <c r="BH105" s="436"/>
      <c r="BI105" s="436"/>
      <c r="BJ105" s="436"/>
      <c r="BK105" s="436"/>
      <c r="BL105" s="436"/>
      <c r="BM105" s="436"/>
      <c r="BN105" s="436"/>
      <c r="BO105" s="436"/>
      <c r="BP105" s="436"/>
      <c r="BQ105" s="436"/>
      <c r="BR105" s="436"/>
      <c r="BS105" s="436"/>
      <c r="BT105" s="436"/>
      <c r="BU105" s="436"/>
      <c r="BV105" s="436"/>
      <c r="BW105" s="436"/>
      <c r="BX105" s="436"/>
      <c r="BY105" s="436"/>
      <c r="BZ105" s="436"/>
      <c r="CA105" s="436"/>
      <c r="CB105" s="436"/>
      <c r="CC105" s="440"/>
      <c r="CD105" s="439"/>
      <c r="CE105" s="436"/>
      <c r="CF105" s="436"/>
      <c r="CG105" s="436"/>
      <c r="CH105" s="436"/>
      <c r="CI105" s="436"/>
      <c r="CJ105" s="436"/>
      <c r="CK105" s="436"/>
      <c r="CL105" s="436"/>
      <c r="CM105" s="436"/>
      <c r="CN105" s="436"/>
      <c r="CO105" s="436"/>
      <c r="CP105" s="436"/>
      <c r="CQ105" s="436"/>
      <c r="CR105" s="436"/>
      <c r="CS105" s="436"/>
      <c r="CT105" s="436"/>
      <c r="CU105" s="436"/>
      <c r="CV105" s="436"/>
      <c r="CW105" s="436"/>
      <c r="CX105" s="436"/>
      <c r="CY105" s="436"/>
      <c r="CZ105" s="436"/>
      <c r="DA105" s="436"/>
      <c r="DB105" s="440"/>
      <c r="DC105" s="439"/>
      <c r="DD105" s="436"/>
      <c r="DE105" s="436"/>
      <c r="DF105" s="436"/>
      <c r="DG105" s="436"/>
      <c r="DH105" s="436"/>
      <c r="DI105" s="436"/>
      <c r="DJ105" s="436"/>
      <c r="DK105" s="436"/>
      <c r="DL105" s="436"/>
      <c r="DM105" s="436"/>
      <c r="DN105" s="436"/>
      <c r="DO105" s="436"/>
      <c r="DP105" s="436"/>
      <c r="DQ105" s="436"/>
      <c r="DR105" s="436"/>
      <c r="DS105" s="436"/>
      <c r="DT105" s="436"/>
      <c r="DU105" s="436"/>
      <c r="DV105" s="436"/>
      <c r="DW105" s="436"/>
      <c r="DX105" s="436"/>
      <c r="DY105" s="436"/>
      <c r="DZ105" s="436"/>
      <c r="EA105" s="440"/>
      <c r="EB105" s="439"/>
      <c r="EC105" s="436"/>
      <c r="ED105" s="436"/>
      <c r="EE105" s="436"/>
      <c r="EF105" s="436"/>
      <c r="EG105" s="436"/>
      <c r="EH105" s="436"/>
      <c r="EI105" s="436"/>
      <c r="EJ105" s="436"/>
      <c r="EK105" s="436"/>
      <c r="EL105" s="436"/>
      <c r="EM105" s="436"/>
      <c r="EN105" s="436"/>
      <c r="EO105" s="436"/>
      <c r="EP105" s="436"/>
      <c r="EQ105" s="436"/>
      <c r="ER105" s="436"/>
      <c r="ES105" s="436"/>
      <c r="ET105" s="436"/>
      <c r="EU105" s="436"/>
      <c r="EV105" s="436"/>
      <c r="EW105" s="436"/>
      <c r="EX105" s="436"/>
      <c r="EY105" s="436"/>
      <c r="EZ105" s="440"/>
      <c r="FA105" s="439"/>
      <c r="FB105" s="436"/>
      <c r="FC105" s="436"/>
      <c r="FD105" s="436"/>
      <c r="FE105" s="436"/>
      <c r="FF105" s="436"/>
      <c r="FG105" s="436"/>
      <c r="FH105" s="436"/>
      <c r="FI105" s="436"/>
      <c r="FJ105" s="436"/>
      <c r="FK105" s="436"/>
      <c r="FL105" s="436"/>
      <c r="FM105" s="436"/>
      <c r="FN105" s="436"/>
      <c r="FO105" s="436"/>
      <c r="FP105" s="436"/>
      <c r="FQ105" s="436"/>
      <c r="FR105" s="436"/>
      <c r="FS105" s="436"/>
      <c r="FT105" s="436"/>
      <c r="FU105" s="436"/>
      <c r="FV105" s="436"/>
      <c r="FW105" s="436"/>
      <c r="FX105" s="436"/>
      <c r="FY105" s="440"/>
      <c r="FZ105" s="439"/>
      <c r="GA105" s="436"/>
      <c r="GB105" s="436"/>
      <c r="GC105" s="436"/>
      <c r="GD105" s="436"/>
      <c r="GE105" s="436"/>
      <c r="GF105" s="436"/>
      <c r="GG105" s="436"/>
      <c r="GH105" s="436"/>
      <c r="GI105" s="436"/>
      <c r="GJ105" s="436"/>
      <c r="GK105" s="436"/>
      <c r="GL105" s="436"/>
      <c r="GM105" s="436"/>
      <c r="GN105" s="436"/>
      <c r="GO105" s="436"/>
      <c r="GP105" s="436"/>
      <c r="GQ105" s="436"/>
      <c r="GR105" s="436"/>
      <c r="GS105" s="436"/>
      <c r="GT105" s="436"/>
      <c r="GU105" s="436"/>
      <c r="GV105" s="436"/>
      <c r="GW105" s="436"/>
      <c r="GX105" s="440"/>
      <c r="GY105" s="439"/>
      <c r="GZ105" s="436"/>
      <c r="HA105" s="436"/>
      <c r="HB105" s="436"/>
      <c r="HC105" s="436"/>
      <c r="HD105" s="436"/>
      <c r="HE105" s="436"/>
      <c r="HF105" s="436"/>
      <c r="HG105" s="436"/>
      <c r="HH105" s="436"/>
      <c r="HI105" s="436"/>
      <c r="HJ105" s="436"/>
      <c r="HK105" s="436"/>
      <c r="HL105" s="436"/>
      <c r="HM105" s="436"/>
      <c r="HN105" s="436"/>
      <c r="HO105" s="436"/>
      <c r="HP105" s="436"/>
      <c r="HQ105" s="436"/>
      <c r="HR105" s="436"/>
      <c r="HS105" s="436"/>
      <c r="HT105" s="436"/>
      <c r="HU105" s="436"/>
      <c r="HV105" s="436"/>
      <c r="HW105" s="440"/>
    </row>
    <row r="106" spans="1:231" ht="24" customHeight="1">
      <c r="A106" s="439"/>
      <c r="B106" s="436"/>
      <c r="C106" s="43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40"/>
      <c r="AA106" s="436"/>
      <c r="AB106" s="436"/>
      <c r="AC106" s="436"/>
      <c r="AD106" s="436"/>
      <c r="AE106" s="436"/>
      <c r="AF106" s="439"/>
      <c r="AG106" s="436"/>
      <c r="AH106" s="436"/>
      <c r="AI106" s="436"/>
      <c r="AJ106" s="436"/>
      <c r="AK106" s="436"/>
      <c r="AL106" s="436"/>
      <c r="AM106" s="436"/>
      <c r="AN106" s="436"/>
      <c r="AO106" s="436"/>
      <c r="AP106" s="436"/>
      <c r="AQ106" s="436"/>
      <c r="AR106" s="436"/>
      <c r="AS106" s="436"/>
      <c r="AT106" s="436"/>
      <c r="AU106" s="436"/>
      <c r="AV106" s="436"/>
      <c r="AW106" s="436"/>
      <c r="AX106" s="436"/>
      <c r="AY106" s="436"/>
      <c r="AZ106" s="436"/>
      <c r="BA106" s="436"/>
      <c r="BB106" s="436"/>
      <c r="BC106" s="436"/>
      <c r="BD106" s="440"/>
      <c r="BE106" s="439"/>
      <c r="BF106" s="436"/>
      <c r="BG106" s="436"/>
      <c r="BH106" s="436"/>
      <c r="BI106" s="436"/>
      <c r="BJ106" s="436"/>
      <c r="BK106" s="436"/>
      <c r="BL106" s="436"/>
      <c r="BM106" s="436"/>
      <c r="BN106" s="436"/>
      <c r="BO106" s="436"/>
      <c r="BP106" s="436"/>
      <c r="BQ106" s="436"/>
      <c r="BR106" s="436"/>
      <c r="BS106" s="436"/>
      <c r="BT106" s="436"/>
      <c r="BU106" s="436"/>
      <c r="BV106" s="436"/>
      <c r="BW106" s="436"/>
      <c r="BX106" s="436"/>
      <c r="BY106" s="436"/>
      <c r="BZ106" s="436"/>
      <c r="CA106" s="436"/>
      <c r="CB106" s="436"/>
      <c r="CC106" s="440"/>
      <c r="CD106" s="439"/>
      <c r="CE106" s="436"/>
      <c r="CF106" s="436"/>
      <c r="CG106" s="436"/>
      <c r="CH106" s="436"/>
      <c r="CI106" s="436"/>
      <c r="CJ106" s="436"/>
      <c r="CK106" s="436"/>
      <c r="CL106" s="436"/>
      <c r="CM106" s="436"/>
      <c r="CN106" s="436"/>
      <c r="CO106" s="436"/>
      <c r="CP106" s="436"/>
      <c r="CQ106" s="436"/>
      <c r="CR106" s="436"/>
      <c r="CS106" s="436"/>
      <c r="CT106" s="436"/>
      <c r="CU106" s="436"/>
      <c r="CV106" s="436"/>
      <c r="CW106" s="436"/>
      <c r="CX106" s="436"/>
      <c r="CY106" s="436"/>
      <c r="CZ106" s="436"/>
      <c r="DA106" s="436"/>
      <c r="DB106" s="440"/>
      <c r="DC106" s="439"/>
      <c r="DD106" s="436"/>
      <c r="DE106" s="436"/>
      <c r="DF106" s="436"/>
      <c r="DG106" s="436"/>
      <c r="DH106" s="436"/>
      <c r="DI106" s="436"/>
      <c r="DJ106" s="436"/>
      <c r="DK106" s="436"/>
      <c r="DL106" s="436"/>
      <c r="DM106" s="436"/>
      <c r="DN106" s="436"/>
      <c r="DO106" s="436"/>
      <c r="DP106" s="436"/>
      <c r="DQ106" s="436"/>
      <c r="DR106" s="436"/>
      <c r="DS106" s="436"/>
      <c r="DT106" s="436"/>
      <c r="DU106" s="436"/>
      <c r="DV106" s="436"/>
      <c r="DW106" s="436"/>
      <c r="DX106" s="436"/>
      <c r="DY106" s="436"/>
      <c r="DZ106" s="436"/>
      <c r="EA106" s="440"/>
      <c r="EB106" s="439"/>
      <c r="EC106" s="436"/>
      <c r="ED106" s="436"/>
      <c r="EE106" s="436"/>
      <c r="EF106" s="436"/>
      <c r="EG106" s="436"/>
      <c r="EH106" s="436"/>
      <c r="EI106" s="436"/>
      <c r="EJ106" s="436"/>
      <c r="EK106" s="436"/>
      <c r="EL106" s="436"/>
      <c r="EM106" s="436"/>
      <c r="EN106" s="436"/>
      <c r="EO106" s="436"/>
      <c r="EP106" s="436"/>
      <c r="EQ106" s="436"/>
      <c r="ER106" s="436"/>
      <c r="ES106" s="436"/>
      <c r="ET106" s="436"/>
      <c r="EU106" s="436"/>
      <c r="EV106" s="436"/>
      <c r="EW106" s="436"/>
      <c r="EX106" s="436"/>
      <c r="EY106" s="436"/>
      <c r="EZ106" s="440"/>
      <c r="FA106" s="439"/>
      <c r="FB106" s="436"/>
      <c r="FC106" s="436"/>
      <c r="FD106" s="436"/>
      <c r="FE106" s="436"/>
      <c r="FF106" s="436"/>
      <c r="FG106" s="436"/>
      <c r="FH106" s="436"/>
      <c r="FI106" s="436"/>
      <c r="FJ106" s="436"/>
      <c r="FK106" s="436"/>
      <c r="FL106" s="436"/>
      <c r="FM106" s="436"/>
      <c r="FN106" s="436"/>
      <c r="FO106" s="436"/>
      <c r="FP106" s="436"/>
      <c r="FQ106" s="436"/>
      <c r="FR106" s="436"/>
      <c r="FS106" s="436"/>
      <c r="FT106" s="436"/>
      <c r="FU106" s="436"/>
      <c r="FV106" s="436"/>
      <c r="FW106" s="436"/>
      <c r="FX106" s="436"/>
      <c r="FY106" s="440"/>
      <c r="FZ106" s="439"/>
      <c r="GA106" s="436"/>
      <c r="GB106" s="436"/>
      <c r="GC106" s="436"/>
      <c r="GD106" s="436"/>
      <c r="GE106" s="436"/>
      <c r="GF106" s="436"/>
      <c r="GG106" s="436"/>
      <c r="GH106" s="436"/>
      <c r="GI106" s="436"/>
      <c r="GJ106" s="436"/>
      <c r="GK106" s="436"/>
      <c r="GL106" s="436"/>
      <c r="GM106" s="436"/>
      <c r="GN106" s="436"/>
      <c r="GO106" s="436"/>
      <c r="GP106" s="436"/>
      <c r="GQ106" s="436"/>
      <c r="GR106" s="436"/>
      <c r="GS106" s="436"/>
      <c r="GT106" s="436"/>
      <c r="GU106" s="436"/>
      <c r="GV106" s="436"/>
      <c r="GW106" s="436"/>
      <c r="GX106" s="440"/>
      <c r="GY106" s="439"/>
      <c r="GZ106" s="436"/>
      <c r="HA106" s="436"/>
      <c r="HB106" s="436"/>
      <c r="HC106" s="436"/>
      <c r="HD106" s="436"/>
      <c r="HE106" s="436"/>
      <c r="HF106" s="436"/>
      <c r="HG106" s="436"/>
      <c r="HH106" s="436"/>
      <c r="HI106" s="436"/>
      <c r="HJ106" s="436"/>
      <c r="HK106" s="436"/>
      <c r="HL106" s="436"/>
      <c r="HM106" s="436"/>
      <c r="HN106" s="436"/>
      <c r="HO106" s="436"/>
      <c r="HP106" s="436"/>
      <c r="HQ106" s="436"/>
      <c r="HR106" s="436"/>
      <c r="HS106" s="436"/>
      <c r="HT106" s="436"/>
      <c r="HU106" s="436"/>
      <c r="HV106" s="436"/>
      <c r="HW106" s="440"/>
    </row>
    <row r="107" spans="1:231" ht="24" customHeight="1">
      <c r="A107" s="439"/>
      <c r="B107" s="436"/>
      <c r="C107" s="43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40"/>
      <c r="AA107" s="436"/>
      <c r="AB107" s="436"/>
      <c r="AC107" s="436"/>
      <c r="AD107" s="436"/>
      <c r="AE107" s="436"/>
      <c r="AF107" s="439"/>
      <c r="AG107" s="436"/>
      <c r="AH107" s="436"/>
      <c r="AI107" s="436"/>
      <c r="AJ107" s="436"/>
      <c r="AK107" s="436"/>
      <c r="AL107" s="436"/>
      <c r="AM107" s="436"/>
      <c r="AN107" s="436"/>
      <c r="AO107" s="436"/>
      <c r="AP107" s="436"/>
      <c r="AQ107" s="436"/>
      <c r="AR107" s="436"/>
      <c r="AS107" s="436"/>
      <c r="AT107" s="436"/>
      <c r="AU107" s="436"/>
      <c r="AV107" s="436"/>
      <c r="AW107" s="436"/>
      <c r="AX107" s="436"/>
      <c r="AY107" s="436"/>
      <c r="AZ107" s="436"/>
      <c r="BA107" s="436"/>
      <c r="BB107" s="436"/>
      <c r="BC107" s="436"/>
      <c r="BD107" s="440"/>
      <c r="BE107" s="439"/>
      <c r="BF107" s="436"/>
      <c r="BG107" s="436"/>
      <c r="BH107" s="436"/>
      <c r="BI107" s="436"/>
      <c r="BJ107" s="436"/>
      <c r="BK107" s="436"/>
      <c r="BL107" s="436"/>
      <c r="BM107" s="436"/>
      <c r="BN107" s="436"/>
      <c r="BO107" s="436"/>
      <c r="BP107" s="436"/>
      <c r="BQ107" s="436"/>
      <c r="BR107" s="436"/>
      <c r="BS107" s="436"/>
      <c r="BT107" s="436"/>
      <c r="BU107" s="436"/>
      <c r="BV107" s="436"/>
      <c r="BW107" s="436"/>
      <c r="BX107" s="436"/>
      <c r="BY107" s="436"/>
      <c r="BZ107" s="436"/>
      <c r="CA107" s="436"/>
      <c r="CB107" s="436"/>
      <c r="CC107" s="440"/>
      <c r="CD107" s="439"/>
      <c r="CE107" s="436"/>
      <c r="CF107" s="436"/>
      <c r="CG107" s="436"/>
      <c r="CH107" s="436"/>
      <c r="CI107" s="436"/>
      <c r="CJ107" s="436"/>
      <c r="CK107" s="436"/>
      <c r="CL107" s="436"/>
      <c r="CM107" s="436"/>
      <c r="CN107" s="436"/>
      <c r="CO107" s="436"/>
      <c r="CP107" s="436"/>
      <c r="CQ107" s="436"/>
      <c r="CR107" s="436"/>
      <c r="CS107" s="436"/>
      <c r="CT107" s="436"/>
      <c r="CU107" s="436"/>
      <c r="CV107" s="436"/>
      <c r="CW107" s="436"/>
      <c r="CX107" s="436"/>
      <c r="CY107" s="436"/>
      <c r="CZ107" s="436"/>
      <c r="DA107" s="436"/>
      <c r="DB107" s="440"/>
      <c r="DC107" s="439"/>
      <c r="DD107" s="436"/>
      <c r="DE107" s="436"/>
      <c r="DF107" s="436"/>
      <c r="DG107" s="436"/>
      <c r="DH107" s="436"/>
      <c r="DI107" s="436"/>
      <c r="DJ107" s="436"/>
      <c r="DK107" s="436"/>
      <c r="DL107" s="436"/>
      <c r="DM107" s="436"/>
      <c r="DN107" s="436"/>
      <c r="DO107" s="436"/>
      <c r="DP107" s="436"/>
      <c r="DQ107" s="436"/>
      <c r="DR107" s="436"/>
      <c r="DS107" s="436"/>
      <c r="DT107" s="436"/>
      <c r="DU107" s="436"/>
      <c r="DV107" s="436"/>
      <c r="DW107" s="436"/>
      <c r="DX107" s="436"/>
      <c r="DY107" s="436"/>
      <c r="DZ107" s="436"/>
      <c r="EA107" s="440"/>
      <c r="EB107" s="439"/>
      <c r="EC107" s="436"/>
      <c r="ED107" s="436"/>
      <c r="EE107" s="436"/>
      <c r="EF107" s="436"/>
      <c r="EG107" s="436"/>
      <c r="EH107" s="436"/>
      <c r="EI107" s="436"/>
      <c r="EJ107" s="436"/>
      <c r="EK107" s="436"/>
      <c r="EL107" s="436"/>
      <c r="EM107" s="436"/>
      <c r="EN107" s="436"/>
      <c r="EO107" s="436"/>
      <c r="EP107" s="436"/>
      <c r="EQ107" s="436"/>
      <c r="ER107" s="436"/>
      <c r="ES107" s="436"/>
      <c r="ET107" s="436"/>
      <c r="EU107" s="436"/>
      <c r="EV107" s="436"/>
      <c r="EW107" s="436"/>
      <c r="EX107" s="436"/>
      <c r="EY107" s="436"/>
      <c r="EZ107" s="440"/>
      <c r="FA107" s="439"/>
      <c r="FB107" s="436"/>
      <c r="FC107" s="436"/>
      <c r="FD107" s="436"/>
      <c r="FE107" s="436"/>
      <c r="FF107" s="436"/>
      <c r="FG107" s="436"/>
      <c r="FH107" s="436"/>
      <c r="FI107" s="436"/>
      <c r="FJ107" s="436"/>
      <c r="FK107" s="436"/>
      <c r="FL107" s="436"/>
      <c r="FM107" s="436"/>
      <c r="FN107" s="436"/>
      <c r="FO107" s="436"/>
      <c r="FP107" s="436"/>
      <c r="FQ107" s="436"/>
      <c r="FR107" s="436"/>
      <c r="FS107" s="436"/>
      <c r="FT107" s="436"/>
      <c r="FU107" s="436"/>
      <c r="FV107" s="436"/>
      <c r="FW107" s="436"/>
      <c r="FX107" s="436"/>
      <c r="FY107" s="440"/>
      <c r="FZ107" s="439"/>
      <c r="GA107" s="436"/>
      <c r="GB107" s="436"/>
      <c r="GC107" s="436"/>
      <c r="GD107" s="436"/>
      <c r="GE107" s="436"/>
      <c r="GF107" s="436"/>
      <c r="GG107" s="436"/>
      <c r="GH107" s="436"/>
      <c r="GI107" s="436"/>
      <c r="GJ107" s="436"/>
      <c r="GK107" s="436"/>
      <c r="GL107" s="436"/>
      <c r="GM107" s="436"/>
      <c r="GN107" s="436"/>
      <c r="GO107" s="436"/>
      <c r="GP107" s="436"/>
      <c r="GQ107" s="436"/>
      <c r="GR107" s="436"/>
      <c r="GS107" s="436"/>
      <c r="GT107" s="436"/>
      <c r="GU107" s="436"/>
      <c r="GV107" s="436"/>
      <c r="GW107" s="436"/>
      <c r="GX107" s="440"/>
      <c r="GY107" s="439"/>
      <c r="GZ107" s="436"/>
      <c r="HA107" s="436"/>
      <c r="HB107" s="436"/>
      <c r="HC107" s="436"/>
      <c r="HD107" s="436"/>
      <c r="HE107" s="436"/>
      <c r="HF107" s="436"/>
      <c r="HG107" s="436"/>
      <c r="HH107" s="436"/>
      <c r="HI107" s="436"/>
      <c r="HJ107" s="436"/>
      <c r="HK107" s="436"/>
      <c r="HL107" s="436"/>
      <c r="HM107" s="436"/>
      <c r="HN107" s="436"/>
      <c r="HO107" s="436"/>
      <c r="HP107" s="436"/>
      <c r="HQ107" s="436"/>
      <c r="HR107" s="436"/>
      <c r="HS107" s="436"/>
      <c r="HT107" s="436"/>
      <c r="HU107" s="436"/>
      <c r="HV107" s="436"/>
      <c r="HW107" s="440"/>
    </row>
    <row r="108" spans="1:231" ht="24" customHeight="1">
      <c r="A108" s="439"/>
      <c r="B108" s="436"/>
      <c r="C108" s="43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40"/>
      <c r="AA108" s="436"/>
      <c r="AB108" s="436"/>
      <c r="AC108" s="436"/>
      <c r="AD108" s="436"/>
      <c r="AE108" s="436"/>
      <c r="AF108" s="439"/>
      <c r="AG108" s="436"/>
      <c r="AH108" s="436"/>
      <c r="AI108" s="436"/>
      <c r="AJ108" s="436"/>
      <c r="AK108" s="436"/>
      <c r="AL108" s="436"/>
      <c r="AM108" s="436"/>
      <c r="AN108" s="436"/>
      <c r="AO108" s="436"/>
      <c r="AP108" s="436"/>
      <c r="AQ108" s="436"/>
      <c r="AR108" s="436"/>
      <c r="AS108" s="436"/>
      <c r="AT108" s="436"/>
      <c r="AU108" s="436"/>
      <c r="AV108" s="436"/>
      <c r="AW108" s="436"/>
      <c r="AX108" s="436"/>
      <c r="AY108" s="436"/>
      <c r="AZ108" s="436"/>
      <c r="BA108" s="436"/>
      <c r="BB108" s="436"/>
      <c r="BC108" s="436"/>
      <c r="BD108" s="440"/>
      <c r="BE108" s="439"/>
      <c r="BF108" s="436"/>
      <c r="BG108" s="436"/>
      <c r="BH108" s="436"/>
      <c r="BI108" s="436"/>
      <c r="BJ108" s="436"/>
      <c r="BK108" s="436"/>
      <c r="BL108" s="436"/>
      <c r="BM108" s="436"/>
      <c r="BN108" s="436"/>
      <c r="BO108" s="436"/>
      <c r="BP108" s="436"/>
      <c r="BQ108" s="436"/>
      <c r="BR108" s="436"/>
      <c r="BS108" s="436"/>
      <c r="BT108" s="436"/>
      <c r="BU108" s="436"/>
      <c r="BV108" s="436"/>
      <c r="BW108" s="436"/>
      <c r="BX108" s="436"/>
      <c r="BY108" s="436"/>
      <c r="BZ108" s="436"/>
      <c r="CA108" s="436"/>
      <c r="CB108" s="436"/>
      <c r="CC108" s="440"/>
      <c r="CD108" s="439"/>
      <c r="CE108" s="436"/>
      <c r="CF108" s="436"/>
      <c r="CG108" s="436"/>
      <c r="CH108" s="436"/>
      <c r="CI108" s="436"/>
      <c r="CJ108" s="436"/>
      <c r="CK108" s="436"/>
      <c r="CL108" s="436"/>
      <c r="CM108" s="436"/>
      <c r="CN108" s="436"/>
      <c r="CO108" s="436"/>
      <c r="CP108" s="436"/>
      <c r="CQ108" s="436"/>
      <c r="CR108" s="436"/>
      <c r="CS108" s="436"/>
      <c r="CT108" s="436"/>
      <c r="CU108" s="436"/>
      <c r="CV108" s="436"/>
      <c r="CW108" s="436"/>
      <c r="CX108" s="436"/>
      <c r="CY108" s="436"/>
      <c r="CZ108" s="436"/>
      <c r="DA108" s="436"/>
      <c r="DB108" s="440"/>
      <c r="DC108" s="439"/>
      <c r="DD108" s="436"/>
      <c r="DE108" s="436"/>
      <c r="DF108" s="436"/>
      <c r="DG108" s="436"/>
      <c r="DH108" s="436"/>
      <c r="DI108" s="436"/>
      <c r="DJ108" s="436"/>
      <c r="DK108" s="436"/>
      <c r="DL108" s="436"/>
      <c r="DM108" s="436"/>
      <c r="DN108" s="436"/>
      <c r="DO108" s="436"/>
      <c r="DP108" s="436"/>
      <c r="DQ108" s="436"/>
      <c r="DR108" s="436"/>
      <c r="DS108" s="436"/>
      <c r="DT108" s="436"/>
      <c r="DU108" s="436"/>
      <c r="DV108" s="436"/>
      <c r="DW108" s="436"/>
      <c r="DX108" s="436"/>
      <c r="DY108" s="436"/>
      <c r="DZ108" s="436"/>
      <c r="EA108" s="440"/>
      <c r="EB108" s="439"/>
      <c r="EC108" s="436"/>
      <c r="ED108" s="436"/>
      <c r="EE108" s="436"/>
      <c r="EF108" s="436"/>
      <c r="EG108" s="436"/>
      <c r="EH108" s="436"/>
      <c r="EI108" s="436"/>
      <c r="EJ108" s="436"/>
      <c r="EK108" s="436"/>
      <c r="EL108" s="436"/>
      <c r="EM108" s="436"/>
      <c r="EN108" s="436"/>
      <c r="EO108" s="436"/>
      <c r="EP108" s="436"/>
      <c r="EQ108" s="436"/>
      <c r="ER108" s="436"/>
      <c r="ES108" s="436"/>
      <c r="ET108" s="436"/>
      <c r="EU108" s="436"/>
      <c r="EV108" s="436"/>
      <c r="EW108" s="436"/>
      <c r="EX108" s="436"/>
      <c r="EY108" s="436"/>
      <c r="EZ108" s="440"/>
      <c r="FA108" s="439"/>
      <c r="FB108" s="436"/>
      <c r="FC108" s="436"/>
      <c r="FD108" s="436"/>
      <c r="FE108" s="436"/>
      <c r="FF108" s="436"/>
      <c r="FG108" s="436"/>
      <c r="FH108" s="436"/>
      <c r="FI108" s="436"/>
      <c r="FJ108" s="436"/>
      <c r="FK108" s="436"/>
      <c r="FL108" s="436"/>
      <c r="FM108" s="436"/>
      <c r="FN108" s="436"/>
      <c r="FO108" s="436"/>
      <c r="FP108" s="436"/>
      <c r="FQ108" s="436"/>
      <c r="FR108" s="436"/>
      <c r="FS108" s="436"/>
      <c r="FT108" s="436"/>
      <c r="FU108" s="436"/>
      <c r="FV108" s="436"/>
      <c r="FW108" s="436"/>
      <c r="FX108" s="436"/>
      <c r="FY108" s="440"/>
      <c r="FZ108" s="439"/>
      <c r="GA108" s="436"/>
      <c r="GB108" s="436"/>
      <c r="GC108" s="436"/>
      <c r="GD108" s="436"/>
      <c r="GE108" s="436"/>
      <c r="GF108" s="436"/>
      <c r="GG108" s="436"/>
      <c r="GH108" s="436"/>
      <c r="GI108" s="436"/>
      <c r="GJ108" s="436"/>
      <c r="GK108" s="436"/>
      <c r="GL108" s="436"/>
      <c r="GM108" s="436"/>
      <c r="GN108" s="436"/>
      <c r="GO108" s="436"/>
      <c r="GP108" s="436"/>
      <c r="GQ108" s="436"/>
      <c r="GR108" s="436"/>
      <c r="GS108" s="436"/>
      <c r="GT108" s="436"/>
      <c r="GU108" s="436"/>
      <c r="GV108" s="436"/>
      <c r="GW108" s="436"/>
      <c r="GX108" s="440"/>
      <c r="GY108" s="439"/>
      <c r="GZ108" s="436"/>
      <c r="HA108" s="436"/>
      <c r="HB108" s="436"/>
      <c r="HC108" s="436"/>
      <c r="HD108" s="436"/>
      <c r="HE108" s="436"/>
      <c r="HF108" s="436"/>
      <c r="HG108" s="436"/>
      <c r="HH108" s="436"/>
      <c r="HI108" s="436"/>
      <c r="HJ108" s="436"/>
      <c r="HK108" s="436"/>
      <c r="HL108" s="436"/>
      <c r="HM108" s="436"/>
      <c r="HN108" s="436"/>
      <c r="HO108" s="436"/>
      <c r="HP108" s="436"/>
      <c r="HQ108" s="436"/>
      <c r="HR108" s="436"/>
      <c r="HS108" s="436"/>
      <c r="HT108" s="436"/>
      <c r="HU108" s="436"/>
      <c r="HV108" s="436"/>
      <c r="HW108" s="440"/>
    </row>
    <row r="109" spans="1:231" ht="24" customHeight="1">
      <c r="A109" s="439"/>
      <c r="B109" s="436"/>
      <c r="C109" s="43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40"/>
      <c r="AA109" s="436"/>
      <c r="AB109" s="436"/>
      <c r="AC109" s="436"/>
      <c r="AD109" s="436"/>
      <c r="AE109" s="436"/>
      <c r="AF109" s="439"/>
      <c r="AG109" s="436"/>
      <c r="AH109" s="436"/>
      <c r="AI109" s="436"/>
      <c r="AJ109" s="436"/>
      <c r="AK109" s="436"/>
      <c r="AL109" s="436"/>
      <c r="AM109" s="436"/>
      <c r="AN109" s="436"/>
      <c r="AO109" s="436"/>
      <c r="AP109" s="436"/>
      <c r="AQ109" s="436"/>
      <c r="AR109" s="436"/>
      <c r="AS109" s="436"/>
      <c r="AT109" s="436"/>
      <c r="AU109" s="436"/>
      <c r="AV109" s="436"/>
      <c r="AW109" s="436"/>
      <c r="AX109" s="436"/>
      <c r="AY109" s="436"/>
      <c r="AZ109" s="436"/>
      <c r="BA109" s="436"/>
      <c r="BB109" s="436"/>
      <c r="BC109" s="436"/>
      <c r="BD109" s="440"/>
      <c r="BE109" s="439"/>
      <c r="BF109" s="436"/>
      <c r="BG109" s="436"/>
      <c r="BH109" s="436"/>
      <c r="BI109" s="436"/>
      <c r="BJ109" s="436"/>
      <c r="BK109" s="436"/>
      <c r="BL109" s="436"/>
      <c r="BM109" s="436"/>
      <c r="BN109" s="436"/>
      <c r="BO109" s="436"/>
      <c r="BP109" s="436"/>
      <c r="BQ109" s="436"/>
      <c r="BR109" s="436"/>
      <c r="BS109" s="436"/>
      <c r="BT109" s="436"/>
      <c r="BU109" s="436"/>
      <c r="BV109" s="436"/>
      <c r="BW109" s="436"/>
      <c r="BX109" s="436"/>
      <c r="BY109" s="436"/>
      <c r="BZ109" s="436"/>
      <c r="CA109" s="436"/>
      <c r="CB109" s="436"/>
      <c r="CC109" s="440"/>
      <c r="CD109" s="439"/>
      <c r="CE109" s="436"/>
      <c r="CF109" s="436"/>
      <c r="CG109" s="436"/>
      <c r="CH109" s="436"/>
      <c r="CI109" s="436"/>
      <c r="CJ109" s="436"/>
      <c r="CK109" s="436"/>
      <c r="CL109" s="436"/>
      <c r="CM109" s="436"/>
      <c r="CN109" s="436"/>
      <c r="CO109" s="436"/>
      <c r="CP109" s="436"/>
      <c r="CQ109" s="436"/>
      <c r="CR109" s="436"/>
      <c r="CS109" s="436"/>
      <c r="CT109" s="436"/>
      <c r="CU109" s="436"/>
      <c r="CV109" s="436"/>
      <c r="CW109" s="436"/>
      <c r="CX109" s="436"/>
      <c r="CY109" s="436"/>
      <c r="CZ109" s="436"/>
      <c r="DA109" s="436"/>
      <c r="DB109" s="440"/>
      <c r="DC109" s="439"/>
      <c r="DD109" s="436"/>
      <c r="DE109" s="436"/>
      <c r="DF109" s="436"/>
      <c r="DG109" s="436"/>
      <c r="DH109" s="436"/>
      <c r="DI109" s="436"/>
      <c r="DJ109" s="436"/>
      <c r="DK109" s="436"/>
      <c r="DL109" s="436"/>
      <c r="DM109" s="436"/>
      <c r="DN109" s="436"/>
      <c r="DO109" s="436"/>
      <c r="DP109" s="436"/>
      <c r="DQ109" s="436"/>
      <c r="DR109" s="436"/>
      <c r="DS109" s="436"/>
      <c r="DT109" s="436"/>
      <c r="DU109" s="436"/>
      <c r="DV109" s="436"/>
      <c r="DW109" s="436"/>
      <c r="DX109" s="436"/>
      <c r="DY109" s="436"/>
      <c r="DZ109" s="436"/>
      <c r="EA109" s="440"/>
      <c r="EB109" s="439"/>
      <c r="EC109" s="436"/>
      <c r="ED109" s="436"/>
      <c r="EE109" s="436"/>
      <c r="EF109" s="436"/>
      <c r="EG109" s="436"/>
      <c r="EH109" s="436"/>
      <c r="EI109" s="436"/>
      <c r="EJ109" s="436"/>
      <c r="EK109" s="436"/>
      <c r="EL109" s="436"/>
      <c r="EM109" s="436"/>
      <c r="EN109" s="436"/>
      <c r="EO109" s="436"/>
      <c r="EP109" s="436"/>
      <c r="EQ109" s="436"/>
      <c r="ER109" s="436"/>
      <c r="ES109" s="436"/>
      <c r="ET109" s="436"/>
      <c r="EU109" s="436"/>
      <c r="EV109" s="436"/>
      <c r="EW109" s="436"/>
      <c r="EX109" s="436"/>
      <c r="EY109" s="436"/>
      <c r="EZ109" s="440"/>
      <c r="FA109" s="439"/>
      <c r="FB109" s="436"/>
      <c r="FC109" s="436"/>
      <c r="FD109" s="436"/>
      <c r="FE109" s="436"/>
      <c r="FF109" s="436"/>
      <c r="FG109" s="436"/>
      <c r="FH109" s="436"/>
      <c r="FI109" s="436"/>
      <c r="FJ109" s="436"/>
      <c r="FK109" s="436"/>
      <c r="FL109" s="436"/>
      <c r="FM109" s="436"/>
      <c r="FN109" s="436"/>
      <c r="FO109" s="436"/>
      <c r="FP109" s="436"/>
      <c r="FQ109" s="436"/>
      <c r="FR109" s="436"/>
      <c r="FS109" s="436"/>
      <c r="FT109" s="436"/>
      <c r="FU109" s="436"/>
      <c r="FV109" s="436"/>
      <c r="FW109" s="436"/>
      <c r="FX109" s="436"/>
      <c r="FY109" s="440"/>
      <c r="FZ109" s="439"/>
      <c r="GA109" s="436"/>
      <c r="GB109" s="436"/>
      <c r="GC109" s="436"/>
      <c r="GD109" s="436"/>
      <c r="GE109" s="436"/>
      <c r="GF109" s="436"/>
      <c r="GG109" s="436"/>
      <c r="GH109" s="436"/>
      <c r="GI109" s="436"/>
      <c r="GJ109" s="436"/>
      <c r="GK109" s="436"/>
      <c r="GL109" s="436"/>
      <c r="GM109" s="436"/>
      <c r="GN109" s="436"/>
      <c r="GO109" s="436"/>
      <c r="GP109" s="436"/>
      <c r="GQ109" s="436"/>
      <c r="GR109" s="436"/>
      <c r="GS109" s="436"/>
      <c r="GT109" s="436"/>
      <c r="GU109" s="436"/>
      <c r="GV109" s="436"/>
      <c r="GW109" s="436"/>
      <c r="GX109" s="440"/>
      <c r="GY109" s="439"/>
      <c r="GZ109" s="436"/>
      <c r="HA109" s="436"/>
      <c r="HB109" s="436"/>
      <c r="HC109" s="436"/>
      <c r="HD109" s="436"/>
      <c r="HE109" s="436"/>
      <c r="HF109" s="436"/>
      <c r="HG109" s="436"/>
      <c r="HH109" s="436"/>
      <c r="HI109" s="436"/>
      <c r="HJ109" s="436"/>
      <c r="HK109" s="436"/>
      <c r="HL109" s="436"/>
      <c r="HM109" s="436"/>
      <c r="HN109" s="436"/>
      <c r="HO109" s="436"/>
      <c r="HP109" s="436"/>
      <c r="HQ109" s="436"/>
      <c r="HR109" s="436"/>
      <c r="HS109" s="436"/>
      <c r="HT109" s="436"/>
      <c r="HU109" s="436"/>
      <c r="HV109" s="436"/>
      <c r="HW109" s="440"/>
    </row>
    <row r="110" spans="1:231" ht="24" customHeight="1">
      <c r="A110" s="439"/>
      <c r="B110" s="436"/>
      <c r="C110" s="43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40"/>
      <c r="AA110" s="436"/>
      <c r="AB110" s="436"/>
      <c r="AC110" s="436"/>
      <c r="AD110" s="436"/>
      <c r="AE110" s="436"/>
      <c r="AF110" s="439"/>
      <c r="AG110" s="436"/>
      <c r="AH110" s="436"/>
      <c r="AI110" s="436"/>
      <c r="AJ110" s="436"/>
      <c r="AK110" s="436"/>
      <c r="AL110" s="436"/>
      <c r="AM110" s="436"/>
      <c r="AN110" s="436"/>
      <c r="AO110" s="436"/>
      <c r="AP110" s="436"/>
      <c r="AQ110" s="436"/>
      <c r="AR110" s="436"/>
      <c r="AS110" s="436"/>
      <c r="AT110" s="436"/>
      <c r="AU110" s="436"/>
      <c r="AV110" s="436"/>
      <c r="AW110" s="436"/>
      <c r="AX110" s="436"/>
      <c r="AY110" s="436"/>
      <c r="AZ110" s="436"/>
      <c r="BA110" s="436"/>
      <c r="BB110" s="436"/>
      <c r="BC110" s="436"/>
      <c r="BD110" s="440"/>
      <c r="BE110" s="439"/>
      <c r="BF110" s="436"/>
      <c r="BG110" s="436"/>
      <c r="BH110" s="436"/>
      <c r="BI110" s="436"/>
      <c r="BJ110" s="436"/>
      <c r="BK110" s="436"/>
      <c r="BL110" s="436"/>
      <c r="BM110" s="436"/>
      <c r="BN110" s="436"/>
      <c r="BO110" s="436"/>
      <c r="BP110" s="436"/>
      <c r="BQ110" s="436"/>
      <c r="BR110" s="436"/>
      <c r="BS110" s="436"/>
      <c r="BT110" s="436"/>
      <c r="BU110" s="436"/>
      <c r="BV110" s="436"/>
      <c r="BW110" s="436"/>
      <c r="BX110" s="436"/>
      <c r="BY110" s="436"/>
      <c r="BZ110" s="436"/>
      <c r="CA110" s="436"/>
      <c r="CB110" s="436"/>
      <c r="CC110" s="440"/>
      <c r="CD110" s="439"/>
      <c r="CE110" s="436"/>
      <c r="CF110" s="436"/>
      <c r="CG110" s="436"/>
      <c r="CH110" s="436"/>
      <c r="CI110" s="436"/>
      <c r="CJ110" s="436"/>
      <c r="CK110" s="436"/>
      <c r="CL110" s="436"/>
      <c r="CM110" s="436"/>
      <c r="CN110" s="436"/>
      <c r="CO110" s="436"/>
      <c r="CP110" s="436"/>
      <c r="CQ110" s="436"/>
      <c r="CR110" s="436"/>
      <c r="CS110" s="436"/>
      <c r="CT110" s="436"/>
      <c r="CU110" s="436"/>
      <c r="CV110" s="436"/>
      <c r="CW110" s="436"/>
      <c r="CX110" s="436"/>
      <c r="CY110" s="436"/>
      <c r="CZ110" s="436"/>
      <c r="DA110" s="436"/>
      <c r="DB110" s="440"/>
      <c r="DC110" s="439"/>
      <c r="DD110" s="436"/>
      <c r="DE110" s="436"/>
      <c r="DF110" s="436"/>
      <c r="DG110" s="436"/>
      <c r="DH110" s="436"/>
      <c r="DI110" s="436"/>
      <c r="DJ110" s="436"/>
      <c r="DK110" s="436"/>
      <c r="DL110" s="436"/>
      <c r="DM110" s="436"/>
      <c r="DN110" s="436"/>
      <c r="DO110" s="436"/>
      <c r="DP110" s="436"/>
      <c r="DQ110" s="436"/>
      <c r="DR110" s="436"/>
      <c r="DS110" s="436"/>
      <c r="DT110" s="436"/>
      <c r="DU110" s="436"/>
      <c r="DV110" s="436"/>
      <c r="DW110" s="436"/>
      <c r="DX110" s="436"/>
      <c r="DY110" s="436"/>
      <c r="DZ110" s="436"/>
      <c r="EA110" s="440"/>
      <c r="EB110" s="439"/>
      <c r="EC110" s="436"/>
      <c r="ED110" s="436"/>
      <c r="EE110" s="436"/>
      <c r="EF110" s="436"/>
      <c r="EG110" s="436"/>
      <c r="EH110" s="436"/>
      <c r="EI110" s="436"/>
      <c r="EJ110" s="436"/>
      <c r="EK110" s="436"/>
      <c r="EL110" s="436"/>
      <c r="EM110" s="436"/>
      <c r="EN110" s="436"/>
      <c r="EO110" s="436"/>
      <c r="EP110" s="436"/>
      <c r="EQ110" s="436"/>
      <c r="ER110" s="436"/>
      <c r="ES110" s="436"/>
      <c r="ET110" s="436"/>
      <c r="EU110" s="436"/>
      <c r="EV110" s="436"/>
      <c r="EW110" s="436"/>
      <c r="EX110" s="436"/>
      <c r="EY110" s="436"/>
      <c r="EZ110" s="440"/>
      <c r="FA110" s="439"/>
      <c r="FB110" s="436"/>
      <c r="FC110" s="436"/>
      <c r="FD110" s="436"/>
      <c r="FE110" s="436"/>
      <c r="FF110" s="436"/>
      <c r="FG110" s="436"/>
      <c r="FH110" s="436"/>
      <c r="FI110" s="436"/>
      <c r="FJ110" s="436"/>
      <c r="FK110" s="436"/>
      <c r="FL110" s="436"/>
      <c r="FM110" s="436"/>
      <c r="FN110" s="436"/>
      <c r="FO110" s="436"/>
      <c r="FP110" s="436"/>
      <c r="FQ110" s="436"/>
      <c r="FR110" s="436"/>
      <c r="FS110" s="436"/>
      <c r="FT110" s="436"/>
      <c r="FU110" s="436"/>
      <c r="FV110" s="436"/>
      <c r="FW110" s="436"/>
      <c r="FX110" s="436"/>
      <c r="FY110" s="440"/>
      <c r="FZ110" s="439"/>
      <c r="GA110" s="436"/>
      <c r="GB110" s="436"/>
      <c r="GC110" s="436"/>
      <c r="GD110" s="436"/>
      <c r="GE110" s="436"/>
      <c r="GF110" s="436"/>
      <c r="GG110" s="436"/>
      <c r="GH110" s="436"/>
      <c r="GI110" s="436"/>
      <c r="GJ110" s="436"/>
      <c r="GK110" s="436"/>
      <c r="GL110" s="436"/>
      <c r="GM110" s="436"/>
      <c r="GN110" s="436"/>
      <c r="GO110" s="436"/>
      <c r="GP110" s="436"/>
      <c r="GQ110" s="436"/>
      <c r="GR110" s="436"/>
      <c r="GS110" s="436"/>
      <c r="GT110" s="436"/>
      <c r="GU110" s="436"/>
      <c r="GV110" s="436"/>
      <c r="GW110" s="436"/>
      <c r="GX110" s="440"/>
      <c r="GY110" s="439"/>
      <c r="GZ110" s="436"/>
      <c r="HA110" s="436"/>
      <c r="HB110" s="436"/>
      <c r="HC110" s="436"/>
      <c r="HD110" s="436"/>
      <c r="HE110" s="436"/>
      <c r="HF110" s="436"/>
      <c r="HG110" s="436"/>
      <c r="HH110" s="436"/>
      <c r="HI110" s="436"/>
      <c r="HJ110" s="436"/>
      <c r="HK110" s="436"/>
      <c r="HL110" s="436"/>
      <c r="HM110" s="436"/>
      <c r="HN110" s="436"/>
      <c r="HO110" s="436"/>
      <c r="HP110" s="436"/>
      <c r="HQ110" s="436"/>
      <c r="HR110" s="436"/>
      <c r="HS110" s="436"/>
      <c r="HT110" s="436"/>
      <c r="HU110" s="436"/>
      <c r="HV110" s="436"/>
      <c r="HW110" s="440"/>
    </row>
    <row r="111" spans="1:231" ht="24" customHeight="1">
      <c r="A111" s="439"/>
      <c r="B111" s="436"/>
      <c r="C111" s="43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40"/>
      <c r="AA111" s="436"/>
      <c r="AB111" s="436"/>
      <c r="AC111" s="436"/>
      <c r="AD111" s="436"/>
      <c r="AE111" s="436"/>
      <c r="AF111" s="439"/>
      <c r="AG111" s="436"/>
      <c r="AH111" s="436"/>
      <c r="AI111" s="436"/>
      <c r="AJ111" s="436"/>
      <c r="AK111" s="436"/>
      <c r="AL111" s="436"/>
      <c r="AM111" s="436"/>
      <c r="AN111" s="436"/>
      <c r="AO111" s="436"/>
      <c r="AP111" s="436"/>
      <c r="AQ111" s="436"/>
      <c r="AR111" s="436"/>
      <c r="AS111" s="436"/>
      <c r="AT111" s="436"/>
      <c r="AU111" s="436"/>
      <c r="AV111" s="436"/>
      <c r="AW111" s="436"/>
      <c r="AX111" s="436"/>
      <c r="AY111" s="436"/>
      <c r="AZ111" s="436"/>
      <c r="BA111" s="436"/>
      <c r="BB111" s="436"/>
      <c r="BC111" s="436"/>
      <c r="BD111" s="440"/>
      <c r="BE111" s="439"/>
      <c r="BF111" s="436"/>
      <c r="BG111" s="436"/>
      <c r="BH111" s="436"/>
      <c r="BI111" s="436"/>
      <c r="BJ111" s="436"/>
      <c r="BK111" s="436"/>
      <c r="BL111" s="436"/>
      <c r="BM111" s="436"/>
      <c r="BN111" s="436"/>
      <c r="BO111" s="436"/>
      <c r="BP111" s="436"/>
      <c r="BQ111" s="436"/>
      <c r="BR111" s="436"/>
      <c r="BS111" s="436"/>
      <c r="BT111" s="436"/>
      <c r="BU111" s="436"/>
      <c r="BV111" s="436"/>
      <c r="BW111" s="436"/>
      <c r="BX111" s="436"/>
      <c r="BY111" s="436"/>
      <c r="BZ111" s="436"/>
      <c r="CA111" s="436"/>
      <c r="CB111" s="436"/>
      <c r="CC111" s="440"/>
      <c r="CD111" s="439"/>
      <c r="CE111" s="436"/>
      <c r="CF111" s="436"/>
      <c r="CG111" s="436"/>
      <c r="CH111" s="436"/>
      <c r="CI111" s="436"/>
      <c r="CJ111" s="436"/>
      <c r="CK111" s="436"/>
      <c r="CL111" s="436"/>
      <c r="CM111" s="436"/>
      <c r="CN111" s="436"/>
      <c r="CO111" s="436"/>
      <c r="CP111" s="436"/>
      <c r="CQ111" s="436"/>
      <c r="CR111" s="436"/>
      <c r="CS111" s="436"/>
      <c r="CT111" s="436"/>
      <c r="CU111" s="436"/>
      <c r="CV111" s="436"/>
      <c r="CW111" s="436"/>
      <c r="CX111" s="436"/>
      <c r="CY111" s="436"/>
      <c r="CZ111" s="436"/>
      <c r="DA111" s="436"/>
      <c r="DB111" s="440"/>
      <c r="DC111" s="439"/>
      <c r="DD111" s="436"/>
      <c r="DE111" s="436"/>
      <c r="DF111" s="436"/>
      <c r="DG111" s="436"/>
      <c r="DH111" s="436"/>
      <c r="DI111" s="436"/>
      <c r="DJ111" s="436"/>
      <c r="DK111" s="436"/>
      <c r="DL111" s="436"/>
      <c r="DM111" s="436"/>
      <c r="DN111" s="436"/>
      <c r="DO111" s="436"/>
      <c r="DP111" s="436"/>
      <c r="DQ111" s="436"/>
      <c r="DR111" s="436"/>
      <c r="DS111" s="436"/>
      <c r="DT111" s="436"/>
      <c r="DU111" s="436"/>
      <c r="DV111" s="436"/>
      <c r="DW111" s="436"/>
      <c r="DX111" s="436"/>
      <c r="DY111" s="436"/>
      <c r="DZ111" s="436"/>
      <c r="EA111" s="440"/>
      <c r="EB111" s="439"/>
      <c r="EC111" s="436"/>
      <c r="ED111" s="436"/>
      <c r="EE111" s="436"/>
      <c r="EF111" s="436"/>
      <c r="EG111" s="436"/>
      <c r="EH111" s="436"/>
      <c r="EI111" s="436"/>
      <c r="EJ111" s="436"/>
      <c r="EK111" s="436"/>
      <c r="EL111" s="436"/>
      <c r="EM111" s="436"/>
      <c r="EN111" s="436"/>
      <c r="EO111" s="436"/>
      <c r="EP111" s="436"/>
      <c r="EQ111" s="436"/>
      <c r="ER111" s="436"/>
      <c r="ES111" s="436"/>
      <c r="ET111" s="436"/>
      <c r="EU111" s="436"/>
      <c r="EV111" s="436"/>
      <c r="EW111" s="436"/>
      <c r="EX111" s="436"/>
      <c r="EY111" s="436"/>
      <c r="EZ111" s="440"/>
      <c r="FA111" s="439"/>
      <c r="FB111" s="436"/>
      <c r="FC111" s="436"/>
      <c r="FD111" s="436"/>
      <c r="FE111" s="436"/>
      <c r="FF111" s="436"/>
      <c r="FG111" s="436"/>
      <c r="FH111" s="436"/>
      <c r="FI111" s="436"/>
      <c r="FJ111" s="436"/>
      <c r="FK111" s="436"/>
      <c r="FL111" s="436"/>
      <c r="FM111" s="436"/>
      <c r="FN111" s="436"/>
      <c r="FO111" s="436"/>
      <c r="FP111" s="436"/>
      <c r="FQ111" s="436"/>
      <c r="FR111" s="436"/>
      <c r="FS111" s="436"/>
      <c r="FT111" s="436"/>
      <c r="FU111" s="436"/>
      <c r="FV111" s="436"/>
      <c r="FW111" s="436"/>
      <c r="FX111" s="436"/>
      <c r="FY111" s="440"/>
      <c r="FZ111" s="439"/>
      <c r="GA111" s="436"/>
      <c r="GB111" s="436"/>
      <c r="GC111" s="436"/>
      <c r="GD111" s="436"/>
      <c r="GE111" s="436"/>
      <c r="GF111" s="436"/>
      <c r="GG111" s="436"/>
      <c r="GH111" s="436"/>
      <c r="GI111" s="436"/>
      <c r="GJ111" s="436"/>
      <c r="GK111" s="436"/>
      <c r="GL111" s="436"/>
      <c r="GM111" s="436"/>
      <c r="GN111" s="436"/>
      <c r="GO111" s="436"/>
      <c r="GP111" s="436"/>
      <c r="GQ111" s="436"/>
      <c r="GR111" s="436"/>
      <c r="GS111" s="436"/>
      <c r="GT111" s="436"/>
      <c r="GU111" s="436"/>
      <c r="GV111" s="436"/>
      <c r="GW111" s="436"/>
      <c r="GX111" s="440"/>
      <c r="GY111" s="439"/>
      <c r="GZ111" s="436"/>
      <c r="HA111" s="436"/>
      <c r="HB111" s="436"/>
      <c r="HC111" s="436"/>
      <c r="HD111" s="436"/>
      <c r="HE111" s="436"/>
      <c r="HF111" s="436"/>
      <c r="HG111" s="436"/>
      <c r="HH111" s="436"/>
      <c r="HI111" s="436"/>
      <c r="HJ111" s="436"/>
      <c r="HK111" s="436"/>
      <c r="HL111" s="436"/>
      <c r="HM111" s="436"/>
      <c r="HN111" s="436"/>
      <c r="HO111" s="436"/>
      <c r="HP111" s="436"/>
      <c r="HQ111" s="436"/>
      <c r="HR111" s="436"/>
      <c r="HS111" s="436"/>
      <c r="HT111" s="436"/>
      <c r="HU111" s="436"/>
      <c r="HV111" s="436"/>
      <c r="HW111" s="440"/>
    </row>
    <row r="112" spans="1:231" ht="24" customHeight="1">
      <c r="A112" s="439"/>
      <c r="B112" s="436"/>
      <c r="C112" s="43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40"/>
      <c r="AA112" s="436"/>
      <c r="AB112" s="436"/>
      <c r="AC112" s="436"/>
      <c r="AD112" s="436"/>
      <c r="AE112" s="436"/>
      <c r="AF112" s="439"/>
      <c r="AG112" s="436"/>
      <c r="AH112" s="436"/>
      <c r="AI112" s="436"/>
      <c r="AJ112" s="436"/>
      <c r="AK112" s="436"/>
      <c r="AL112" s="436"/>
      <c r="AM112" s="436"/>
      <c r="AN112" s="436"/>
      <c r="AO112" s="436"/>
      <c r="AP112" s="436"/>
      <c r="AQ112" s="436"/>
      <c r="AR112" s="436"/>
      <c r="AS112" s="436"/>
      <c r="AT112" s="436"/>
      <c r="AU112" s="436"/>
      <c r="AV112" s="436"/>
      <c r="AW112" s="436"/>
      <c r="AX112" s="436"/>
      <c r="AY112" s="436"/>
      <c r="AZ112" s="436"/>
      <c r="BA112" s="436"/>
      <c r="BB112" s="436"/>
      <c r="BC112" s="436"/>
      <c r="BD112" s="440"/>
      <c r="BE112" s="439"/>
      <c r="BF112" s="436"/>
      <c r="BG112" s="436"/>
      <c r="BH112" s="436"/>
      <c r="BI112" s="436"/>
      <c r="BJ112" s="436"/>
      <c r="BK112" s="436"/>
      <c r="BL112" s="436"/>
      <c r="BM112" s="436"/>
      <c r="BN112" s="436"/>
      <c r="BO112" s="436"/>
      <c r="BP112" s="436"/>
      <c r="BQ112" s="436"/>
      <c r="BR112" s="436"/>
      <c r="BS112" s="436"/>
      <c r="BT112" s="436"/>
      <c r="BU112" s="436"/>
      <c r="BV112" s="436"/>
      <c r="BW112" s="436"/>
      <c r="BX112" s="436"/>
      <c r="BY112" s="436"/>
      <c r="BZ112" s="436"/>
      <c r="CA112" s="436"/>
      <c r="CB112" s="436"/>
      <c r="CC112" s="440"/>
      <c r="CD112" s="439"/>
      <c r="CE112" s="436"/>
      <c r="CF112" s="436"/>
      <c r="CG112" s="436"/>
      <c r="CH112" s="436"/>
      <c r="CI112" s="436"/>
      <c r="CJ112" s="436"/>
      <c r="CK112" s="436"/>
      <c r="CL112" s="436"/>
      <c r="CM112" s="436"/>
      <c r="CN112" s="436"/>
      <c r="CO112" s="436"/>
      <c r="CP112" s="436"/>
      <c r="CQ112" s="436"/>
      <c r="CR112" s="436"/>
      <c r="CS112" s="436"/>
      <c r="CT112" s="436"/>
      <c r="CU112" s="436"/>
      <c r="CV112" s="436"/>
      <c r="CW112" s="436"/>
      <c r="CX112" s="436"/>
      <c r="CY112" s="436"/>
      <c r="CZ112" s="436"/>
      <c r="DA112" s="436"/>
      <c r="DB112" s="440"/>
      <c r="DC112" s="439"/>
      <c r="DD112" s="436"/>
      <c r="DE112" s="436"/>
      <c r="DF112" s="436"/>
      <c r="DG112" s="436"/>
      <c r="DH112" s="436"/>
      <c r="DI112" s="436"/>
      <c r="DJ112" s="436"/>
      <c r="DK112" s="436"/>
      <c r="DL112" s="436"/>
      <c r="DM112" s="436"/>
      <c r="DN112" s="436"/>
      <c r="DO112" s="436"/>
      <c r="DP112" s="436"/>
      <c r="DQ112" s="436"/>
      <c r="DR112" s="436"/>
      <c r="DS112" s="436"/>
      <c r="DT112" s="436"/>
      <c r="DU112" s="436"/>
      <c r="DV112" s="436"/>
      <c r="DW112" s="436"/>
      <c r="DX112" s="436"/>
      <c r="DY112" s="436"/>
      <c r="DZ112" s="436"/>
      <c r="EA112" s="440"/>
      <c r="EB112" s="439"/>
      <c r="EC112" s="436"/>
      <c r="ED112" s="436"/>
      <c r="EE112" s="436"/>
      <c r="EF112" s="436"/>
      <c r="EG112" s="436"/>
      <c r="EH112" s="436"/>
      <c r="EI112" s="436"/>
      <c r="EJ112" s="436"/>
      <c r="EK112" s="436"/>
      <c r="EL112" s="436"/>
      <c r="EM112" s="436"/>
      <c r="EN112" s="436"/>
      <c r="EO112" s="436"/>
      <c r="EP112" s="436"/>
      <c r="EQ112" s="436"/>
      <c r="ER112" s="436"/>
      <c r="ES112" s="436"/>
      <c r="ET112" s="436"/>
      <c r="EU112" s="436"/>
      <c r="EV112" s="436"/>
      <c r="EW112" s="436"/>
      <c r="EX112" s="436"/>
      <c r="EY112" s="436"/>
      <c r="EZ112" s="440"/>
      <c r="FA112" s="439"/>
      <c r="FB112" s="436"/>
      <c r="FC112" s="436"/>
      <c r="FD112" s="436"/>
      <c r="FE112" s="436"/>
      <c r="FF112" s="436"/>
      <c r="FG112" s="436"/>
      <c r="FH112" s="436"/>
      <c r="FI112" s="436"/>
      <c r="FJ112" s="436"/>
      <c r="FK112" s="436"/>
      <c r="FL112" s="436"/>
      <c r="FM112" s="436"/>
      <c r="FN112" s="436"/>
      <c r="FO112" s="436"/>
      <c r="FP112" s="436"/>
      <c r="FQ112" s="436"/>
      <c r="FR112" s="436"/>
      <c r="FS112" s="436"/>
      <c r="FT112" s="436"/>
      <c r="FU112" s="436"/>
      <c r="FV112" s="436"/>
      <c r="FW112" s="436"/>
      <c r="FX112" s="436"/>
      <c r="FY112" s="440"/>
      <c r="FZ112" s="439"/>
      <c r="GA112" s="436"/>
      <c r="GB112" s="436"/>
      <c r="GC112" s="436"/>
      <c r="GD112" s="436"/>
      <c r="GE112" s="436"/>
      <c r="GF112" s="436"/>
      <c r="GG112" s="436"/>
      <c r="GH112" s="436"/>
      <c r="GI112" s="436"/>
      <c r="GJ112" s="436"/>
      <c r="GK112" s="436"/>
      <c r="GL112" s="436"/>
      <c r="GM112" s="436"/>
      <c r="GN112" s="436"/>
      <c r="GO112" s="436"/>
      <c r="GP112" s="436"/>
      <c r="GQ112" s="436"/>
      <c r="GR112" s="436"/>
      <c r="GS112" s="436"/>
      <c r="GT112" s="436"/>
      <c r="GU112" s="436"/>
      <c r="GV112" s="436"/>
      <c r="GW112" s="436"/>
      <c r="GX112" s="440"/>
      <c r="GY112" s="439"/>
      <c r="GZ112" s="436"/>
      <c r="HA112" s="436"/>
      <c r="HB112" s="436"/>
      <c r="HC112" s="436"/>
      <c r="HD112" s="436"/>
      <c r="HE112" s="436"/>
      <c r="HF112" s="436"/>
      <c r="HG112" s="436"/>
      <c r="HH112" s="436"/>
      <c r="HI112" s="436"/>
      <c r="HJ112" s="436"/>
      <c r="HK112" s="436"/>
      <c r="HL112" s="436"/>
      <c r="HM112" s="436"/>
      <c r="HN112" s="436"/>
      <c r="HO112" s="436"/>
      <c r="HP112" s="436"/>
      <c r="HQ112" s="436"/>
      <c r="HR112" s="436"/>
      <c r="HS112" s="436"/>
      <c r="HT112" s="436"/>
      <c r="HU112" s="436"/>
      <c r="HV112" s="436"/>
      <c r="HW112" s="440"/>
    </row>
    <row r="113" spans="1:231" ht="24" customHeight="1" thickBot="1">
      <c r="A113" s="439"/>
      <c r="B113" s="441"/>
      <c r="C113" s="441"/>
      <c r="D113" s="441"/>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40"/>
      <c r="AA113" s="436"/>
      <c r="AB113" s="436"/>
      <c r="AC113" s="436"/>
      <c r="AD113" s="436"/>
      <c r="AE113" s="436"/>
      <c r="AF113" s="439"/>
      <c r="AG113" s="441"/>
      <c r="AH113" s="441"/>
      <c r="AI113" s="441"/>
      <c r="AJ113" s="436"/>
      <c r="AK113" s="436"/>
      <c r="AL113" s="436"/>
      <c r="AM113" s="436"/>
      <c r="AN113" s="436"/>
      <c r="AO113" s="436"/>
      <c r="AP113" s="436"/>
      <c r="AQ113" s="436"/>
      <c r="AR113" s="436"/>
      <c r="AS113" s="436"/>
      <c r="AT113" s="436"/>
      <c r="AU113" s="436"/>
      <c r="AV113" s="436"/>
      <c r="AW113" s="436"/>
      <c r="AX113" s="436"/>
      <c r="AY113" s="436"/>
      <c r="AZ113" s="436"/>
      <c r="BA113" s="436"/>
      <c r="BB113" s="436"/>
      <c r="BC113" s="436"/>
      <c r="BD113" s="440"/>
      <c r="BE113" s="439"/>
      <c r="BF113" s="441"/>
      <c r="BG113" s="441"/>
      <c r="BH113" s="441"/>
      <c r="BI113" s="436"/>
      <c r="BJ113" s="436"/>
      <c r="BK113" s="436"/>
      <c r="BL113" s="436"/>
      <c r="BM113" s="436"/>
      <c r="BN113" s="436"/>
      <c r="BO113" s="436"/>
      <c r="BP113" s="436"/>
      <c r="BQ113" s="436"/>
      <c r="BR113" s="436"/>
      <c r="BS113" s="436"/>
      <c r="BT113" s="436"/>
      <c r="BU113" s="436"/>
      <c r="BV113" s="436"/>
      <c r="BW113" s="436"/>
      <c r="BX113" s="436"/>
      <c r="BY113" s="436"/>
      <c r="BZ113" s="436"/>
      <c r="CA113" s="436"/>
      <c r="CB113" s="436"/>
      <c r="CC113" s="440"/>
      <c r="CD113" s="439"/>
      <c r="CE113" s="441"/>
      <c r="CF113" s="441"/>
      <c r="CG113" s="441"/>
      <c r="CH113" s="436"/>
      <c r="CI113" s="436"/>
      <c r="CJ113" s="436"/>
      <c r="CK113" s="436"/>
      <c r="CL113" s="436"/>
      <c r="CM113" s="436"/>
      <c r="CN113" s="436"/>
      <c r="CO113" s="436"/>
      <c r="CP113" s="436"/>
      <c r="CQ113" s="436"/>
      <c r="CR113" s="436"/>
      <c r="CS113" s="436"/>
      <c r="CT113" s="436"/>
      <c r="CU113" s="436"/>
      <c r="CV113" s="436"/>
      <c r="CW113" s="436"/>
      <c r="CX113" s="436"/>
      <c r="CY113" s="436"/>
      <c r="CZ113" s="436"/>
      <c r="DA113" s="436"/>
      <c r="DB113" s="440"/>
      <c r="DC113" s="439"/>
      <c r="DD113" s="441"/>
      <c r="DE113" s="441"/>
      <c r="DF113" s="441"/>
      <c r="DG113" s="436"/>
      <c r="DH113" s="436"/>
      <c r="DI113" s="436"/>
      <c r="DJ113" s="436"/>
      <c r="DK113" s="436"/>
      <c r="DL113" s="436"/>
      <c r="DM113" s="436"/>
      <c r="DN113" s="436"/>
      <c r="DO113" s="436"/>
      <c r="DP113" s="436"/>
      <c r="DQ113" s="436"/>
      <c r="DR113" s="436"/>
      <c r="DS113" s="436"/>
      <c r="DT113" s="436"/>
      <c r="DU113" s="436"/>
      <c r="DV113" s="436"/>
      <c r="DW113" s="436"/>
      <c r="DX113" s="436"/>
      <c r="DY113" s="436"/>
      <c r="DZ113" s="436"/>
      <c r="EA113" s="440"/>
      <c r="EB113" s="439"/>
      <c r="EC113" s="441"/>
      <c r="ED113" s="441"/>
      <c r="EE113" s="441"/>
      <c r="EF113" s="436"/>
      <c r="EG113" s="436"/>
      <c r="EH113" s="436"/>
      <c r="EI113" s="436"/>
      <c r="EJ113" s="436"/>
      <c r="EK113" s="436"/>
      <c r="EL113" s="436"/>
      <c r="EM113" s="436"/>
      <c r="EN113" s="436"/>
      <c r="EO113" s="436"/>
      <c r="EP113" s="436"/>
      <c r="EQ113" s="436"/>
      <c r="ER113" s="436"/>
      <c r="ES113" s="436"/>
      <c r="ET113" s="436"/>
      <c r="EU113" s="436"/>
      <c r="EV113" s="436"/>
      <c r="EW113" s="436"/>
      <c r="EX113" s="436"/>
      <c r="EY113" s="436"/>
      <c r="EZ113" s="440"/>
      <c r="FA113" s="439"/>
      <c r="FB113" s="441"/>
      <c r="FC113" s="441"/>
      <c r="FD113" s="441"/>
      <c r="FE113" s="436"/>
      <c r="FF113" s="436"/>
      <c r="FG113" s="436"/>
      <c r="FH113" s="436"/>
      <c r="FI113" s="436"/>
      <c r="FJ113" s="436"/>
      <c r="FK113" s="436"/>
      <c r="FL113" s="436"/>
      <c r="FM113" s="436"/>
      <c r="FN113" s="436"/>
      <c r="FO113" s="436"/>
      <c r="FP113" s="436"/>
      <c r="FQ113" s="436"/>
      <c r="FR113" s="436"/>
      <c r="FS113" s="436"/>
      <c r="FT113" s="436"/>
      <c r="FU113" s="436"/>
      <c r="FV113" s="436"/>
      <c r="FW113" s="436"/>
      <c r="FX113" s="436"/>
      <c r="FY113" s="440"/>
      <c r="FZ113" s="439"/>
      <c r="GA113" s="441"/>
      <c r="GB113" s="441"/>
      <c r="GC113" s="441"/>
      <c r="GD113" s="436"/>
      <c r="GE113" s="436"/>
      <c r="GF113" s="436"/>
      <c r="GG113" s="436"/>
      <c r="GH113" s="436"/>
      <c r="GI113" s="436"/>
      <c r="GJ113" s="436"/>
      <c r="GK113" s="436"/>
      <c r="GL113" s="436"/>
      <c r="GM113" s="436"/>
      <c r="GN113" s="436"/>
      <c r="GO113" s="436"/>
      <c r="GP113" s="436"/>
      <c r="GQ113" s="436"/>
      <c r="GR113" s="436"/>
      <c r="GS113" s="436"/>
      <c r="GT113" s="436"/>
      <c r="GU113" s="436"/>
      <c r="GV113" s="436"/>
      <c r="GW113" s="436"/>
      <c r="GX113" s="440"/>
      <c r="GY113" s="439"/>
      <c r="GZ113" s="441"/>
      <c r="HA113" s="441"/>
      <c r="HB113" s="441"/>
      <c r="HC113" s="436"/>
      <c r="HD113" s="436"/>
      <c r="HE113" s="436"/>
      <c r="HF113" s="436"/>
      <c r="HG113" s="436"/>
      <c r="HH113" s="436"/>
      <c r="HI113" s="436"/>
      <c r="HJ113" s="436"/>
      <c r="HK113" s="436"/>
      <c r="HL113" s="436"/>
      <c r="HM113" s="436"/>
      <c r="HN113" s="436"/>
      <c r="HO113" s="436"/>
      <c r="HP113" s="436"/>
      <c r="HQ113" s="436"/>
      <c r="HR113" s="436"/>
      <c r="HS113" s="436"/>
      <c r="HT113" s="436"/>
      <c r="HU113" s="436"/>
      <c r="HV113" s="436"/>
      <c r="HW113" s="440"/>
    </row>
    <row r="114" spans="1:231" ht="24" customHeight="1" thickBot="1">
      <c r="A114" s="444"/>
      <c r="B114" s="1917" t="str">
        <f>'Вывод расчетов'!$AK$9</f>
        <v>Раздел 1</v>
      </c>
      <c r="C114" s="1915"/>
      <c r="D114" s="1915"/>
      <c r="E114" s="445"/>
      <c r="F114" s="1917" t="str">
        <f>'Вывод расчетов'!$AN$9</f>
        <v>Определение главных размеров асинхронного двигателя</v>
      </c>
      <c r="G114" s="1915"/>
      <c r="H114" s="1915"/>
      <c r="I114" s="1915"/>
      <c r="J114" s="1915"/>
      <c r="K114" s="1915"/>
      <c r="L114" s="1915"/>
      <c r="M114" s="1915"/>
      <c r="N114" s="1915"/>
      <c r="O114" s="1915"/>
      <c r="P114" s="1915"/>
      <c r="Q114" s="1915"/>
      <c r="R114" s="1918"/>
      <c r="S114" s="445"/>
      <c r="T114" s="1917" t="s">
        <v>1502</v>
      </c>
      <c r="U114" s="1915"/>
      <c r="V114" s="1918"/>
      <c r="W114" s="445"/>
      <c r="X114" s="1917">
        <v>6</v>
      </c>
      <c r="Y114" s="1918"/>
      <c r="Z114" s="446"/>
      <c r="AA114" s="608"/>
      <c r="AB114" s="608"/>
      <c r="AC114" s="608"/>
      <c r="AD114" s="608"/>
      <c r="AE114" s="608"/>
      <c r="AF114" s="444"/>
      <c r="AG114" s="1917" t="str">
        <f>'Вывод расчетов'!$CC$9</f>
        <v>Раздел 3</v>
      </c>
      <c r="AH114" s="1915"/>
      <c r="AI114" s="1915"/>
      <c r="AJ114" s="445"/>
      <c r="AK114" s="1917" t="str">
        <f>'Вывод расчетов'!$CF$9</f>
        <v>Расчет обмотки статора</v>
      </c>
      <c r="AL114" s="1915"/>
      <c r="AM114" s="1915"/>
      <c r="AN114" s="1915"/>
      <c r="AO114" s="1915"/>
      <c r="AP114" s="1915"/>
      <c r="AQ114" s="1915"/>
      <c r="AR114" s="1915"/>
      <c r="AS114" s="1915"/>
      <c r="AT114" s="1915"/>
      <c r="AU114" s="1915"/>
      <c r="AV114" s="1918"/>
      <c r="AW114" s="445"/>
      <c r="AX114" s="1917" t="s">
        <v>1502</v>
      </c>
      <c r="AY114" s="1915"/>
      <c r="AZ114" s="1918"/>
      <c r="BA114" s="445"/>
      <c r="BB114" s="1917">
        <v>11</v>
      </c>
      <c r="BC114" s="1918"/>
      <c r="BD114" s="446"/>
      <c r="BE114" s="444"/>
      <c r="BF114" s="1917" t="str">
        <f>'Вывод расчетов'!$CC$9</f>
        <v>Раздел 3</v>
      </c>
      <c r="BG114" s="1915"/>
      <c r="BH114" s="1915"/>
      <c r="BI114" s="445"/>
      <c r="BJ114" s="1917" t="str">
        <f>'Вывод расчетов'!$CF$9</f>
        <v>Расчет обмотки статора</v>
      </c>
      <c r="BK114" s="1915"/>
      <c r="BL114" s="1915"/>
      <c r="BM114" s="1915"/>
      <c r="BN114" s="1915"/>
      <c r="BO114" s="1915"/>
      <c r="BP114" s="1915"/>
      <c r="BQ114" s="1915"/>
      <c r="BR114" s="1915"/>
      <c r="BS114" s="1915"/>
      <c r="BT114" s="1915"/>
      <c r="BU114" s="1918"/>
      <c r="BV114" s="445"/>
      <c r="BW114" s="1917" t="s">
        <v>1502</v>
      </c>
      <c r="BX114" s="1915"/>
      <c r="BY114" s="1918"/>
      <c r="BZ114" s="445"/>
      <c r="CA114" s="1917">
        <v>11</v>
      </c>
      <c r="CB114" s="1918"/>
      <c r="CC114" s="446"/>
      <c r="CD114" s="444"/>
      <c r="CE114" s="1917" t="str">
        <f>'Вывод расчетов'!$CC$9</f>
        <v>Раздел 3</v>
      </c>
      <c r="CF114" s="1915"/>
      <c r="CG114" s="1915"/>
      <c r="CH114" s="445"/>
      <c r="CI114" s="1917" t="str">
        <f>'Вывод расчетов'!$CF$9</f>
        <v>Расчет обмотки статора</v>
      </c>
      <c r="CJ114" s="1915"/>
      <c r="CK114" s="1915"/>
      <c r="CL114" s="1915"/>
      <c r="CM114" s="1915"/>
      <c r="CN114" s="1915"/>
      <c r="CO114" s="1915"/>
      <c r="CP114" s="1915"/>
      <c r="CQ114" s="1915"/>
      <c r="CR114" s="1915"/>
      <c r="CS114" s="1915"/>
      <c r="CT114" s="1918"/>
      <c r="CU114" s="445"/>
      <c r="CV114" s="1917" t="s">
        <v>1502</v>
      </c>
      <c r="CW114" s="1915"/>
      <c r="CX114" s="1918"/>
      <c r="CY114" s="445"/>
      <c r="CZ114" s="1917">
        <v>11</v>
      </c>
      <c r="DA114" s="1918"/>
      <c r="DB114" s="446"/>
      <c r="DC114" s="444"/>
      <c r="DD114" s="1917" t="str">
        <f>'Вывод расчетов'!$CC$9</f>
        <v>Раздел 3</v>
      </c>
      <c r="DE114" s="1915"/>
      <c r="DF114" s="1915"/>
      <c r="DG114" s="445"/>
      <c r="DH114" s="1917" t="str">
        <f>'Вывод расчетов'!$CF$9</f>
        <v>Расчет обмотки статора</v>
      </c>
      <c r="DI114" s="1915"/>
      <c r="DJ114" s="1915"/>
      <c r="DK114" s="1915"/>
      <c r="DL114" s="1915"/>
      <c r="DM114" s="1915"/>
      <c r="DN114" s="1915"/>
      <c r="DO114" s="1915"/>
      <c r="DP114" s="1915"/>
      <c r="DQ114" s="1915"/>
      <c r="DR114" s="1915"/>
      <c r="DS114" s="1918"/>
      <c r="DT114" s="445"/>
      <c r="DU114" s="1917" t="s">
        <v>1502</v>
      </c>
      <c r="DV114" s="1915"/>
      <c r="DW114" s="1918"/>
      <c r="DX114" s="445"/>
      <c r="DY114" s="1917">
        <v>11</v>
      </c>
      <c r="DZ114" s="1918"/>
      <c r="EA114" s="446"/>
      <c r="EB114" s="444"/>
      <c r="EC114" s="1917" t="str">
        <f>'Вывод расчетов'!$CC$9</f>
        <v>Раздел 3</v>
      </c>
      <c r="ED114" s="1915"/>
      <c r="EE114" s="1915"/>
      <c r="EF114" s="445"/>
      <c r="EG114" s="1917" t="str">
        <f>'Вывод расчетов'!$CF$9</f>
        <v>Расчет обмотки статора</v>
      </c>
      <c r="EH114" s="1915"/>
      <c r="EI114" s="1915"/>
      <c r="EJ114" s="1915"/>
      <c r="EK114" s="1915"/>
      <c r="EL114" s="1915"/>
      <c r="EM114" s="1915"/>
      <c r="EN114" s="1915"/>
      <c r="EO114" s="1915"/>
      <c r="EP114" s="1915"/>
      <c r="EQ114" s="1915"/>
      <c r="ER114" s="1918"/>
      <c r="ES114" s="445"/>
      <c r="ET114" s="1917" t="s">
        <v>1502</v>
      </c>
      <c r="EU114" s="1915"/>
      <c r="EV114" s="1918"/>
      <c r="EW114" s="445"/>
      <c r="EX114" s="1917">
        <v>11</v>
      </c>
      <c r="EY114" s="1918"/>
      <c r="EZ114" s="446"/>
      <c r="FA114" s="444"/>
      <c r="FB114" s="1917" t="str">
        <f>'Вывод расчетов'!$CC$9</f>
        <v>Раздел 3</v>
      </c>
      <c r="FC114" s="1915"/>
      <c r="FD114" s="1915"/>
      <c r="FE114" s="445"/>
      <c r="FF114" s="1917" t="str">
        <f>'Вывод расчетов'!$CF$9</f>
        <v>Расчет обмотки статора</v>
      </c>
      <c r="FG114" s="1915"/>
      <c r="FH114" s="1915"/>
      <c r="FI114" s="1915"/>
      <c r="FJ114" s="1915"/>
      <c r="FK114" s="1915"/>
      <c r="FL114" s="1915"/>
      <c r="FM114" s="1915"/>
      <c r="FN114" s="1915"/>
      <c r="FO114" s="1915"/>
      <c r="FP114" s="1915"/>
      <c r="FQ114" s="1918"/>
      <c r="FR114" s="445"/>
      <c r="FS114" s="1917" t="s">
        <v>1502</v>
      </c>
      <c r="FT114" s="1915"/>
      <c r="FU114" s="1918"/>
      <c r="FV114" s="445"/>
      <c r="FW114" s="1917">
        <v>11</v>
      </c>
      <c r="FX114" s="1918"/>
      <c r="FY114" s="446"/>
      <c r="FZ114" s="444"/>
      <c r="GA114" s="1917" t="str">
        <f>'Вывод расчетов'!$CC$9</f>
        <v>Раздел 3</v>
      </c>
      <c r="GB114" s="1915"/>
      <c r="GC114" s="1915"/>
      <c r="GD114" s="445"/>
      <c r="GE114" s="1917" t="str">
        <f>'Вывод расчетов'!$CF$9</f>
        <v>Расчет обмотки статора</v>
      </c>
      <c r="GF114" s="1915"/>
      <c r="GG114" s="1915"/>
      <c r="GH114" s="1915"/>
      <c r="GI114" s="1915"/>
      <c r="GJ114" s="1915"/>
      <c r="GK114" s="1915"/>
      <c r="GL114" s="1915"/>
      <c r="GM114" s="1915"/>
      <c r="GN114" s="1915"/>
      <c r="GO114" s="1915"/>
      <c r="GP114" s="1918"/>
      <c r="GQ114" s="445"/>
      <c r="GR114" s="1917" t="s">
        <v>1502</v>
      </c>
      <c r="GS114" s="1915"/>
      <c r="GT114" s="1918"/>
      <c r="GU114" s="445"/>
      <c r="GV114" s="1917">
        <v>11</v>
      </c>
      <c r="GW114" s="1918"/>
      <c r="GX114" s="446"/>
      <c r="GY114" s="444"/>
      <c r="GZ114" s="1917" t="str">
        <f>'Вывод расчетов'!$CC$9</f>
        <v>Раздел 3</v>
      </c>
      <c r="HA114" s="1915"/>
      <c r="HB114" s="1915"/>
      <c r="HC114" s="445"/>
      <c r="HD114" s="1917" t="str">
        <f>'Вывод расчетов'!$CF$9</f>
        <v>Расчет обмотки статора</v>
      </c>
      <c r="HE114" s="1915"/>
      <c r="HF114" s="1915"/>
      <c r="HG114" s="1915"/>
      <c r="HH114" s="1915"/>
      <c r="HI114" s="1915"/>
      <c r="HJ114" s="1915"/>
      <c r="HK114" s="1915"/>
      <c r="HL114" s="1915"/>
      <c r="HM114" s="1915"/>
      <c r="HN114" s="1915"/>
      <c r="HO114" s="1918"/>
      <c r="HP114" s="445"/>
      <c r="HQ114" s="1917" t="s">
        <v>1502</v>
      </c>
      <c r="HR114" s="1915"/>
      <c r="HS114" s="1918"/>
      <c r="HT114" s="445"/>
      <c r="HU114" s="1917">
        <v>11</v>
      </c>
      <c r="HV114" s="1918"/>
      <c r="HW114" s="446"/>
    </row>
    <row r="115" spans="1:231" ht="24" customHeight="1" thickBot="1">
      <c r="A115" s="1914" t="s">
        <v>1230</v>
      </c>
      <c r="B115" s="1915"/>
      <c r="C115" s="1915"/>
      <c r="D115" s="1915"/>
      <c r="E115" s="1915"/>
      <c r="F115" s="1915"/>
      <c r="G115" s="1915"/>
      <c r="H115" s="1915"/>
      <c r="I115" s="1915"/>
      <c r="J115" s="1915"/>
      <c r="K115" s="1915"/>
      <c r="L115" s="1915"/>
      <c r="M115" s="1915"/>
      <c r="N115" s="1915"/>
      <c r="O115" s="1915"/>
      <c r="P115" s="1915"/>
      <c r="Q115" s="1915"/>
      <c r="R115" s="1915"/>
      <c r="S115" s="1915"/>
      <c r="T115" s="1915"/>
      <c r="U115" s="1915"/>
      <c r="V115" s="1915"/>
      <c r="W115" s="1915"/>
      <c r="X115" s="1915"/>
      <c r="Y115" s="1915"/>
      <c r="Z115" s="1916"/>
      <c r="AA115" s="605"/>
      <c r="AB115" s="605"/>
      <c r="AC115" s="605"/>
      <c r="AD115" s="605"/>
      <c r="AE115" s="605"/>
      <c r="AF115" s="1914" t="s">
        <v>1230</v>
      </c>
      <c r="AG115" s="1915"/>
      <c r="AH115" s="1915"/>
      <c r="AI115" s="1915"/>
      <c r="AJ115" s="1915"/>
      <c r="AK115" s="1915"/>
      <c r="AL115" s="1915"/>
      <c r="AM115" s="1915"/>
      <c r="AN115" s="1915"/>
      <c r="AO115" s="1915"/>
      <c r="AP115" s="1915"/>
      <c r="AQ115" s="1915"/>
      <c r="AR115" s="1915"/>
      <c r="AS115" s="1915"/>
      <c r="AT115" s="1915"/>
      <c r="AU115" s="1915"/>
      <c r="AV115" s="1915"/>
      <c r="AW115" s="1915"/>
      <c r="AX115" s="1915"/>
      <c r="AY115" s="1915"/>
      <c r="AZ115" s="1915"/>
      <c r="BA115" s="1915"/>
      <c r="BB115" s="1915"/>
      <c r="BC115" s="1915"/>
      <c r="BD115" s="1916"/>
      <c r="BE115" s="1914" t="s">
        <v>1230</v>
      </c>
      <c r="BF115" s="1915"/>
      <c r="BG115" s="1915"/>
      <c r="BH115" s="1915"/>
      <c r="BI115" s="1915"/>
      <c r="BJ115" s="1915"/>
      <c r="BK115" s="1915"/>
      <c r="BL115" s="1915"/>
      <c r="BM115" s="1915"/>
      <c r="BN115" s="1915"/>
      <c r="BO115" s="1915"/>
      <c r="BP115" s="1915"/>
      <c r="BQ115" s="1915"/>
      <c r="BR115" s="1915"/>
      <c r="BS115" s="1915"/>
      <c r="BT115" s="1915"/>
      <c r="BU115" s="1915"/>
      <c r="BV115" s="1915"/>
      <c r="BW115" s="1915"/>
      <c r="BX115" s="1915"/>
      <c r="BY115" s="1915"/>
      <c r="BZ115" s="1915"/>
      <c r="CA115" s="1915"/>
      <c r="CB115" s="1915"/>
      <c r="CC115" s="1916"/>
      <c r="CD115" s="1914" t="s">
        <v>1230</v>
      </c>
      <c r="CE115" s="1915"/>
      <c r="CF115" s="1915"/>
      <c r="CG115" s="1915"/>
      <c r="CH115" s="1915"/>
      <c r="CI115" s="1915"/>
      <c r="CJ115" s="1915"/>
      <c r="CK115" s="1915"/>
      <c r="CL115" s="1915"/>
      <c r="CM115" s="1915"/>
      <c r="CN115" s="1915"/>
      <c r="CO115" s="1915"/>
      <c r="CP115" s="1915"/>
      <c r="CQ115" s="1915"/>
      <c r="CR115" s="1915"/>
      <c r="CS115" s="1915"/>
      <c r="CT115" s="1915"/>
      <c r="CU115" s="1915"/>
      <c r="CV115" s="1915"/>
      <c r="CW115" s="1915"/>
      <c r="CX115" s="1915"/>
      <c r="CY115" s="1915"/>
      <c r="CZ115" s="1915"/>
      <c r="DA115" s="1915"/>
      <c r="DB115" s="1916"/>
      <c r="DC115" s="1914" t="s">
        <v>1230</v>
      </c>
      <c r="DD115" s="1915"/>
      <c r="DE115" s="1915"/>
      <c r="DF115" s="1915"/>
      <c r="DG115" s="1915"/>
      <c r="DH115" s="1915"/>
      <c r="DI115" s="1915"/>
      <c r="DJ115" s="1915"/>
      <c r="DK115" s="1915"/>
      <c r="DL115" s="1915"/>
      <c r="DM115" s="1915"/>
      <c r="DN115" s="1915"/>
      <c r="DO115" s="1915"/>
      <c r="DP115" s="1915"/>
      <c r="DQ115" s="1915"/>
      <c r="DR115" s="1915"/>
      <c r="DS115" s="1915"/>
      <c r="DT115" s="1915"/>
      <c r="DU115" s="1915"/>
      <c r="DV115" s="1915"/>
      <c r="DW115" s="1915"/>
      <c r="DX115" s="1915"/>
      <c r="DY115" s="1915"/>
      <c r="DZ115" s="1915"/>
      <c r="EA115" s="1916"/>
      <c r="EB115" s="1914" t="s">
        <v>1230</v>
      </c>
      <c r="EC115" s="1915"/>
      <c r="ED115" s="1915"/>
      <c r="EE115" s="1915"/>
      <c r="EF115" s="1915"/>
      <c r="EG115" s="1915"/>
      <c r="EH115" s="1915"/>
      <c r="EI115" s="1915"/>
      <c r="EJ115" s="1915"/>
      <c r="EK115" s="1915"/>
      <c r="EL115" s="1915"/>
      <c r="EM115" s="1915"/>
      <c r="EN115" s="1915"/>
      <c r="EO115" s="1915"/>
      <c r="EP115" s="1915"/>
      <c r="EQ115" s="1915"/>
      <c r="ER115" s="1915"/>
      <c r="ES115" s="1915"/>
      <c r="ET115" s="1915"/>
      <c r="EU115" s="1915"/>
      <c r="EV115" s="1915"/>
      <c r="EW115" s="1915"/>
      <c r="EX115" s="1915"/>
      <c r="EY115" s="1915"/>
      <c r="EZ115" s="1916"/>
      <c r="FA115" s="1914" t="s">
        <v>1230</v>
      </c>
      <c r="FB115" s="1915"/>
      <c r="FC115" s="1915"/>
      <c r="FD115" s="1915"/>
      <c r="FE115" s="1915"/>
      <c r="FF115" s="1915"/>
      <c r="FG115" s="1915"/>
      <c r="FH115" s="1915"/>
      <c r="FI115" s="1915"/>
      <c r="FJ115" s="1915"/>
      <c r="FK115" s="1915"/>
      <c r="FL115" s="1915"/>
      <c r="FM115" s="1915"/>
      <c r="FN115" s="1915"/>
      <c r="FO115" s="1915"/>
      <c r="FP115" s="1915"/>
      <c r="FQ115" s="1915"/>
      <c r="FR115" s="1915"/>
      <c r="FS115" s="1915"/>
      <c r="FT115" s="1915"/>
      <c r="FU115" s="1915"/>
      <c r="FV115" s="1915"/>
      <c r="FW115" s="1915"/>
      <c r="FX115" s="1915"/>
      <c r="FY115" s="1916"/>
      <c r="FZ115" s="1914" t="s">
        <v>1230</v>
      </c>
      <c r="GA115" s="1915"/>
      <c r="GB115" s="1915"/>
      <c r="GC115" s="1915"/>
      <c r="GD115" s="1915"/>
      <c r="GE115" s="1915"/>
      <c r="GF115" s="1915"/>
      <c r="GG115" s="1915"/>
      <c r="GH115" s="1915"/>
      <c r="GI115" s="1915"/>
      <c r="GJ115" s="1915"/>
      <c r="GK115" s="1915"/>
      <c r="GL115" s="1915"/>
      <c r="GM115" s="1915"/>
      <c r="GN115" s="1915"/>
      <c r="GO115" s="1915"/>
      <c r="GP115" s="1915"/>
      <c r="GQ115" s="1915"/>
      <c r="GR115" s="1915"/>
      <c r="GS115" s="1915"/>
      <c r="GT115" s="1915"/>
      <c r="GU115" s="1915"/>
      <c r="GV115" s="1915"/>
      <c r="GW115" s="1915"/>
      <c r="GX115" s="1916"/>
      <c r="GY115" s="1914" t="s">
        <v>1230</v>
      </c>
      <c r="GZ115" s="1915"/>
      <c r="HA115" s="1915"/>
      <c r="HB115" s="1915"/>
      <c r="HC115" s="1915"/>
      <c r="HD115" s="1915"/>
      <c r="HE115" s="1915"/>
      <c r="HF115" s="1915"/>
      <c r="HG115" s="1915"/>
      <c r="HH115" s="1915"/>
      <c r="HI115" s="1915"/>
      <c r="HJ115" s="1915"/>
      <c r="HK115" s="1915"/>
      <c r="HL115" s="1915"/>
      <c r="HM115" s="1915"/>
      <c r="HN115" s="1915"/>
      <c r="HO115" s="1915"/>
      <c r="HP115" s="1915"/>
      <c r="HQ115" s="1915"/>
      <c r="HR115" s="1915"/>
      <c r="HS115" s="1915"/>
      <c r="HT115" s="1915"/>
      <c r="HU115" s="1915"/>
      <c r="HV115" s="1915"/>
      <c r="HW115" s="1916"/>
    </row>
    <row r="116" spans="1:231" ht="24" customHeight="1">
      <c r="A116" s="437"/>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47"/>
      <c r="AA116" s="438"/>
      <c r="AB116" s="438"/>
      <c r="AC116" s="438"/>
      <c r="AD116" s="438"/>
      <c r="AE116" s="438"/>
      <c r="AF116" s="437"/>
      <c r="AG116" s="438"/>
      <c r="AH116" s="438"/>
      <c r="AI116" s="438"/>
      <c r="AJ116" s="438"/>
      <c r="AK116" s="438"/>
      <c r="AL116" s="438"/>
      <c r="AM116" s="438"/>
      <c r="AN116" s="438"/>
      <c r="AO116" s="438"/>
      <c r="AP116" s="438"/>
      <c r="AQ116" s="438"/>
      <c r="AR116" s="438"/>
      <c r="AS116" s="438"/>
      <c r="AT116" s="438"/>
      <c r="AU116" s="438"/>
      <c r="AV116" s="438"/>
      <c r="AW116" s="438"/>
      <c r="AX116" s="438"/>
      <c r="AY116" s="438"/>
      <c r="AZ116" s="438"/>
      <c r="BA116" s="438"/>
      <c r="BB116" s="438"/>
      <c r="BC116" s="438"/>
      <c r="BD116" s="447"/>
      <c r="BE116" s="437"/>
      <c r="BF116" s="438"/>
      <c r="BG116" s="438"/>
      <c r="BH116" s="438"/>
      <c r="BI116" s="438"/>
      <c r="BJ116" s="438"/>
      <c r="BK116" s="438"/>
      <c r="BL116" s="438"/>
      <c r="BM116" s="438"/>
      <c r="BN116" s="438"/>
      <c r="BO116" s="438"/>
      <c r="BP116" s="438"/>
      <c r="BQ116" s="438"/>
      <c r="BR116" s="438"/>
      <c r="BS116" s="438"/>
      <c r="BT116" s="438"/>
      <c r="BU116" s="438"/>
      <c r="BV116" s="438"/>
      <c r="BW116" s="438"/>
      <c r="BX116" s="438"/>
      <c r="BY116" s="438"/>
      <c r="BZ116" s="438"/>
      <c r="CA116" s="438"/>
      <c r="CB116" s="438"/>
      <c r="CC116" s="447"/>
      <c r="CD116" s="437"/>
      <c r="CE116" s="438"/>
      <c r="CF116" s="438"/>
      <c r="CG116" s="438"/>
      <c r="CH116" s="438"/>
      <c r="CI116" s="438"/>
      <c r="CJ116" s="438"/>
      <c r="CK116" s="438"/>
      <c r="CL116" s="438"/>
      <c r="CM116" s="438"/>
      <c r="CN116" s="438"/>
      <c r="CO116" s="438"/>
      <c r="CP116" s="438"/>
      <c r="CQ116" s="438"/>
      <c r="CR116" s="438"/>
      <c r="CS116" s="438"/>
      <c r="CT116" s="438"/>
      <c r="CU116" s="438"/>
      <c r="CV116" s="438"/>
      <c r="CW116" s="438"/>
      <c r="CX116" s="438"/>
      <c r="CY116" s="438"/>
      <c r="CZ116" s="438"/>
      <c r="DA116" s="438"/>
      <c r="DB116" s="447"/>
      <c r="DC116" s="437"/>
      <c r="DD116" s="438"/>
      <c r="DE116" s="438"/>
      <c r="DF116" s="438"/>
      <c r="DG116" s="438"/>
      <c r="DH116" s="438"/>
      <c r="DI116" s="438"/>
      <c r="DJ116" s="438"/>
      <c r="DK116" s="438"/>
      <c r="DL116" s="438"/>
      <c r="DM116" s="438"/>
      <c r="DN116" s="438"/>
      <c r="DO116" s="438"/>
      <c r="DP116" s="438"/>
      <c r="DQ116" s="438"/>
      <c r="DR116" s="438"/>
      <c r="DS116" s="438"/>
      <c r="DT116" s="438"/>
      <c r="DU116" s="438"/>
      <c r="DV116" s="438"/>
      <c r="DW116" s="438"/>
      <c r="DX116" s="438"/>
      <c r="DY116" s="438"/>
      <c r="DZ116" s="438"/>
      <c r="EA116" s="447"/>
      <c r="EB116" s="437"/>
      <c r="EC116" s="438"/>
      <c r="ED116" s="438"/>
      <c r="EE116" s="438"/>
      <c r="EF116" s="438"/>
      <c r="EG116" s="438"/>
      <c r="EH116" s="438"/>
      <c r="EI116" s="438"/>
      <c r="EJ116" s="438"/>
      <c r="EK116" s="438"/>
      <c r="EL116" s="438"/>
      <c r="EM116" s="438"/>
      <c r="EN116" s="438"/>
      <c r="EO116" s="438"/>
      <c r="EP116" s="438"/>
      <c r="EQ116" s="438"/>
      <c r="ER116" s="438"/>
      <c r="ES116" s="438"/>
      <c r="ET116" s="438"/>
      <c r="EU116" s="438"/>
      <c r="EV116" s="438"/>
      <c r="EW116" s="438"/>
      <c r="EX116" s="438"/>
      <c r="EY116" s="438"/>
      <c r="EZ116" s="447"/>
      <c r="FA116" s="437"/>
      <c r="FB116" s="438"/>
      <c r="FC116" s="438"/>
      <c r="FD116" s="438"/>
      <c r="FE116" s="438"/>
      <c r="FF116" s="438"/>
      <c r="FG116" s="438"/>
      <c r="FH116" s="438"/>
      <c r="FI116" s="438"/>
      <c r="FJ116" s="438"/>
      <c r="FK116" s="438"/>
      <c r="FL116" s="438"/>
      <c r="FM116" s="438"/>
      <c r="FN116" s="438"/>
      <c r="FO116" s="438"/>
      <c r="FP116" s="438"/>
      <c r="FQ116" s="438"/>
      <c r="FR116" s="438"/>
      <c r="FS116" s="438"/>
      <c r="FT116" s="438"/>
      <c r="FU116" s="438"/>
      <c r="FV116" s="438"/>
      <c r="FW116" s="438"/>
      <c r="FX116" s="438"/>
      <c r="FY116" s="447"/>
      <c r="FZ116" s="437"/>
      <c r="GA116" s="438"/>
      <c r="GB116" s="438"/>
      <c r="GC116" s="438"/>
      <c r="GD116" s="438"/>
      <c r="GE116" s="438"/>
      <c r="GF116" s="438"/>
      <c r="GG116" s="438"/>
      <c r="GH116" s="438"/>
      <c r="GI116" s="438"/>
      <c r="GJ116" s="438"/>
      <c r="GK116" s="438"/>
      <c r="GL116" s="438"/>
      <c r="GM116" s="438"/>
      <c r="GN116" s="438"/>
      <c r="GO116" s="438"/>
      <c r="GP116" s="438"/>
      <c r="GQ116" s="438"/>
      <c r="GR116" s="438"/>
      <c r="GS116" s="438"/>
      <c r="GT116" s="438"/>
      <c r="GU116" s="438"/>
      <c r="GV116" s="438"/>
      <c r="GW116" s="438"/>
      <c r="GX116" s="447"/>
      <c r="GY116" s="437"/>
      <c r="GZ116" s="438"/>
      <c r="HA116" s="438"/>
      <c r="HB116" s="438"/>
      <c r="HC116" s="438"/>
      <c r="HD116" s="438"/>
      <c r="HE116" s="438"/>
      <c r="HF116" s="438"/>
      <c r="HG116" s="438"/>
      <c r="HH116" s="438"/>
      <c r="HI116" s="438"/>
      <c r="HJ116" s="438"/>
      <c r="HK116" s="438"/>
      <c r="HL116" s="438"/>
      <c r="HM116" s="438"/>
      <c r="HN116" s="438"/>
      <c r="HO116" s="438"/>
      <c r="HP116" s="438"/>
      <c r="HQ116" s="438"/>
      <c r="HR116" s="438"/>
      <c r="HS116" s="438"/>
      <c r="HT116" s="438"/>
      <c r="HU116" s="438"/>
      <c r="HV116" s="438"/>
      <c r="HW116" s="447"/>
    </row>
    <row r="117" spans="1:231" ht="24" customHeight="1">
      <c r="A117" s="439"/>
      <c r="B117" s="436"/>
      <c r="C117" s="43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40"/>
      <c r="AA117" s="436"/>
      <c r="AB117" s="436"/>
      <c r="AC117" s="436"/>
      <c r="AD117" s="436"/>
      <c r="AE117" s="436"/>
      <c r="AF117" s="439"/>
      <c r="AG117" s="436"/>
      <c r="AH117" s="436"/>
      <c r="AI117" s="436"/>
      <c r="AJ117" s="436"/>
      <c r="AK117" s="436"/>
      <c r="AL117" s="436"/>
      <c r="AM117" s="436"/>
      <c r="AN117" s="436"/>
      <c r="AO117" s="436"/>
      <c r="AP117" s="436"/>
      <c r="AQ117" s="436"/>
      <c r="AR117" s="436"/>
      <c r="AS117" s="436"/>
      <c r="AT117" s="436"/>
      <c r="AU117" s="436"/>
      <c r="AV117" s="436"/>
      <c r="AW117" s="436"/>
      <c r="AX117" s="436"/>
      <c r="AY117" s="436"/>
      <c r="AZ117" s="436"/>
      <c r="BA117" s="436"/>
      <c r="BB117" s="436"/>
      <c r="BC117" s="436"/>
      <c r="BD117" s="440"/>
      <c r="BE117" s="439"/>
      <c r="BF117" s="436"/>
      <c r="BG117" s="436"/>
      <c r="BH117" s="436"/>
      <c r="BI117" s="436"/>
      <c r="BJ117" s="436"/>
      <c r="BK117" s="436"/>
      <c r="BL117" s="436"/>
      <c r="BM117" s="436"/>
      <c r="BN117" s="436"/>
      <c r="BO117" s="436"/>
      <c r="BP117" s="436"/>
      <c r="BQ117" s="436"/>
      <c r="BR117" s="436"/>
      <c r="BS117" s="436"/>
      <c r="BT117" s="436"/>
      <c r="BU117" s="436"/>
      <c r="BV117" s="436"/>
      <c r="BW117" s="436"/>
      <c r="BX117" s="436"/>
      <c r="BY117" s="436"/>
      <c r="BZ117" s="436"/>
      <c r="CA117" s="436"/>
      <c r="CB117" s="436"/>
      <c r="CC117" s="440"/>
      <c r="CD117" s="439"/>
      <c r="CE117" s="436"/>
      <c r="CF117" s="436"/>
      <c r="CG117" s="436"/>
      <c r="CH117" s="436"/>
      <c r="CI117" s="436"/>
      <c r="CJ117" s="436"/>
      <c r="CK117" s="436"/>
      <c r="CL117" s="436"/>
      <c r="CM117" s="436"/>
      <c r="CN117" s="436"/>
      <c r="CO117" s="436"/>
      <c r="CP117" s="436"/>
      <c r="CQ117" s="436"/>
      <c r="CR117" s="436"/>
      <c r="CS117" s="436"/>
      <c r="CT117" s="436"/>
      <c r="CU117" s="436"/>
      <c r="CV117" s="436"/>
      <c r="CW117" s="436"/>
      <c r="CX117" s="436"/>
      <c r="CY117" s="436"/>
      <c r="CZ117" s="436"/>
      <c r="DA117" s="436"/>
      <c r="DB117" s="440"/>
      <c r="DC117" s="439"/>
      <c r="DD117" s="436"/>
      <c r="DE117" s="436"/>
      <c r="DF117" s="436"/>
      <c r="DG117" s="436"/>
      <c r="DH117" s="436"/>
      <c r="DI117" s="436"/>
      <c r="DJ117" s="436"/>
      <c r="DK117" s="436"/>
      <c r="DL117" s="436"/>
      <c r="DM117" s="436"/>
      <c r="DN117" s="436"/>
      <c r="DO117" s="436"/>
      <c r="DP117" s="436"/>
      <c r="DQ117" s="436"/>
      <c r="DR117" s="436"/>
      <c r="DS117" s="436"/>
      <c r="DT117" s="436"/>
      <c r="DU117" s="436"/>
      <c r="DV117" s="436"/>
      <c r="DW117" s="436"/>
      <c r="DX117" s="436"/>
      <c r="DY117" s="436"/>
      <c r="DZ117" s="436"/>
      <c r="EA117" s="440"/>
      <c r="EB117" s="439"/>
      <c r="EC117" s="436"/>
      <c r="ED117" s="436"/>
      <c r="EE117" s="436"/>
      <c r="EF117" s="436"/>
      <c r="EG117" s="436"/>
      <c r="EH117" s="436"/>
      <c r="EI117" s="436"/>
      <c r="EJ117" s="436"/>
      <c r="EK117" s="436"/>
      <c r="EL117" s="436"/>
      <c r="EM117" s="436"/>
      <c r="EN117" s="436"/>
      <c r="EO117" s="436"/>
      <c r="EP117" s="436"/>
      <c r="EQ117" s="436"/>
      <c r="ER117" s="436"/>
      <c r="ES117" s="436"/>
      <c r="ET117" s="436"/>
      <c r="EU117" s="436"/>
      <c r="EV117" s="436"/>
      <c r="EW117" s="436"/>
      <c r="EX117" s="436"/>
      <c r="EY117" s="436"/>
      <c r="EZ117" s="440"/>
      <c r="FA117" s="439"/>
      <c r="FB117" s="436"/>
      <c r="FC117" s="436"/>
      <c r="FD117" s="436"/>
      <c r="FE117" s="436"/>
      <c r="FF117" s="436"/>
      <c r="FG117" s="436"/>
      <c r="FH117" s="436"/>
      <c r="FI117" s="436"/>
      <c r="FJ117" s="436"/>
      <c r="FK117" s="436"/>
      <c r="FL117" s="436"/>
      <c r="FM117" s="436"/>
      <c r="FN117" s="436"/>
      <c r="FO117" s="436"/>
      <c r="FP117" s="436"/>
      <c r="FQ117" s="436"/>
      <c r="FR117" s="436"/>
      <c r="FS117" s="436"/>
      <c r="FT117" s="436"/>
      <c r="FU117" s="436"/>
      <c r="FV117" s="436"/>
      <c r="FW117" s="436"/>
      <c r="FX117" s="436"/>
      <c r="FY117" s="440"/>
      <c r="FZ117" s="439"/>
      <c r="GA117" s="436"/>
      <c r="GB117" s="436"/>
      <c r="GC117" s="436"/>
      <c r="GD117" s="436"/>
      <c r="GE117" s="436"/>
      <c r="GF117" s="436"/>
      <c r="GG117" s="436"/>
      <c r="GH117" s="436"/>
      <c r="GI117" s="436"/>
      <c r="GJ117" s="436"/>
      <c r="GK117" s="436"/>
      <c r="GL117" s="436"/>
      <c r="GM117" s="436"/>
      <c r="GN117" s="436"/>
      <c r="GO117" s="436"/>
      <c r="GP117" s="436"/>
      <c r="GQ117" s="436"/>
      <c r="GR117" s="436"/>
      <c r="GS117" s="436"/>
      <c r="GT117" s="436"/>
      <c r="GU117" s="436"/>
      <c r="GV117" s="436"/>
      <c r="GW117" s="436"/>
      <c r="GX117" s="440"/>
      <c r="GY117" s="439"/>
      <c r="GZ117" s="436"/>
      <c r="HA117" s="436"/>
      <c r="HB117" s="436"/>
      <c r="HC117" s="436"/>
      <c r="HD117" s="436"/>
      <c r="HE117" s="436"/>
      <c r="HF117" s="436"/>
      <c r="HG117" s="436"/>
      <c r="HH117" s="436"/>
      <c r="HI117" s="436"/>
      <c r="HJ117" s="436"/>
      <c r="HK117" s="436"/>
      <c r="HL117" s="436"/>
      <c r="HM117" s="436"/>
      <c r="HN117" s="436"/>
      <c r="HO117" s="436"/>
      <c r="HP117" s="436"/>
      <c r="HQ117" s="436"/>
      <c r="HR117" s="436"/>
      <c r="HS117" s="436"/>
      <c r="HT117" s="436"/>
      <c r="HU117" s="436"/>
      <c r="HV117" s="436"/>
      <c r="HW117" s="440"/>
    </row>
    <row r="118" spans="1:231" ht="24" customHeight="1">
      <c r="A118" s="439"/>
      <c r="B118" s="436"/>
      <c r="C118" s="43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40"/>
      <c r="AA118" s="436"/>
      <c r="AB118" s="436"/>
      <c r="AC118" s="436"/>
      <c r="AD118" s="436"/>
      <c r="AE118" s="436"/>
      <c r="AF118" s="439"/>
      <c r="AG118" s="436"/>
      <c r="AH118" s="436"/>
      <c r="AI118" s="436"/>
      <c r="AJ118" s="436"/>
      <c r="AK118" s="436"/>
      <c r="AL118" s="436"/>
      <c r="AM118" s="436"/>
      <c r="AN118" s="436"/>
      <c r="AO118" s="436"/>
      <c r="AP118" s="436"/>
      <c r="AQ118" s="436"/>
      <c r="AR118" s="436"/>
      <c r="AS118" s="436"/>
      <c r="AT118" s="436"/>
      <c r="AU118" s="436"/>
      <c r="AV118" s="436"/>
      <c r="AW118" s="436"/>
      <c r="AX118" s="436"/>
      <c r="AY118" s="436"/>
      <c r="AZ118" s="436"/>
      <c r="BA118" s="436"/>
      <c r="BB118" s="436"/>
      <c r="BC118" s="436"/>
      <c r="BD118" s="440"/>
      <c r="BE118" s="439"/>
      <c r="BF118" s="436"/>
      <c r="BG118" s="436"/>
      <c r="BH118" s="436"/>
      <c r="BI118" s="436"/>
      <c r="BJ118" s="436"/>
      <c r="BK118" s="436"/>
      <c r="BL118" s="436"/>
      <c r="BM118" s="436"/>
      <c r="BN118" s="436"/>
      <c r="BO118" s="436"/>
      <c r="BP118" s="436"/>
      <c r="BQ118" s="436"/>
      <c r="BR118" s="436"/>
      <c r="BS118" s="436"/>
      <c r="BT118" s="436"/>
      <c r="BU118" s="436"/>
      <c r="BV118" s="436"/>
      <c r="BW118" s="436"/>
      <c r="BX118" s="436"/>
      <c r="BY118" s="436"/>
      <c r="BZ118" s="436"/>
      <c r="CA118" s="436"/>
      <c r="CB118" s="436"/>
      <c r="CC118" s="440"/>
      <c r="CD118" s="439"/>
      <c r="CE118" s="436"/>
      <c r="CF118" s="436"/>
      <c r="CG118" s="436"/>
      <c r="CH118" s="436"/>
      <c r="CI118" s="436"/>
      <c r="CJ118" s="436"/>
      <c r="CK118" s="436"/>
      <c r="CL118" s="436"/>
      <c r="CM118" s="436"/>
      <c r="CN118" s="436"/>
      <c r="CO118" s="436"/>
      <c r="CP118" s="436"/>
      <c r="CQ118" s="436"/>
      <c r="CR118" s="436"/>
      <c r="CS118" s="436"/>
      <c r="CT118" s="436"/>
      <c r="CU118" s="436"/>
      <c r="CV118" s="436"/>
      <c r="CW118" s="436"/>
      <c r="CX118" s="436"/>
      <c r="CY118" s="436"/>
      <c r="CZ118" s="436"/>
      <c r="DA118" s="436"/>
      <c r="DB118" s="440"/>
      <c r="DC118" s="439"/>
      <c r="DD118" s="436"/>
      <c r="DE118" s="436"/>
      <c r="DF118" s="436"/>
      <c r="DG118" s="436"/>
      <c r="DH118" s="436"/>
      <c r="DI118" s="436"/>
      <c r="DJ118" s="436"/>
      <c r="DK118" s="436"/>
      <c r="DL118" s="436"/>
      <c r="DM118" s="436"/>
      <c r="DN118" s="436"/>
      <c r="DO118" s="436"/>
      <c r="DP118" s="436"/>
      <c r="DQ118" s="436"/>
      <c r="DR118" s="436"/>
      <c r="DS118" s="436"/>
      <c r="DT118" s="436"/>
      <c r="DU118" s="436"/>
      <c r="DV118" s="436"/>
      <c r="DW118" s="436"/>
      <c r="DX118" s="436"/>
      <c r="DY118" s="436"/>
      <c r="DZ118" s="436"/>
      <c r="EA118" s="440"/>
      <c r="EB118" s="439"/>
      <c r="EC118" s="436"/>
      <c r="ED118" s="436"/>
      <c r="EE118" s="436"/>
      <c r="EF118" s="436"/>
      <c r="EG118" s="436"/>
      <c r="EH118" s="436"/>
      <c r="EI118" s="436"/>
      <c r="EJ118" s="436"/>
      <c r="EK118" s="436"/>
      <c r="EL118" s="436"/>
      <c r="EM118" s="436"/>
      <c r="EN118" s="436"/>
      <c r="EO118" s="436"/>
      <c r="EP118" s="436"/>
      <c r="EQ118" s="436"/>
      <c r="ER118" s="436"/>
      <c r="ES118" s="436"/>
      <c r="ET118" s="436"/>
      <c r="EU118" s="436"/>
      <c r="EV118" s="436"/>
      <c r="EW118" s="436"/>
      <c r="EX118" s="436"/>
      <c r="EY118" s="436"/>
      <c r="EZ118" s="440"/>
      <c r="FA118" s="439"/>
      <c r="FB118" s="436"/>
      <c r="FC118" s="436"/>
      <c r="FD118" s="436"/>
      <c r="FE118" s="436"/>
      <c r="FF118" s="436"/>
      <c r="FG118" s="436"/>
      <c r="FH118" s="436"/>
      <c r="FI118" s="436"/>
      <c r="FJ118" s="436"/>
      <c r="FK118" s="436"/>
      <c r="FL118" s="436"/>
      <c r="FM118" s="436"/>
      <c r="FN118" s="436"/>
      <c r="FO118" s="436"/>
      <c r="FP118" s="436"/>
      <c r="FQ118" s="436"/>
      <c r="FR118" s="436"/>
      <c r="FS118" s="436"/>
      <c r="FT118" s="436"/>
      <c r="FU118" s="436"/>
      <c r="FV118" s="436"/>
      <c r="FW118" s="436"/>
      <c r="FX118" s="436"/>
      <c r="FY118" s="440"/>
      <c r="FZ118" s="439"/>
      <c r="GA118" s="436"/>
      <c r="GB118" s="436"/>
      <c r="GC118" s="436"/>
      <c r="GD118" s="436"/>
      <c r="GE118" s="436"/>
      <c r="GF118" s="436"/>
      <c r="GG118" s="436"/>
      <c r="GH118" s="436"/>
      <c r="GI118" s="436"/>
      <c r="GJ118" s="436"/>
      <c r="GK118" s="436"/>
      <c r="GL118" s="436"/>
      <c r="GM118" s="436"/>
      <c r="GN118" s="436"/>
      <c r="GO118" s="436"/>
      <c r="GP118" s="436"/>
      <c r="GQ118" s="436"/>
      <c r="GR118" s="436"/>
      <c r="GS118" s="436"/>
      <c r="GT118" s="436"/>
      <c r="GU118" s="436"/>
      <c r="GV118" s="436"/>
      <c r="GW118" s="436"/>
      <c r="GX118" s="440"/>
      <c r="GY118" s="439"/>
      <c r="GZ118" s="436"/>
      <c r="HA118" s="436"/>
      <c r="HB118" s="436"/>
      <c r="HC118" s="436"/>
      <c r="HD118" s="436"/>
      <c r="HE118" s="436"/>
      <c r="HF118" s="436"/>
      <c r="HG118" s="436"/>
      <c r="HH118" s="436"/>
      <c r="HI118" s="436"/>
      <c r="HJ118" s="436"/>
      <c r="HK118" s="436"/>
      <c r="HL118" s="436"/>
      <c r="HM118" s="436"/>
      <c r="HN118" s="436"/>
      <c r="HO118" s="436"/>
      <c r="HP118" s="436"/>
      <c r="HQ118" s="436"/>
      <c r="HR118" s="436"/>
      <c r="HS118" s="436"/>
      <c r="HT118" s="436"/>
      <c r="HU118" s="436"/>
      <c r="HV118" s="436"/>
      <c r="HW118" s="440"/>
    </row>
    <row r="119" spans="1:231" ht="24" customHeight="1">
      <c r="A119" s="439"/>
      <c r="B119" s="436"/>
      <c r="C119" s="43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40"/>
      <c r="AA119" s="436"/>
      <c r="AB119" s="436"/>
      <c r="AC119" s="436"/>
      <c r="AD119" s="436"/>
      <c r="AE119" s="436"/>
      <c r="AF119" s="439"/>
      <c r="AG119" s="436"/>
      <c r="AH119" s="436"/>
      <c r="AI119" s="436"/>
      <c r="AJ119" s="436"/>
      <c r="AK119" s="436"/>
      <c r="AL119" s="436"/>
      <c r="AM119" s="436"/>
      <c r="AN119" s="436"/>
      <c r="AO119" s="436"/>
      <c r="AP119" s="436"/>
      <c r="AQ119" s="436"/>
      <c r="AR119" s="436"/>
      <c r="AS119" s="436"/>
      <c r="AT119" s="436"/>
      <c r="AU119" s="436"/>
      <c r="AV119" s="436"/>
      <c r="AW119" s="436"/>
      <c r="AX119" s="436"/>
      <c r="AY119" s="436"/>
      <c r="AZ119" s="436"/>
      <c r="BA119" s="436"/>
      <c r="BB119" s="436"/>
      <c r="BC119" s="436"/>
      <c r="BD119" s="440"/>
      <c r="BE119" s="439"/>
      <c r="BF119" s="436"/>
      <c r="BG119" s="436"/>
      <c r="BH119" s="436"/>
      <c r="BI119" s="436"/>
      <c r="BJ119" s="436"/>
      <c r="BK119" s="436"/>
      <c r="BL119" s="436"/>
      <c r="BM119" s="436"/>
      <c r="BN119" s="436"/>
      <c r="BO119" s="436"/>
      <c r="BP119" s="436"/>
      <c r="BQ119" s="436"/>
      <c r="BR119" s="436"/>
      <c r="BS119" s="436"/>
      <c r="BT119" s="436"/>
      <c r="BU119" s="436"/>
      <c r="BV119" s="436"/>
      <c r="BW119" s="436"/>
      <c r="BX119" s="436"/>
      <c r="BY119" s="436"/>
      <c r="BZ119" s="436"/>
      <c r="CA119" s="436"/>
      <c r="CB119" s="436"/>
      <c r="CC119" s="440"/>
      <c r="CD119" s="439"/>
      <c r="CE119" s="436"/>
      <c r="CF119" s="436"/>
      <c r="CG119" s="436"/>
      <c r="CH119" s="436"/>
      <c r="CI119" s="436"/>
      <c r="CJ119" s="436"/>
      <c r="CK119" s="436"/>
      <c r="CL119" s="436"/>
      <c r="CM119" s="436"/>
      <c r="CN119" s="436"/>
      <c r="CO119" s="436"/>
      <c r="CP119" s="436"/>
      <c r="CQ119" s="436"/>
      <c r="CR119" s="436"/>
      <c r="CS119" s="436"/>
      <c r="CT119" s="436"/>
      <c r="CU119" s="436"/>
      <c r="CV119" s="436"/>
      <c r="CW119" s="436"/>
      <c r="CX119" s="436"/>
      <c r="CY119" s="436"/>
      <c r="CZ119" s="436"/>
      <c r="DA119" s="436"/>
      <c r="DB119" s="440"/>
      <c r="DC119" s="439"/>
      <c r="DD119" s="436"/>
      <c r="DE119" s="436"/>
      <c r="DF119" s="436"/>
      <c r="DG119" s="436"/>
      <c r="DH119" s="436"/>
      <c r="DI119" s="436"/>
      <c r="DJ119" s="436"/>
      <c r="DK119" s="436"/>
      <c r="DL119" s="436"/>
      <c r="DM119" s="436"/>
      <c r="DN119" s="436"/>
      <c r="DO119" s="436"/>
      <c r="DP119" s="436"/>
      <c r="DQ119" s="436"/>
      <c r="DR119" s="436"/>
      <c r="DS119" s="436"/>
      <c r="DT119" s="436"/>
      <c r="DU119" s="436"/>
      <c r="DV119" s="436"/>
      <c r="DW119" s="436"/>
      <c r="DX119" s="436"/>
      <c r="DY119" s="436"/>
      <c r="DZ119" s="436"/>
      <c r="EA119" s="440"/>
      <c r="EB119" s="439"/>
      <c r="EC119" s="436"/>
      <c r="ED119" s="436"/>
      <c r="EE119" s="436"/>
      <c r="EF119" s="436"/>
      <c r="EG119" s="436"/>
      <c r="EH119" s="436"/>
      <c r="EI119" s="436"/>
      <c r="EJ119" s="436"/>
      <c r="EK119" s="436"/>
      <c r="EL119" s="436"/>
      <c r="EM119" s="436"/>
      <c r="EN119" s="436"/>
      <c r="EO119" s="436"/>
      <c r="EP119" s="436"/>
      <c r="EQ119" s="436"/>
      <c r="ER119" s="436"/>
      <c r="ES119" s="436"/>
      <c r="ET119" s="436"/>
      <c r="EU119" s="436"/>
      <c r="EV119" s="436"/>
      <c r="EW119" s="436"/>
      <c r="EX119" s="436"/>
      <c r="EY119" s="436"/>
      <c r="EZ119" s="440"/>
      <c r="FA119" s="439"/>
      <c r="FB119" s="436"/>
      <c r="FC119" s="436"/>
      <c r="FD119" s="436"/>
      <c r="FE119" s="436"/>
      <c r="FF119" s="436"/>
      <c r="FG119" s="436"/>
      <c r="FH119" s="436"/>
      <c r="FI119" s="436"/>
      <c r="FJ119" s="436"/>
      <c r="FK119" s="436"/>
      <c r="FL119" s="436"/>
      <c r="FM119" s="436"/>
      <c r="FN119" s="436"/>
      <c r="FO119" s="436"/>
      <c r="FP119" s="436"/>
      <c r="FQ119" s="436"/>
      <c r="FR119" s="436"/>
      <c r="FS119" s="436"/>
      <c r="FT119" s="436"/>
      <c r="FU119" s="436"/>
      <c r="FV119" s="436"/>
      <c r="FW119" s="436"/>
      <c r="FX119" s="436"/>
      <c r="FY119" s="440"/>
      <c r="FZ119" s="439"/>
      <c r="GA119" s="436"/>
      <c r="GB119" s="436"/>
      <c r="GC119" s="436"/>
      <c r="GD119" s="436"/>
      <c r="GE119" s="436"/>
      <c r="GF119" s="436"/>
      <c r="GG119" s="436"/>
      <c r="GH119" s="436"/>
      <c r="GI119" s="436"/>
      <c r="GJ119" s="436"/>
      <c r="GK119" s="436"/>
      <c r="GL119" s="436"/>
      <c r="GM119" s="436"/>
      <c r="GN119" s="436"/>
      <c r="GO119" s="436"/>
      <c r="GP119" s="436"/>
      <c r="GQ119" s="436"/>
      <c r="GR119" s="436"/>
      <c r="GS119" s="436"/>
      <c r="GT119" s="436"/>
      <c r="GU119" s="436"/>
      <c r="GV119" s="436"/>
      <c r="GW119" s="436"/>
      <c r="GX119" s="440"/>
      <c r="GY119" s="439"/>
      <c r="GZ119" s="436"/>
      <c r="HA119" s="436"/>
      <c r="HB119" s="436"/>
      <c r="HC119" s="436"/>
      <c r="HD119" s="436"/>
      <c r="HE119" s="436"/>
      <c r="HF119" s="436"/>
      <c r="HG119" s="436"/>
      <c r="HH119" s="436"/>
      <c r="HI119" s="436"/>
      <c r="HJ119" s="436"/>
      <c r="HK119" s="436"/>
      <c r="HL119" s="436"/>
      <c r="HM119" s="436"/>
      <c r="HN119" s="436"/>
      <c r="HO119" s="436"/>
      <c r="HP119" s="436"/>
      <c r="HQ119" s="436"/>
      <c r="HR119" s="436"/>
      <c r="HS119" s="436"/>
      <c r="HT119" s="436"/>
      <c r="HU119" s="436"/>
      <c r="HV119" s="436"/>
      <c r="HW119" s="440"/>
    </row>
    <row r="120" spans="1:231" ht="24" customHeight="1">
      <c r="A120" s="439"/>
      <c r="B120" s="436"/>
      <c r="C120" s="43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40"/>
      <c r="AA120" s="436"/>
      <c r="AB120" s="436"/>
      <c r="AC120" s="436"/>
      <c r="AD120" s="436"/>
      <c r="AE120" s="436"/>
      <c r="AF120" s="439"/>
      <c r="AG120" s="436"/>
      <c r="AH120" s="436"/>
      <c r="AI120" s="436"/>
      <c r="AJ120" s="436"/>
      <c r="AK120" s="436"/>
      <c r="AL120" s="436"/>
      <c r="AM120" s="436"/>
      <c r="AN120" s="436"/>
      <c r="AO120" s="436"/>
      <c r="AP120" s="436"/>
      <c r="AQ120" s="436"/>
      <c r="AR120" s="436"/>
      <c r="AS120" s="436"/>
      <c r="AT120" s="436"/>
      <c r="AU120" s="436"/>
      <c r="AV120" s="436"/>
      <c r="AW120" s="436"/>
      <c r="AX120" s="436"/>
      <c r="AY120" s="436"/>
      <c r="AZ120" s="436"/>
      <c r="BA120" s="436"/>
      <c r="BB120" s="436"/>
      <c r="BC120" s="436"/>
      <c r="BD120" s="440"/>
      <c r="BE120" s="439"/>
      <c r="BF120" s="436"/>
      <c r="BG120" s="436"/>
      <c r="BH120" s="436"/>
      <c r="BI120" s="436"/>
      <c r="BJ120" s="436"/>
      <c r="BK120" s="436"/>
      <c r="BL120" s="436"/>
      <c r="BM120" s="436"/>
      <c r="BN120" s="436"/>
      <c r="BO120" s="436"/>
      <c r="BP120" s="436"/>
      <c r="BQ120" s="436"/>
      <c r="BR120" s="436"/>
      <c r="BS120" s="436"/>
      <c r="BT120" s="436"/>
      <c r="BU120" s="436"/>
      <c r="BV120" s="436"/>
      <c r="BW120" s="436"/>
      <c r="BX120" s="436"/>
      <c r="BY120" s="436"/>
      <c r="BZ120" s="436"/>
      <c r="CA120" s="436"/>
      <c r="CB120" s="436"/>
      <c r="CC120" s="440"/>
      <c r="CD120" s="439"/>
      <c r="CE120" s="436"/>
      <c r="CF120" s="436"/>
      <c r="CG120" s="436"/>
      <c r="CH120" s="436"/>
      <c r="CI120" s="436"/>
      <c r="CJ120" s="436"/>
      <c r="CK120" s="436"/>
      <c r="CL120" s="436"/>
      <c r="CM120" s="436"/>
      <c r="CN120" s="436"/>
      <c r="CO120" s="436"/>
      <c r="CP120" s="436"/>
      <c r="CQ120" s="436"/>
      <c r="CR120" s="436"/>
      <c r="CS120" s="436"/>
      <c r="CT120" s="436"/>
      <c r="CU120" s="436"/>
      <c r="CV120" s="436"/>
      <c r="CW120" s="436"/>
      <c r="CX120" s="436"/>
      <c r="CY120" s="436"/>
      <c r="CZ120" s="436"/>
      <c r="DA120" s="436"/>
      <c r="DB120" s="440"/>
      <c r="DC120" s="439"/>
      <c r="DD120" s="436"/>
      <c r="DE120" s="436"/>
      <c r="DF120" s="436"/>
      <c r="DG120" s="436"/>
      <c r="DH120" s="436"/>
      <c r="DI120" s="436"/>
      <c r="DJ120" s="436"/>
      <c r="DK120" s="436"/>
      <c r="DL120" s="436"/>
      <c r="DM120" s="436"/>
      <c r="DN120" s="436"/>
      <c r="DO120" s="436"/>
      <c r="DP120" s="436"/>
      <c r="DQ120" s="436"/>
      <c r="DR120" s="436"/>
      <c r="DS120" s="436"/>
      <c r="DT120" s="436"/>
      <c r="DU120" s="436"/>
      <c r="DV120" s="436"/>
      <c r="DW120" s="436"/>
      <c r="DX120" s="436"/>
      <c r="DY120" s="436"/>
      <c r="DZ120" s="436"/>
      <c r="EA120" s="440"/>
      <c r="EB120" s="439"/>
      <c r="EC120" s="436"/>
      <c r="ED120" s="436"/>
      <c r="EE120" s="436"/>
      <c r="EF120" s="436"/>
      <c r="EG120" s="436"/>
      <c r="EH120" s="436"/>
      <c r="EI120" s="436"/>
      <c r="EJ120" s="436"/>
      <c r="EK120" s="436"/>
      <c r="EL120" s="436"/>
      <c r="EM120" s="436"/>
      <c r="EN120" s="436"/>
      <c r="EO120" s="436"/>
      <c r="EP120" s="436"/>
      <c r="EQ120" s="436"/>
      <c r="ER120" s="436"/>
      <c r="ES120" s="436"/>
      <c r="ET120" s="436"/>
      <c r="EU120" s="436"/>
      <c r="EV120" s="436"/>
      <c r="EW120" s="436"/>
      <c r="EX120" s="436"/>
      <c r="EY120" s="436"/>
      <c r="EZ120" s="440"/>
      <c r="FA120" s="439"/>
      <c r="FB120" s="436"/>
      <c r="FC120" s="436"/>
      <c r="FD120" s="436"/>
      <c r="FE120" s="436"/>
      <c r="FF120" s="436"/>
      <c r="FG120" s="436"/>
      <c r="FH120" s="436"/>
      <c r="FI120" s="436"/>
      <c r="FJ120" s="436"/>
      <c r="FK120" s="436"/>
      <c r="FL120" s="436"/>
      <c r="FM120" s="436"/>
      <c r="FN120" s="436"/>
      <c r="FO120" s="436"/>
      <c r="FP120" s="436"/>
      <c r="FQ120" s="436"/>
      <c r="FR120" s="436"/>
      <c r="FS120" s="436"/>
      <c r="FT120" s="436"/>
      <c r="FU120" s="436"/>
      <c r="FV120" s="436"/>
      <c r="FW120" s="436"/>
      <c r="FX120" s="436"/>
      <c r="FY120" s="440"/>
      <c r="FZ120" s="439"/>
      <c r="GA120" s="436"/>
      <c r="GB120" s="436"/>
      <c r="GC120" s="436"/>
      <c r="GD120" s="436"/>
      <c r="GE120" s="436"/>
      <c r="GF120" s="436"/>
      <c r="GG120" s="436"/>
      <c r="GH120" s="436"/>
      <c r="GI120" s="436"/>
      <c r="GJ120" s="436"/>
      <c r="GK120" s="436"/>
      <c r="GL120" s="436"/>
      <c r="GM120" s="436"/>
      <c r="GN120" s="436"/>
      <c r="GO120" s="436"/>
      <c r="GP120" s="436"/>
      <c r="GQ120" s="436"/>
      <c r="GR120" s="436"/>
      <c r="GS120" s="436"/>
      <c r="GT120" s="436"/>
      <c r="GU120" s="436"/>
      <c r="GV120" s="436"/>
      <c r="GW120" s="436"/>
      <c r="GX120" s="440"/>
      <c r="GY120" s="439"/>
      <c r="GZ120" s="436"/>
      <c r="HA120" s="436"/>
      <c r="HB120" s="436"/>
      <c r="HC120" s="436"/>
      <c r="HD120" s="436"/>
      <c r="HE120" s="436"/>
      <c r="HF120" s="436"/>
      <c r="HG120" s="436"/>
      <c r="HH120" s="436"/>
      <c r="HI120" s="436"/>
      <c r="HJ120" s="436"/>
      <c r="HK120" s="436"/>
      <c r="HL120" s="436"/>
      <c r="HM120" s="436"/>
      <c r="HN120" s="436"/>
      <c r="HO120" s="436"/>
      <c r="HP120" s="436"/>
      <c r="HQ120" s="436"/>
      <c r="HR120" s="436"/>
      <c r="HS120" s="436"/>
      <c r="HT120" s="436"/>
      <c r="HU120" s="436"/>
      <c r="HV120" s="436"/>
      <c r="HW120" s="440"/>
    </row>
    <row r="121" spans="1:231" ht="24" customHeight="1">
      <c r="A121" s="439"/>
      <c r="B121" s="436"/>
      <c r="C121" s="43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40"/>
      <c r="AA121" s="436"/>
      <c r="AB121" s="436"/>
      <c r="AC121" s="436"/>
      <c r="AD121" s="436"/>
      <c r="AE121" s="436"/>
      <c r="AF121" s="439"/>
      <c r="AG121" s="436"/>
      <c r="AH121" s="436"/>
      <c r="AI121" s="436"/>
      <c r="AJ121" s="436"/>
      <c r="AK121" s="436"/>
      <c r="AL121" s="436"/>
      <c r="AM121" s="436"/>
      <c r="AN121" s="436"/>
      <c r="AO121" s="436"/>
      <c r="AP121" s="436"/>
      <c r="AQ121" s="436"/>
      <c r="AR121" s="436"/>
      <c r="AS121" s="436"/>
      <c r="AT121" s="436"/>
      <c r="AU121" s="436"/>
      <c r="AV121" s="436"/>
      <c r="AW121" s="436"/>
      <c r="AX121" s="436"/>
      <c r="AY121" s="436"/>
      <c r="AZ121" s="436"/>
      <c r="BA121" s="436"/>
      <c r="BB121" s="436"/>
      <c r="BC121" s="436"/>
      <c r="BD121" s="440"/>
      <c r="BE121" s="439"/>
      <c r="BF121" s="436"/>
      <c r="BG121" s="436"/>
      <c r="BH121" s="436"/>
      <c r="BI121" s="436"/>
      <c r="BJ121" s="436"/>
      <c r="BK121" s="436"/>
      <c r="BL121" s="436"/>
      <c r="BM121" s="436"/>
      <c r="BN121" s="436"/>
      <c r="BO121" s="436"/>
      <c r="BP121" s="436"/>
      <c r="BQ121" s="436"/>
      <c r="BR121" s="436"/>
      <c r="BS121" s="436"/>
      <c r="BT121" s="436"/>
      <c r="BU121" s="436"/>
      <c r="BV121" s="436"/>
      <c r="BW121" s="436"/>
      <c r="BX121" s="436"/>
      <c r="BY121" s="436"/>
      <c r="BZ121" s="436"/>
      <c r="CA121" s="436"/>
      <c r="CB121" s="436"/>
      <c r="CC121" s="440"/>
      <c r="CD121" s="439"/>
      <c r="CE121" s="436"/>
      <c r="CF121" s="436"/>
      <c r="CG121" s="436"/>
      <c r="CH121" s="436"/>
      <c r="CI121" s="436"/>
      <c r="CJ121" s="436"/>
      <c r="CK121" s="436"/>
      <c r="CL121" s="436"/>
      <c r="CM121" s="436"/>
      <c r="CN121" s="436"/>
      <c r="CO121" s="436"/>
      <c r="CP121" s="436"/>
      <c r="CQ121" s="436"/>
      <c r="CR121" s="436"/>
      <c r="CS121" s="436"/>
      <c r="CT121" s="436"/>
      <c r="CU121" s="436"/>
      <c r="CV121" s="436"/>
      <c r="CW121" s="436"/>
      <c r="CX121" s="436"/>
      <c r="CY121" s="436"/>
      <c r="CZ121" s="436"/>
      <c r="DA121" s="436"/>
      <c r="DB121" s="440"/>
      <c r="DC121" s="439"/>
      <c r="DD121" s="436"/>
      <c r="DE121" s="436"/>
      <c r="DF121" s="436"/>
      <c r="DG121" s="436"/>
      <c r="DH121" s="436"/>
      <c r="DI121" s="436"/>
      <c r="DJ121" s="436"/>
      <c r="DK121" s="436"/>
      <c r="DL121" s="436"/>
      <c r="DM121" s="436"/>
      <c r="DN121" s="436"/>
      <c r="DO121" s="436"/>
      <c r="DP121" s="436"/>
      <c r="DQ121" s="436"/>
      <c r="DR121" s="436"/>
      <c r="DS121" s="436"/>
      <c r="DT121" s="436"/>
      <c r="DU121" s="436"/>
      <c r="DV121" s="436"/>
      <c r="DW121" s="436"/>
      <c r="DX121" s="436"/>
      <c r="DY121" s="436"/>
      <c r="DZ121" s="436"/>
      <c r="EA121" s="440"/>
      <c r="EB121" s="439"/>
      <c r="EC121" s="436"/>
      <c r="ED121" s="436"/>
      <c r="EE121" s="436"/>
      <c r="EF121" s="436"/>
      <c r="EG121" s="436"/>
      <c r="EH121" s="436"/>
      <c r="EI121" s="436"/>
      <c r="EJ121" s="436"/>
      <c r="EK121" s="436"/>
      <c r="EL121" s="436"/>
      <c r="EM121" s="436"/>
      <c r="EN121" s="436"/>
      <c r="EO121" s="436"/>
      <c r="EP121" s="436"/>
      <c r="EQ121" s="436"/>
      <c r="ER121" s="436"/>
      <c r="ES121" s="436"/>
      <c r="ET121" s="436"/>
      <c r="EU121" s="436"/>
      <c r="EV121" s="436"/>
      <c r="EW121" s="436"/>
      <c r="EX121" s="436"/>
      <c r="EY121" s="436"/>
      <c r="EZ121" s="440"/>
      <c r="FA121" s="439"/>
      <c r="FB121" s="436"/>
      <c r="FC121" s="436"/>
      <c r="FD121" s="436"/>
      <c r="FE121" s="436"/>
      <c r="FF121" s="436"/>
      <c r="FG121" s="436"/>
      <c r="FH121" s="436"/>
      <c r="FI121" s="436"/>
      <c r="FJ121" s="436"/>
      <c r="FK121" s="436"/>
      <c r="FL121" s="436"/>
      <c r="FM121" s="436"/>
      <c r="FN121" s="436"/>
      <c r="FO121" s="436"/>
      <c r="FP121" s="436"/>
      <c r="FQ121" s="436"/>
      <c r="FR121" s="436"/>
      <c r="FS121" s="436"/>
      <c r="FT121" s="436"/>
      <c r="FU121" s="436"/>
      <c r="FV121" s="436"/>
      <c r="FW121" s="436"/>
      <c r="FX121" s="436"/>
      <c r="FY121" s="440"/>
      <c r="FZ121" s="439"/>
      <c r="GA121" s="436"/>
      <c r="GB121" s="436"/>
      <c r="GC121" s="436"/>
      <c r="GD121" s="436"/>
      <c r="GE121" s="436"/>
      <c r="GF121" s="436"/>
      <c r="GG121" s="436"/>
      <c r="GH121" s="436"/>
      <c r="GI121" s="436"/>
      <c r="GJ121" s="436"/>
      <c r="GK121" s="436"/>
      <c r="GL121" s="436"/>
      <c r="GM121" s="436"/>
      <c r="GN121" s="436"/>
      <c r="GO121" s="436"/>
      <c r="GP121" s="436"/>
      <c r="GQ121" s="436"/>
      <c r="GR121" s="436"/>
      <c r="GS121" s="436"/>
      <c r="GT121" s="436"/>
      <c r="GU121" s="436"/>
      <c r="GV121" s="436"/>
      <c r="GW121" s="436"/>
      <c r="GX121" s="440"/>
      <c r="GY121" s="439"/>
      <c r="GZ121" s="436"/>
      <c r="HA121" s="436"/>
      <c r="HB121" s="436"/>
      <c r="HC121" s="436"/>
      <c r="HD121" s="436"/>
      <c r="HE121" s="436"/>
      <c r="HF121" s="436"/>
      <c r="HG121" s="436"/>
      <c r="HH121" s="436"/>
      <c r="HI121" s="436"/>
      <c r="HJ121" s="436"/>
      <c r="HK121" s="436"/>
      <c r="HL121" s="436"/>
      <c r="HM121" s="436"/>
      <c r="HN121" s="436"/>
      <c r="HO121" s="436"/>
      <c r="HP121" s="436"/>
      <c r="HQ121" s="436"/>
      <c r="HR121" s="436"/>
      <c r="HS121" s="436"/>
      <c r="HT121" s="436"/>
      <c r="HU121" s="436"/>
      <c r="HV121" s="436"/>
      <c r="HW121" s="440"/>
    </row>
    <row r="122" spans="1:231" ht="24" customHeight="1">
      <c r="A122" s="439"/>
      <c r="B122" s="436"/>
      <c r="C122" s="43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40"/>
      <c r="AA122" s="436"/>
      <c r="AB122" s="436"/>
      <c r="AC122" s="436"/>
      <c r="AD122" s="436"/>
      <c r="AE122" s="436"/>
      <c r="AF122" s="439"/>
      <c r="AG122" s="436"/>
      <c r="AH122" s="436"/>
      <c r="AI122" s="436"/>
      <c r="AJ122" s="436"/>
      <c r="AK122" s="436"/>
      <c r="AL122" s="436"/>
      <c r="AM122" s="436"/>
      <c r="AN122" s="436"/>
      <c r="AO122" s="436"/>
      <c r="AP122" s="436"/>
      <c r="AQ122" s="436"/>
      <c r="AR122" s="436"/>
      <c r="AS122" s="436"/>
      <c r="AT122" s="436"/>
      <c r="AU122" s="436"/>
      <c r="AV122" s="436"/>
      <c r="AW122" s="436"/>
      <c r="AX122" s="436"/>
      <c r="AY122" s="436"/>
      <c r="AZ122" s="436"/>
      <c r="BA122" s="436"/>
      <c r="BB122" s="436"/>
      <c r="BC122" s="436"/>
      <c r="BD122" s="440"/>
      <c r="BE122" s="439"/>
      <c r="BF122" s="436"/>
      <c r="BG122" s="436"/>
      <c r="BH122" s="436"/>
      <c r="BI122" s="436"/>
      <c r="BJ122" s="436"/>
      <c r="BK122" s="436"/>
      <c r="BL122" s="436"/>
      <c r="BM122" s="436"/>
      <c r="BN122" s="436"/>
      <c r="BO122" s="436"/>
      <c r="BP122" s="436"/>
      <c r="BQ122" s="436"/>
      <c r="BR122" s="436"/>
      <c r="BS122" s="436"/>
      <c r="BT122" s="436"/>
      <c r="BU122" s="436"/>
      <c r="BV122" s="436"/>
      <c r="BW122" s="436"/>
      <c r="BX122" s="436"/>
      <c r="BY122" s="436"/>
      <c r="BZ122" s="436"/>
      <c r="CA122" s="436"/>
      <c r="CB122" s="436"/>
      <c r="CC122" s="440"/>
      <c r="CD122" s="439"/>
      <c r="CE122" s="436"/>
      <c r="CF122" s="436"/>
      <c r="CG122" s="436"/>
      <c r="CH122" s="436"/>
      <c r="CI122" s="436"/>
      <c r="CJ122" s="436"/>
      <c r="CK122" s="436"/>
      <c r="CL122" s="436"/>
      <c r="CM122" s="436"/>
      <c r="CN122" s="436"/>
      <c r="CO122" s="436"/>
      <c r="CP122" s="436"/>
      <c r="CQ122" s="436"/>
      <c r="CR122" s="436"/>
      <c r="CS122" s="436"/>
      <c r="CT122" s="436"/>
      <c r="CU122" s="436"/>
      <c r="CV122" s="436"/>
      <c r="CW122" s="436"/>
      <c r="CX122" s="436"/>
      <c r="CY122" s="436"/>
      <c r="CZ122" s="436"/>
      <c r="DA122" s="436"/>
      <c r="DB122" s="440"/>
      <c r="DC122" s="439"/>
      <c r="DD122" s="436"/>
      <c r="DE122" s="436"/>
      <c r="DF122" s="436"/>
      <c r="DG122" s="436"/>
      <c r="DH122" s="436"/>
      <c r="DI122" s="436"/>
      <c r="DJ122" s="436"/>
      <c r="DK122" s="436"/>
      <c r="DL122" s="436"/>
      <c r="DM122" s="436"/>
      <c r="DN122" s="436"/>
      <c r="DO122" s="436"/>
      <c r="DP122" s="436"/>
      <c r="DQ122" s="436"/>
      <c r="DR122" s="436"/>
      <c r="DS122" s="436"/>
      <c r="DT122" s="436"/>
      <c r="DU122" s="436"/>
      <c r="DV122" s="436"/>
      <c r="DW122" s="436"/>
      <c r="DX122" s="436"/>
      <c r="DY122" s="436"/>
      <c r="DZ122" s="436"/>
      <c r="EA122" s="440"/>
      <c r="EB122" s="439"/>
      <c r="EC122" s="436"/>
      <c r="ED122" s="436"/>
      <c r="EE122" s="436"/>
      <c r="EF122" s="436"/>
      <c r="EG122" s="436"/>
      <c r="EH122" s="436"/>
      <c r="EI122" s="436"/>
      <c r="EJ122" s="436"/>
      <c r="EK122" s="436"/>
      <c r="EL122" s="436"/>
      <c r="EM122" s="436"/>
      <c r="EN122" s="436"/>
      <c r="EO122" s="436"/>
      <c r="EP122" s="436"/>
      <c r="EQ122" s="436"/>
      <c r="ER122" s="436"/>
      <c r="ES122" s="436"/>
      <c r="ET122" s="436"/>
      <c r="EU122" s="436"/>
      <c r="EV122" s="436"/>
      <c r="EW122" s="436"/>
      <c r="EX122" s="436"/>
      <c r="EY122" s="436"/>
      <c r="EZ122" s="440"/>
      <c r="FA122" s="439"/>
      <c r="FB122" s="436"/>
      <c r="FC122" s="436"/>
      <c r="FD122" s="436"/>
      <c r="FE122" s="436"/>
      <c r="FF122" s="436"/>
      <c r="FG122" s="436"/>
      <c r="FH122" s="436"/>
      <c r="FI122" s="436"/>
      <c r="FJ122" s="436"/>
      <c r="FK122" s="436"/>
      <c r="FL122" s="436"/>
      <c r="FM122" s="436"/>
      <c r="FN122" s="436"/>
      <c r="FO122" s="436"/>
      <c r="FP122" s="436"/>
      <c r="FQ122" s="436"/>
      <c r="FR122" s="436"/>
      <c r="FS122" s="436"/>
      <c r="FT122" s="436"/>
      <c r="FU122" s="436"/>
      <c r="FV122" s="436"/>
      <c r="FW122" s="436"/>
      <c r="FX122" s="436"/>
      <c r="FY122" s="440"/>
      <c r="FZ122" s="439"/>
      <c r="GA122" s="436"/>
      <c r="GB122" s="436"/>
      <c r="GC122" s="436"/>
      <c r="GD122" s="436"/>
      <c r="GE122" s="436"/>
      <c r="GF122" s="436"/>
      <c r="GG122" s="436"/>
      <c r="GH122" s="436"/>
      <c r="GI122" s="436"/>
      <c r="GJ122" s="436"/>
      <c r="GK122" s="436"/>
      <c r="GL122" s="436"/>
      <c r="GM122" s="436"/>
      <c r="GN122" s="436"/>
      <c r="GO122" s="436"/>
      <c r="GP122" s="436"/>
      <c r="GQ122" s="436"/>
      <c r="GR122" s="436"/>
      <c r="GS122" s="436"/>
      <c r="GT122" s="436"/>
      <c r="GU122" s="436"/>
      <c r="GV122" s="436"/>
      <c r="GW122" s="436"/>
      <c r="GX122" s="440"/>
      <c r="GY122" s="439"/>
      <c r="GZ122" s="436"/>
      <c r="HA122" s="436"/>
      <c r="HB122" s="436"/>
      <c r="HC122" s="436"/>
      <c r="HD122" s="436"/>
      <c r="HE122" s="436"/>
      <c r="HF122" s="436"/>
      <c r="HG122" s="436"/>
      <c r="HH122" s="436"/>
      <c r="HI122" s="436"/>
      <c r="HJ122" s="436"/>
      <c r="HK122" s="436"/>
      <c r="HL122" s="436"/>
      <c r="HM122" s="436"/>
      <c r="HN122" s="436"/>
      <c r="HO122" s="436"/>
      <c r="HP122" s="436"/>
      <c r="HQ122" s="436"/>
      <c r="HR122" s="436"/>
      <c r="HS122" s="436"/>
      <c r="HT122" s="436"/>
      <c r="HU122" s="436"/>
      <c r="HV122" s="436"/>
      <c r="HW122" s="440"/>
    </row>
    <row r="123" spans="1:231" ht="24" customHeight="1">
      <c r="A123" s="439"/>
      <c r="B123" s="436"/>
      <c r="C123" s="43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40"/>
      <c r="AA123" s="436"/>
      <c r="AB123" s="436"/>
      <c r="AC123" s="436"/>
      <c r="AD123" s="436"/>
      <c r="AE123" s="436"/>
      <c r="AF123" s="439"/>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40"/>
      <c r="BE123" s="439"/>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40"/>
      <c r="CD123" s="439"/>
      <c r="CE123" s="436"/>
      <c r="CF123" s="436"/>
      <c r="CG123" s="436"/>
      <c r="CH123" s="436"/>
      <c r="CI123" s="436"/>
      <c r="CJ123" s="436"/>
      <c r="CK123" s="436"/>
      <c r="CL123" s="436"/>
      <c r="CM123" s="436"/>
      <c r="CN123" s="436"/>
      <c r="CO123" s="436"/>
      <c r="CP123" s="436"/>
      <c r="CQ123" s="436"/>
      <c r="CR123" s="436"/>
      <c r="CS123" s="436"/>
      <c r="CT123" s="436"/>
      <c r="CU123" s="436"/>
      <c r="CV123" s="436"/>
      <c r="CW123" s="436"/>
      <c r="CX123" s="436"/>
      <c r="CY123" s="436"/>
      <c r="CZ123" s="436"/>
      <c r="DA123" s="436"/>
      <c r="DB123" s="440"/>
      <c r="DC123" s="439"/>
      <c r="DD123" s="436"/>
      <c r="DE123" s="436"/>
      <c r="DF123" s="436"/>
      <c r="DG123" s="436"/>
      <c r="DH123" s="436"/>
      <c r="DI123" s="436"/>
      <c r="DJ123" s="436"/>
      <c r="DK123" s="436"/>
      <c r="DL123" s="436"/>
      <c r="DM123" s="436"/>
      <c r="DN123" s="436"/>
      <c r="DO123" s="436"/>
      <c r="DP123" s="436"/>
      <c r="DQ123" s="436"/>
      <c r="DR123" s="436"/>
      <c r="DS123" s="436"/>
      <c r="DT123" s="436"/>
      <c r="DU123" s="436"/>
      <c r="DV123" s="436"/>
      <c r="DW123" s="436"/>
      <c r="DX123" s="436"/>
      <c r="DY123" s="436"/>
      <c r="DZ123" s="436"/>
      <c r="EA123" s="440"/>
      <c r="EB123" s="439"/>
      <c r="EC123" s="436"/>
      <c r="ED123" s="436"/>
      <c r="EE123" s="436"/>
      <c r="EF123" s="436"/>
      <c r="EG123" s="436"/>
      <c r="EH123" s="436"/>
      <c r="EI123" s="436"/>
      <c r="EJ123" s="436"/>
      <c r="EK123" s="436"/>
      <c r="EL123" s="436"/>
      <c r="EM123" s="436"/>
      <c r="EN123" s="436"/>
      <c r="EO123" s="436"/>
      <c r="EP123" s="436"/>
      <c r="EQ123" s="436"/>
      <c r="ER123" s="436"/>
      <c r="ES123" s="436"/>
      <c r="ET123" s="436"/>
      <c r="EU123" s="436"/>
      <c r="EV123" s="436"/>
      <c r="EW123" s="436"/>
      <c r="EX123" s="436"/>
      <c r="EY123" s="436"/>
      <c r="EZ123" s="440"/>
      <c r="FA123" s="439"/>
      <c r="FB123" s="436"/>
      <c r="FC123" s="436"/>
      <c r="FD123" s="436"/>
      <c r="FE123" s="436"/>
      <c r="FF123" s="436"/>
      <c r="FG123" s="436"/>
      <c r="FH123" s="436"/>
      <c r="FI123" s="436"/>
      <c r="FJ123" s="436"/>
      <c r="FK123" s="436"/>
      <c r="FL123" s="436"/>
      <c r="FM123" s="436"/>
      <c r="FN123" s="436"/>
      <c r="FO123" s="436"/>
      <c r="FP123" s="436"/>
      <c r="FQ123" s="436"/>
      <c r="FR123" s="436"/>
      <c r="FS123" s="436"/>
      <c r="FT123" s="436"/>
      <c r="FU123" s="436"/>
      <c r="FV123" s="436"/>
      <c r="FW123" s="436"/>
      <c r="FX123" s="436"/>
      <c r="FY123" s="440"/>
      <c r="FZ123" s="439"/>
      <c r="GA123" s="436"/>
      <c r="GB123" s="436"/>
      <c r="GC123" s="436"/>
      <c r="GD123" s="436"/>
      <c r="GE123" s="436"/>
      <c r="GF123" s="436"/>
      <c r="GG123" s="436"/>
      <c r="GH123" s="436"/>
      <c r="GI123" s="436"/>
      <c r="GJ123" s="436"/>
      <c r="GK123" s="436"/>
      <c r="GL123" s="436"/>
      <c r="GM123" s="436"/>
      <c r="GN123" s="436"/>
      <c r="GO123" s="436"/>
      <c r="GP123" s="436"/>
      <c r="GQ123" s="436"/>
      <c r="GR123" s="436"/>
      <c r="GS123" s="436"/>
      <c r="GT123" s="436"/>
      <c r="GU123" s="436"/>
      <c r="GV123" s="436"/>
      <c r="GW123" s="436"/>
      <c r="GX123" s="440"/>
      <c r="GY123" s="439"/>
      <c r="GZ123" s="436"/>
      <c r="HA123" s="436"/>
      <c r="HB123" s="436"/>
      <c r="HC123" s="436"/>
      <c r="HD123" s="436"/>
      <c r="HE123" s="436"/>
      <c r="HF123" s="436"/>
      <c r="HG123" s="436"/>
      <c r="HH123" s="436"/>
      <c r="HI123" s="436"/>
      <c r="HJ123" s="436"/>
      <c r="HK123" s="436"/>
      <c r="HL123" s="436"/>
      <c r="HM123" s="436"/>
      <c r="HN123" s="436"/>
      <c r="HO123" s="436"/>
      <c r="HP123" s="436"/>
      <c r="HQ123" s="436"/>
      <c r="HR123" s="436"/>
      <c r="HS123" s="436"/>
      <c r="HT123" s="436"/>
      <c r="HU123" s="436"/>
      <c r="HV123" s="436"/>
      <c r="HW123" s="440"/>
    </row>
    <row r="124" spans="1:231" ht="24" customHeight="1">
      <c r="A124" s="439"/>
      <c r="B124" s="436"/>
      <c r="C124" s="43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40"/>
      <c r="AA124" s="436"/>
      <c r="AB124" s="436"/>
      <c r="AC124" s="436"/>
      <c r="AD124" s="436"/>
      <c r="AE124" s="436"/>
      <c r="AF124" s="439"/>
      <c r="AG124" s="436"/>
      <c r="AH124" s="436"/>
      <c r="AI124" s="436"/>
      <c r="AJ124" s="436"/>
      <c r="AK124" s="436"/>
      <c r="AL124" s="436"/>
      <c r="AM124" s="436"/>
      <c r="AN124" s="436"/>
      <c r="AO124" s="436"/>
      <c r="AP124" s="436"/>
      <c r="AQ124" s="436"/>
      <c r="AR124" s="436"/>
      <c r="AS124" s="436"/>
      <c r="AT124" s="436"/>
      <c r="AU124" s="436"/>
      <c r="AV124" s="436"/>
      <c r="AW124" s="436"/>
      <c r="AX124" s="436"/>
      <c r="AY124" s="436"/>
      <c r="AZ124" s="436"/>
      <c r="BA124" s="436"/>
      <c r="BB124" s="436"/>
      <c r="BC124" s="436"/>
      <c r="BD124" s="440"/>
      <c r="BE124" s="439"/>
      <c r="BF124" s="436"/>
      <c r="BG124" s="436"/>
      <c r="BH124" s="436"/>
      <c r="BI124" s="436"/>
      <c r="BJ124" s="436"/>
      <c r="BK124" s="436"/>
      <c r="BL124" s="436"/>
      <c r="BM124" s="436"/>
      <c r="BN124" s="436"/>
      <c r="BO124" s="436"/>
      <c r="BP124" s="436"/>
      <c r="BQ124" s="436"/>
      <c r="BR124" s="436"/>
      <c r="BS124" s="436"/>
      <c r="BT124" s="436"/>
      <c r="BU124" s="436"/>
      <c r="BV124" s="436"/>
      <c r="BW124" s="436"/>
      <c r="BX124" s="436"/>
      <c r="BY124" s="436"/>
      <c r="BZ124" s="436"/>
      <c r="CA124" s="436"/>
      <c r="CB124" s="436"/>
      <c r="CC124" s="440"/>
      <c r="CD124" s="439"/>
      <c r="CE124" s="436"/>
      <c r="CF124" s="436"/>
      <c r="CG124" s="436"/>
      <c r="CH124" s="436"/>
      <c r="CI124" s="436"/>
      <c r="CJ124" s="436"/>
      <c r="CK124" s="436"/>
      <c r="CL124" s="436"/>
      <c r="CM124" s="436"/>
      <c r="CN124" s="436"/>
      <c r="CO124" s="436"/>
      <c r="CP124" s="436"/>
      <c r="CQ124" s="436"/>
      <c r="CR124" s="436"/>
      <c r="CS124" s="436"/>
      <c r="CT124" s="436"/>
      <c r="CU124" s="436"/>
      <c r="CV124" s="436"/>
      <c r="CW124" s="436"/>
      <c r="CX124" s="436"/>
      <c r="CY124" s="436"/>
      <c r="CZ124" s="436"/>
      <c r="DA124" s="436"/>
      <c r="DB124" s="440"/>
      <c r="DC124" s="439"/>
      <c r="DD124" s="436"/>
      <c r="DE124" s="436"/>
      <c r="DF124" s="436"/>
      <c r="DG124" s="436"/>
      <c r="DH124" s="436"/>
      <c r="DI124" s="436"/>
      <c r="DJ124" s="436"/>
      <c r="DK124" s="436"/>
      <c r="DL124" s="436"/>
      <c r="DM124" s="436"/>
      <c r="DN124" s="436"/>
      <c r="DO124" s="436"/>
      <c r="DP124" s="436"/>
      <c r="DQ124" s="436"/>
      <c r="DR124" s="436"/>
      <c r="DS124" s="436"/>
      <c r="DT124" s="436"/>
      <c r="DU124" s="436"/>
      <c r="DV124" s="436"/>
      <c r="DW124" s="436"/>
      <c r="DX124" s="436"/>
      <c r="DY124" s="436"/>
      <c r="DZ124" s="436"/>
      <c r="EA124" s="440"/>
      <c r="EB124" s="439"/>
      <c r="EC124" s="436"/>
      <c r="ED124" s="436"/>
      <c r="EE124" s="436"/>
      <c r="EF124" s="436"/>
      <c r="EG124" s="436"/>
      <c r="EH124" s="436"/>
      <c r="EI124" s="436"/>
      <c r="EJ124" s="436"/>
      <c r="EK124" s="436"/>
      <c r="EL124" s="436"/>
      <c r="EM124" s="436"/>
      <c r="EN124" s="436"/>
      <c r="EO124" s="436"/>
      <c r="EP124" s="436"/>
      <c r="EQ124" s="436"/>
      <c r="ER124" s="436"/>
      <c r="ES124" s="436"/>
      <c r="ET124" s="436"/>
      <c r="EU124" s="436"/>
      <c r="EV124" s="436"/>
      <c r="EW124" s="436"/>
      <c r="EX124" s="436"/>
      <c r="EY124" s="436"/>
      <c r="EZ124" s="440"/>
      <c r="FA124" s="439"/>
      <c r="FB124" s="436"/>
      <c r="FC124" s="436"/>
      <c r="FD124" s="436"/>
      <c r="FE124" s="436"/>
      <c r="FF124" s="436"/>
      <c r="FG124" s="436"/>
      <c r="FH124" s="436"/>
      <c r="FI124" s="436"/>
      <c r="FJ124" s="436"/>
      <c r="FK124" s="436"/>
      <c r="FL124" s="436"/>
      <c r="FM124" s="436"/>
      <c r="FN124" s="436"/>
      <c r="FO124" s="436"/>
      <c r="FP124" s="436"/>
      <c r="FQ124" s="436"/>
      <c r="FR124" s="436"/>
      <c r="FS124" s="436"/>
      <c r="FT124" s="436"/>
      <c r="FU124" s="436"/>
      <c r="FV124" s="436"/>
      <c r="FW124" s="436"/>
      <c r="FX124" s="436"/>
      <c r="FY124" s="440"/>
      <c r="FZ124" s="439"/>
      <c r="GA124" s="436"/>
      <c r="GB124" s="436"/>
      <c r="GC124" s="436"/>
      <c r="GD124" s="436"/>
      <c r="GE124" s="436"/>
      <c r="GF124" s="436"/>
      <c r="GG124" s="436"/>
      <c r="GH124" s="436"/>
      <c r="GI124" s="436"/>
      <c r="GJ124" s="436"/>
      <c r="GK124" s="436"/>
      <c r="GL124" s="436"/>
      <c r="GM124" s="436"/>
      <c r="GN124" s="436"/>
      <c r="GO124" s="436"/>
      <c r="GP124" s="436"/>
      <c r="GQ124" s="436"/>
      <c r="GR124" s="436"/>
      <c r="GS124" s="436"/>
      <c r="GT124" s="436"/>
      <c r="GU124" s="436"/>
      <c r="GV124" s="436"/>
      <c r="GW124" s="436"/>
      <c r="GX124" s="440"/>
      <c r="GY124" s="439"/>
      <c r="GZ124" s="436"/>
      <c r="HA124" s="436"/>
      <c r="HB124" s="436"/>
      <c r="HC124" s="436"/>
      <c r="HD124" s="436"/>
      <c r="HE124" s="436"/>
      <c r="HF124" s="436"/>
      <c r="HG124" s="436"/>
      <c r="HH124" s="436"/>
      <c r="HI124" s="436"/>
      <c r="HJ124" s="436"/>
      <c r="HK124" s="436"/>
      <c r="HL124" s="436"/>
      <c r="HM124" s="436"/>
      <c r="HN124" s="436"/>
      <c r="HO124" s="436"/>
      <c r="HP124" s="436"/>
      <c r="HQ124" s="436"/>
      <c r="HR124" s="436"/>
      <c r="HS124" s="436"/>
      <c r="HT124" s="436"/>
      <c r="HU124" s="436"/>
      <c r="HV124" s="436"/>
      <c r="HW124" s="440"/>
    </row>
    <row r="125" spans="1:231" ht="24" customHeight="1">
      <c r="A125" s="439"/>
      <c r="B125" s="436"/>
      <c r="C125" s="43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40"/>
      <c r="AA125" s="436"/>
      <c r="AB125" s="436"/>
      <c r="AC125" s="436"/>
      <c r="AD125" s="436"/>
      <c r="AE125" s="436"/>
      <c r="AF125" s="439"/>
      <c r="AG125" s="436"/>
      <c r="AH125" s="436"/>
      <c r="AI125" s="436"/>
      <c r="AJ125" s="436"/>
      <c r="AK125" s="436"/>
      <c r="AL125" s="436"/>
      <c r="AM125" s="436"/>
      <c r="AN125" s="436"/>
      <c r="AO125" s="436"/>
      <c r="AP125" s="436"/>
      <c r="AQ125" s="436"/>
      <c r="AR125" s="436"/>
      <c r="AS125" s="436"/>
      <c r="AT125" s="436"/>
      <c r="AU125" s="436"/>
      <c r="AV125" s="436"/>
      <c r="AW125" s="436"/>
      <c r="AX125" s="436"/>
      <c r="AY125" s="436"/>
      <c r="AZ125" s="436"/>
      <c r="BA125" s="436"/>
      <c r="BB125" s="436"/>
      <c r="BC125" s="436"/>
      <c r="BD125" s="440"/>
      <c r="BE125" s="439"/>
      <c r="BF125" s="436"/>
      <c r="BG125" s="436"/>
      <c r="BH125" s="436"/>
      <c r="BI125" s="436"/>
      <c r="BJ125" s="436"/>
      <c r="BK125" s="436"/>
      <c r="BL125" s="436"/>
      <c r="BM125" s="436"/>
      <c r="BN125" s="436"/>
      <c r="BO125" s="436"/>
      <c r="BP125" s="436"/>
      <c r="BQ125" s="436"/>
      <c r="BR125" s="436"/>
      <c r="BS125" s="436"/>
      <c r="BT125" s="436"/>
      <c r="BU125" s="436"/>
      <c r="BV125" s="436"/>
      <c r="BW125" s="436"/>
      <c r="BX125" s="436"/>
      <c r="BY125" s="436"/>
      <c r="BZ125" s="436"/>
      <c r="CA125" s="436"/>
      <c r="CB125" s="436"/>
      <c r="CC125" s="440"/>
      <c r="CD125" s="439"/>
      <c r="CE125" s="436"/>
      <c r="CF125" s="436"/>
      <c r="CG125" s="436"/>
      <c r="CH125" s="436"/>
      <c r="CI125" s="436"/>
      <c r="CJ125" s="436"/>
      <c r="CK125" s="436"/>
      <c r="CL125" s="436"/>
      <c r="CM125" s="436"/>
      <c r="CN125" s="436"/>
      <c r="CO125" s="436"/>
      <c r="CP125" s="436"/>
      <c r="CQ125" s="436"/>
      <c r="CR125" s="436"/>
      <c r="CS125" s="436"/>
      <c r="CT125" s="436"/>
      <c r="CU125" s="436"/>
      <c r="CV125" s="436"/>
      <c r="CW125" s="436"/>
      <c r="CX125" s="436"/>
      <c r="CY125" s="436"/>
      <c r="CZ125" s="436"/>
      <c r="DA125" s="436"/>
      <c r="DB125" s="440"/>
      <c r="DC125" s="439"/>
      <c r="DD125" s="436"/>
      <c r="DE125" s="436"/>
      <c r="DF125" s="436"/>
      <c r="DG125" s="436"/>
      <c r="DH125" s="436"/>
      <c r="DI125" s="436"/>
      <c r="DJ125" s="436"/>
      <c r="DK125" s="436"/>
      <c r="DL125" s="436"/>
      <c r="DM125" s="436"/>
      <c r="DN125" s="436"/>
      <c r="DO125" s="436"/>
      <c r="DP125" s="436"/>
      <c r="DQ125" s="436"/>
      <c r="DR125" s="436"/>
      <c r="DS125" s="436"/>
      <c r="DT125" s="436"/>
      <c r="DU125" s="436"/>
      <c r="DV125" s="436"/>
      <c r="DW125" s="436"/>
      <c r="DX125" s="436"/>
      <c r="DY125" s="436"/>
      <c r="DZ125" s="436"/>
      <c r="EA125" s="440"/>
      <c r="EB125" s="439"/>
      <c r="EC125" s="436"/>
      <c r="ED125" s="436"/>
      <c r="EE125" s="436"/>
      <c r="EF125" s="436"/>
      <c r="EG125" s="436"/>
      <c r="EH125" s="436"/>
      <c r="EI125" s="436"/>
      <c r="EJ125" s="436"/>
      <c r="EK125" s="436"/>
      <c r="EL125" s="436"/>
      <c r="EM125" s="436"/>
      <c r="EN125" s="436"/>
      <c r="EO125" s="436"/>
      <c r="EP125" s="436"/>
      <c r="EQ125" s="436"/>
      <c r="ER125" s="436"/>
      <c r="ES125" s="436"/>
      <c r="ET125" s="436"/>
      <c r="EU125" s="436"/>
      <c r="EV125" s="436"/>
      <c r="EW125" s="436"/>
      <c r="EX125" s="436"/>
      <c r="EY125" s="436"/>
      <c r="EZ125" s="440"/>
      <c r="FA125" s="439"/>
      <c r="FB125" s="436"/>
      <c r="FC125" s="436"/>
      <c r="FD125" s="436"/>
      <c r="FE125" s="436"/>
      <c r="FF125" s="436"/>
      <c r="FG125" s="436"/>
      <c r="FH125" s="436"/>
      <c r="FI125" s="436"/>
      <c r="FJ125" s="436"/>
      <c r="FK125" s="436"/>
      <c r="FL125" s="436"/>
      <c r="FM125" s="436"/>
      <c r="FN125" s="436"/>
      <c r="FO125" s="436"/>
      <c r="FP125" s="436"/>
      <c r="FQ125" s="436"/>
      <c r="FR125" s="436"/>
      <c r="FS125" s="436"/>
      <c r="FT125" s="436"/>
      <c r="FU125" s="436"/>
      <c r="FV125" s="436"/>
      <c r="FW125" s="436"/>
      <c r="FX125" s="436"/>
      <c r="FY125" s="440"/>
      <c r="FZ125" s="439"/>
      <c r="GA125" s="436"/>
      <c r="GB125" s="436"/>
      <c r="GC125" s="436"/>
      <c r="GD125" s="436"/>
      <c r="GE125" s="436"/>
      <c r="GF125" s="436"/>
      <c r="GG125" s="436"/>
      <c r="GH125" s="436"/>
      <c r="GI125" s="436"/>
      <c r="GJ125" s="436"/>
      <c r="GK125" s="436"/>
      <c r="GL125" s="436"/>
      <c r="GM125" s="436"/>
      <c r="GN125" s="436"/>
      <c r="GO125" s="436"/>
      <c r="GP125" s="436"/>
      <c r="GQ125" s="436"/>
      <c r="GR125" s="436"/>
      <c r="GS125" s="436"/>
      <c r="GT125" s="436"/>
      <c r="GU125" s="436"/>
      <c r="GV125" s="436"/>
      <c r="GW125" s="436"/>
      <c r="GX125" s="440"/>
      <c r="GY125" s="439"/>
      <c r="GZ125" s="436"/>
      <c r="HA125" s="436"/>
      <c r="HB125" s="436"/>
      <c r="HC125" s="436"/>
      <c r="HD125" s="436"/>
      <c r="HE125" s="436"/>
      <c r="HF125" s="436"/>
      <c r="HG125" s="436"/>
      <c r="HH125" s="436"/>
      <c r="HI125" s="436"/>
      <c r="HJ125" s="436"/>
      <c r="HK125" s="436"/>
      <c r="HL125" s="436"/>
      <c r="HM125" s="436"/>
      <c r="HN125" s="436"/>
      <c r="HO125" s="436"/>
      <c r="HP125" s="436"/>
      <c r="HQ125" s="436"/>
      <c r="HR125" s="436"/>
      <c r="HS125" s="436"/>
      <c r="HT125" s="436"/>
      <c r="HU125" s="436"/>
      <c r="HV125" s="436"/>
      <c r="HW125" s="440"/>
    </row>
    <row r="126" spans="1:231" ht="24" customHeight="1">
      <c r="A126" s="439"/>
      <c r="B126" s="436"/>
      <c r="C126" s="43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40"/>
      <c r="AA126" s="436"/>
      <c r="AB126" s="436"/>
      <c r="AC126" s="436"/>
      <c r="AD126" s="436"/>
      <c r="AE126" s="436"/>
      <c r="AF126" s="439"/>
      <c r="AG126" s="436"/>
      <c r="AH126" s="436"/>
      <c r="AI126" s="436"/>
      <c r="AJ126" s="436"/>
      <c r="AK126" s="436"/>
      <c r="AL126" s="436"/>
      <c r="AM126" s="436"/>
      <c r="AN126" s="436"/>
      <c r="AO126" s="436"/>
      <c r="AP126" s="436"/>
      <c r="AQ126" s="436"/>
      <c r="AR126" s="436"/>
      <c r="AS126" s="436"/>
      <c r="AT126" s="436"/>
      <c r="AU126" s="436"/>
      <c r="AV126" s="436"/>
      <c r="AW126" s="436"/>
      <c r="AX126" s="436"/>
      <c r="AY126" s="436"/>
      <c r="AZ126" s="436"/>
      <c r="BA126" s="436"/>
      <c r="BB126" s="436"/>
      <c r="BC126" s="436"/>
      <c r="BD126" s="440"/>
      <c r="BE126" s="439"/>
      <c r="BF126" s="436"/>
      <c r="BG126" s="436"/>
      <c r="BH126" s="436"/>
      <c r="BI126" s="436"/>
      <c r="BJ126" s="436"/>
      <c r="BK126" s="436"/>
      <c r="BL126" s="436"/>
      <c r="BM126" s="436"/>
      <c r="BN126" s="436"/>
      <c r="BO126" s="436"/>
      <c r="BP126" s="436"/>
      <c r="BQ126" s="436"/>
      <c r="BR126" s="436"/>
      <c r="BS126" s="436"/>
      <c r="BT126" s="436"/>
      <c r="BU126" s="436"/>
      <c r="BV126" s="436"/>
      <c r="BW126" s="436"/>
      <c r="BX126" s="436"/>
      <c r="BY126" s="436"/>
      <c r="BZ126" s="436"/>
      <c r="CA126" s="436"/>
      <c r="CB126" s="436"/>
      <c r="CC126" s="440"/>
      <c r="CD126" s="439"/>
      <c r="CE126" s="436"/>
      <c r="CF126" s="436"/>
      <c r="CG126" s="436"/>
      <c r="CH126" s="436"/>
      <c r="CI126" s="436"/>
      <c r="CJ126" s="436"/>
      <c r="CK126" s="436"/>
      <c r="CL126" s="436"/>
      <c r="CM126" s="436"/>
      <c r="CN126" s="436"/>
      <c r="CO126" s="436"/>
      <c r="CP126" s="436"/>
      <c r="CQ126" s="436"/>
      <c r="CR126" s="436"/>
      <c r="CS126" s="436"/>
      <c r="CT126" s="436"/>
      <c r="CU126" s="436"/>
      <c r="CV126" s="436"/>
      <c r="CW126" s="436"/>
      <c r="CX126" s="436"/>
      <c r="CY126" s="436"/>
      <c r="CZ126" s="436"/>
      <c r="DA126" s="436"/>
      <c r="DB126" s="440"/>
      <c r="DC126" s="439"/>
      <c r="DD126" s="436"/>
      <c r="DE126" s="436"/>
      <c r="DF126" s="436"/>
      <c r="DG126" s="436"/>
      <c r="DH126" s="436"/>
      <c r="DI126" s="436"/>
      <c r="DJ126" s="436"/>
      <c r="DK126" s="436"/>
      <c r="DL126" s="436"/>
      <c r="DM126" s="436"/>
      <c r="DN126" s="436"/>
      <c r="DO126" s="436"/>
      <c r="DP126" s="436"/>
      <c r="DQ126" s="436"/>
      <c r="DR126" s="436"/>
      <c r="DS126" s="436"/>
      <c r="DT126" s="436"/>
      <c r="DU126" s="436"/>
      <c r="DV126" s="436"/>
      <c r="DW126" s="436"/>
      <c r="DX126" s="436"/>
      <c r="DY126" s="436"/>
      <c r="DZ126" s="436"/>
      <c r="EA126" s="440"/>
      <c r="EB126" s="439"/>
      <c r="EC126" s="436"/>
      <c r="ED126" s="436"/>
      <c r="EE126" s="436"/>
      <c r="EF126" s="436"/>
      <c r="EG126" s="436"/>
      <c r="EH126" s="436"/>
      <c r="EI126" s="436"/>
      <c r="EJ126" s="436"/>
      <c r="EK126" s="436"/>
      <c r="EL126" s="436"/>
      <c r="EM126" s="436"/>
      <c r="EN126" s="436"/>
      <c r="EO126" s="436"/>
      <c r="EP126" s="436"/>
      <c r="EQ126" s="436"/>
      <c r="ER126" s="436"/>
      <c r="ES126" s="436"/>
      <c r="ET126" s="436"/>
      <c r="EU126" s="436"/>
      <c r="EV126" s="436"/>
      <c r="EW126" s="436"/>
      <c r="EX126" s="436"/>
      <c r="EY126" s="436"/>
      <c r="EZ126" s="440"/>
      <c r="FA126" s="439"/>
      <c r="FB126" s="436"/>
      <c r="FC126" s="436"/>
      <c r="FD126" s="436"/>
      <c r="FE126" s="436"/>
      <c r="FF126" s="436"/>
      <c r="FG126" s="436"/>
      <c r="FH126" s="436"/>
      <c r="FI126" s="436"/>
      <c r="FJ126" s="436"/>
      <c r="FK126" s="436"/>
      <c r="FL126" s="436"/>
      <c r="FM126" s="436"/>
      <c r="FN126" s="436"/>
      <c r="FO126" s="436"/>
      <c r="FP126" s="436"/>
      <c r="FQ126" s="436"/>
      <c r="FR126" s="436"/>
      <c r="FS126" s="436"/>
      <c r="FT126" s="436"/>
      <c r="FU126" s="436"/>
      <c r="FV126" s="436"/>
      <c r="FW126" s="436"/>
      <c r="FX126" s="436"/>
      <c r="FY126" s="440"/>
      <c r="FZ126" s="439"/>
      <c r="GA126" s="436"/>
      <c r="GB126" s="436"/>
      <c r="GC126" s="436"/>
      <c r="GD126" s="436"/>
      <c r="GE126" s="436"/>
      <c r="GF126" s="436"/>
      <c r="GG126" s="436"/>
      <c r="GH126" s="436"/>
      <c r="GI126" s="436"/>
      <c r="GJ126" s="436"/>
      <c r="GK126" s="436"/>
      <c r="GL126" s="436"/>
      <c r="GM126" s="436"/>
      <c r="GN126" s="436"/>
      <c r="GO126" s="436"/>
      <c r="GP126" s="436"/>
      <c r="GQ126" s="436"/>
      <c r="GR126" s="436"/>
      <c r="GS126" s="436"/>
      <c r="GT126" s="436"/>
      <c r="GU126" s="436"/>
      <c r="GV126" s="436"/>
      <c r="GW126" s="436"/>
      <c r="GX126" s="440"/>
      <c r="GY126" s="439"/>
      <c r="GZ126" s="436"/>
      <c r="HA126" s="436"/>
      <c r="HB126" s="436"/>
      <c r="HC126" s="436"/>
      <c r="HD126" s="436"/>
      <c r="HE126" s="436"/>
      <c r="HF126" s="436"/>
      <c r="HG126" s="436"/>
      <c r="HH126" s="436"/>
      <c r="HI126" s="436"/>
      <c r="HJ126" s="436"/>
      <c r="HK126" s="436"/>
      <c r="HL126" s="436"/>
      <c r="HM126" s="436"/>
      <c r="HN126" s="436"/>
      <c r="HO126" s="436"/>
      <c r="HP126" s="436"/>
      <c r="HQ126" s="436"/>
      <c r="HR126" s="436"/>
      <c r="HS126" s="436"/>
      <c r="HT126" s="436"/>
      <c r="HU126" s="436"/>
      <c r="HV126" s="436"/>
      <c r="HW126" s="440"/>
    </row>
    <row r="127" spans="1:231" ht="24" customHeight="1">
      <c r="A127" s="439"/>
      <c r="B127" s="436"/>
      <c r="C127" s="43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40"/>
      <c r="AA127" s="436"/>
      <c r="AB127" s="436"/>
      <c r="AC127" s="436"/>
      <c r="AD127" s="436"/>
      <c r="AE127" s="436"/>
      <c r="AF127" s="439"/>
      <c r="AG127" s="436"/>
      <c r="AH127" s="436"/>
      <c r="AI127" s="436"/>
      <c r="AJ127" s="436"/>
      <c r="AK127" s="436"/>
      <c r="AL127" s="436"/>
      <c r="AM127" s="436"/>
      <c r="AN127" s="436"/>
      <c r="AO127" s="436"/>
      <c r="AP127" s="436"/>
      <c r="AQ127" s="436"/>
      <c r="AR127" s="436"/>
      <c r="AS127" s="436"/>
      <c r="AT127" s="436"/>
      <c r="AU127" s="436"/>
      <c r="AV127" s="436"/>
      <c r="AW127" s="436"/>
      <c r="AX127" s="436"/>
      <c r="AY127" s="436"/>
      <c r="AZ127" s="436"/>
      <c r="BA127" s="436"/>
      <c r="BB127" s="436"/>
      <c r="BC127" s="436"/>
      <c r="BD127" s="440"/>
      <c r="BE127" s="439"/>
      <c r="BF127" s="436"/>
      <c r="BG127" s="436"/>
      <c r="BH127" s="436"/>
      <c r="BI127" s="436"/>
      <c r="BJ127" s="436"/>
      <c r="BK127" s="436"/>
      <c r="BL127" s="436"/>
      <c r="BM127" s="436"/>
      <c r="BN127" s="436"/>
      <c r="BO127" s="436"/>
      <c r="BP127" s="436"/>
      <c r="BQ127" s="436"/>
      <c r="BR127" s="436"/>
      <c r="BS127" s="436"/>
      <c r="BT127" s="436"/>
      <c r="BU127" s="436"/>
      <c r="BV127" s="436"/>
      <c r="BW127" s="436"/>
      <c r="BX127" s="436"/>
      <c r="BY127" s="436"/>
      <c r="BZ127" s="436"/>
      <c r="CA127" s="436"/>
      <c r="CB127" s="436"/>
      <c r="CC127" s="440"/>
      <c r="CD127" s="439"/>
      <c r="CE127" s="436"/>
      <c r="CF127" s="436"/>
      <c r="CG127" s="436"/>
      <c r="CH127" s="436"/>
      <c r="CI127" s="436"/>
      <c r="CJ127" s="436"/>
      <c r="CK127" s="436"/>
      <c r="CL127" s="436"/>
      <c r="CM127" s="436"/>
      <c r="CN127" s="436"/>
      <c r="CO127" s="436"/>
      <c r="CP127" s="436"/>
      <c r="CQ127" s="436"/>
      <c r="CR127" s="436"/>
      <c r="CS127" s="436"/>
      <c r="CT127" s="436"/>
      <c r="CU127" s="436"/>
      <c r="CV127" s="436"/>
      <c r="CW127" s="436"/>
      <c r="CX127" s="436"/>
      <c r="CY127" s="436"/>
      <c r="CZ127" s="436"/>
      <c r="DA127" s="436"/>
      <c r="DB127" s="440"/>
      <c r="DC127" s="439"/>
      <c r="DD127" s="436"/>
      <c r="DE127" s="436"/>
      <c r="DF127" s="436"/>
      <c r="DG127" s="436"/>
      <c r="DH127" s="436"/>
      <c r="DI127" s="436"/>
      <c r="DJ127" s="436"/>
      <c r="DK127" s="436"/>
      <c r="DL127" s="436"/>
      <c r="DM127" s="436"/>
      <c r="DN127" s="436"/>
      <c r="DO127" s="436"/>
      <c r="DP127" s="436"/>
      <c r="DQ127" s="436"/>
      <c r="DR127" s="436"/>
      <c r="DS127" s="436"/>
      <c r="DT127" s="436"/>
      <c r="DU127" s="436"/>
      <c r="DV127" s="436"/>
      <c r="DW127" s="436"/>
      <c r="DX127" s="436"/>
      <c r="DY127" s="436"/>
      <c r="DZ127" s="436"/>
      <c r="EA127" s="440"/>
      <c r="EB127" s="439"/>
      <c r="EC127" s="436"/>
      <c r="ED127" s="436"/>
      <c r="EE127" s="436"/>
      <c r="EF127" s="436"/>
      <c r="EG127" s="436"/>
      <c r="EH127" s="436"/>
      <c r="EI127" s="436"/>
      <c r="EJ127" s="436"/>
      <c r="EK127" s="436"/>
      <c r="EL127" s="436"/>
      <c r="EM127" s="436"/>
      <c r="EN127" s="436"/>
      <c r="EO127" s="436"/>
      <c r="EP127" s="436"/>
      <c r="EQ127" s="436"/>
      <c r="ER127" s="436"/>
      <c r="ES127" s="436"/>
      <c r="ET127" s="436"/>
      <c r="EU127" s="436"/>
      <c r="EV127" s="436"/>
      <c r="EW127" s="436"/>
      <c r="EX127" s="436"/>
      <c r="EY127" s="436"/>
      <c r="EZ127" s="440"/>
      <c r="FA127" s="439"/>
      <c r="FB127" s="436"/>
      <c r="FC127" s="436"/>
      <c r="FD127" s="436"/>
      <c r="FE127" s="436"/>
      <c r="FF127" s="436"/>
      <c r="FG127" s="436"/>
      <c r="FH127" s="436"/>
      <c r="FI127" s="436"/>
      <c r="FJ127" s="436"/>
      <c r="FK127" s="436"/>
      <c r="FL127" s="436"/>
      <c r="FM127" s="436"/>
      <c r="FN127" s="436"/>
      <c r="FO127" s="436"/>
      <c r="FP127" s="436"/>
      <c r="FQ127" s="436"/>
      <c r="FR127" s="436"/>
      <c r="FS127" s="436"/>
      <c r="FT127" s="436"/>
      <c r="FU127" s="436"/>
      <c r="FV127" s="436"/>
      <c r="FW127" s="436"/>
      <c r="FX127" s="436"/>
      <c r="FY127" s="440"/>
      <c r="FZ127" s="439"/>
      <c r="GA127" s="436"/>
      <c r="GB127" s="436"/>
      <c r="GC127" s="436"/>
      <c r="GD127" s="436"/>
      <c r="GE127" s="436"/>
      <c r="GF127" s="436"/>
      <c r="GG127" s="436"/>
      <c r="GH127" s="436"/>
      <c r="GI127" s="436"/>
      <c r="GJ127" s="436"/>
      <c r="GK127" s="436"/>
      <c r="GL127" s="436"/>
      <c r="GM127" s="436"/>
      <c r="GN127" s="436"/>
      <c r="GO127" s="436"/>
      <c r="GP127" s="436"/>
      <c r="GQ127" s="436"/>
      <c r="GR127" s="436"/>
      <c r="GS127" s="436"/>
      <c r="GT127" s="436"/>
      <c r="GU127" s="436"/>
      <c r="GV127" s="436"/>
      <c r="GW127" s="436"/>
      <c r="GX127" s="440"/>
      <c r="GY127" s="439"/>
      <c r="GZ127" s="436"/>
      <c r="HA127" s="436"/>
      <c r="HB127" s="436"/>
      <c r="HC127" s="436"/>
      <c r="HD127" s="436"/>
      <c r="HE127" s="436"/>
      <c r="HF127" s="436"/>
      <c r="HG127" s="436"/>
      <c r="HH127" s="436"/>
      <c r="HI127" s="436"/>
      <c r="HJ127" s="436"/>
      <c r="HK127" s="436"/>
      <c r="HL127" s="436"/>
      <c r="HM127" s="436"/>
      <c r="HN127" s="436"/>
      <c r="HO127" s="436"/>
      <c r="HP127" s="436"/>
      <c r="HQ127" s="436"/>
      <c r="HR127" s="436"/>
      <c r="HS127" s="436"/>
      <c r="HT127" s="436"/>
      <c r="HU127" s="436"/>
      <c r="HV127" s="436"/>
      <c r="HW127" s="440"/>
    </row>
    <row r="128" spans="1:231" ht="24" customHeight="1">
      <c r="A128" s="439"/>
      <c r="B128" s="436"/>
      <c r="C128" s="43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40"/>
      <c r="AA128" s="436"/>
      <c r="AB128" s="436"/>
      <c r="AC128" s="436"/>
      <c r="AD128" s="436"/>
      <c r="AE128" s="436"/>
      <c r="AF128" s="439"/>
      <c r="AG128" s="436"/>
      <c r="AH128" s="436"/>
      <c r="AI128" s="436"/>
      <c r="AJ128" s="436"/>
      <c r="AK128" s="436"/>
      <c r="AL128" s="436"/>
      <c r="AM128" s="436"/>
      <c r="AN128" s="436"/>
      <c r="AO128" s="436"/>
      <c r="AP128" s="436"/>
      <c r="AQ128" s="436"/>
      <c r="AR128" s="436"/>
      <c r="AS128" s="436"/>
      <c r="AT128" s="436"/>
      <c r="AU128" s="436"/>
      <c r="AV128" s="436"/>
      <c r="AW128" s="436"/>
      <c r="AX128" s="436"/>
      <c r="AY128" s="436"/>
      <c r="AZ128" s="436"/>
      <c r="BA128" s="436"/>
      <c r="BB128" s="436"/>
      <c r="BC128" s="436"/>
      <c r="BD128" s="440"/>
      <c r="BE128" s="439"/>
      <c r="BF128" s="436"/>
      <c r="BG128" s="436"/>
      <c r="BH128" s="436"/>
      <c r="BI128" s="436"/>
      <c r="BJ128" s="436"/>
      <c r="BK128" s="436"/>
      <c r="BL128" s="436"/>
      <c r="BM128" s="436"/>
      <c r="BN128" s="436"/>
      <c r="BO128" s="436"/>
      <c r="BP128" s="436"/>
      <c r="BQ128" s="436"/>
      <c r="BR128" s="436"/>
      <c r="BS128" s="436"/>
      <c r="BT128" s="436"/>
      <c r="BU128" s="436"/>
      <c r="BV128" s="436"/>
      <c r="BW128" s="436"/>
      <c r="BX128" s="436"/>
      <c r="BY128" s="436"/>
      <c r="BZ128" s="436"/>
      <c r="CA128" s="436"/>
      <c r="CB128" s="436"/>
      <c r="CC128" s="440"/>
      <c r="CD128" s="439"/>
      <c r="CE128" s="436"/>
      <c r="CF128" s="436"/>
      <c r="CG128" s="436"/>
      <c r="CH128" s="436"/>
      <c r="CI128" s="436"/>
      <c r="CJ128" s="436"/>
      <c r="CK128" s="436"/>
      <c r="CL128" s="436"/>
      <c r="CM128" s="436"/>
      <c r="CN128" s="436"/>
      <c r="CO128" s="436"/>
      <c r="CP128" s="436"/>
      <c r="CQ128" s="436"/>
      <c r="CR128" s="436"/>
      <c r="CS128" s="436"/>
      <c r="CT128" s="436"/>
      <c r="CU128" s="436"/>
      <c r="CV128" s="436"/>
      <c r="CW128" s="436"/>
      <c r="CX128" s="436"/>
      <c r="CY128" s="436"/>
      <c r="CZ128" s="436"/>
      <c r="DA128" s="436"/>
      <c r="DB128" s="440"/>
      <c r="DC128" s="439"/>
      <c r="DD128" s="436"/>
      <c r="DE128" s="436"/>
      <c r="DF128" s="436"/>
      <c r="DG128" s="436"/>
      <c r="DH128" s="436"/>
      <c r="DI128" s="436"/>
      <c r="DJ128" s="436"/>
      <c r="DK128" s="436"/>
      <c r="DL128" s="436"/>
      <c r="DM128" s="436"/>
      <c r="DN128" s="436"/>
      <c r="DO128" s="436"/>
      <c r="DP128" s="436"/>
      <c r="DQ128" s="436"/>
      <c r="DR128" s="436"/>
      <c r="DS128" s="436"/>
      <c r="DT128" s="436"/>
      <c r="DU128" s="436"/>
      <c r="DV128" s="436"/>
      <c r="DW128" s="436"/>
      <c r="DX128" s="436"/>
      <c r="DY128" s="436"/>
      <c r="DZ128" s="436"/>
      <c r="EA128" s="440"/>
      <c r="EB128" s="439"/>
      <c r="EC128" s="436"/>
      <c r="ED128" s="436"/>
      <c r="EE128" s="436"/>
      <c r="EF128" s="436"/>
      <c r="EG128" s="436"/>
      <c r="EH128" s="436"/>
      <c r="EI128" s="436"/>
      <c r="EJ128" s="436"/>
      <c r="EK128" s="436"/>
      <c r="EL128" s="436"/>
      <c r="EM128" s="436"/>
      <c r="EN128" s="436"/>
      <c r="EO128" s="436"/>
      <c r="EP128" s="436"/>
      <c r="EQ128" s="436"/>
      <c r="ER128" s="436"/>
      <c r="ES128" s="436"/>
      <c r="ET128" s="436"/>
      <c r="EU128" s="436"/>
      <c r="EV128" s="436"/>
      <c r="EW128" s="436"/>
      <c r="EX128" s="436"/>
      <c r="EY128" s="436"/>
      <c r="EZ128" s="440"/>
      <c r="FA128" s="439"/>
      <c r="FB128" s="436"/>
      <c r="FC128" s="436"/>
      <c r="FD128" s="436"/>
      <c r="FE128" s="436"/>
      <c r="FF128" s="436"/>
      <c r="FG128" s="436"/>
      <c r="FH128" s="436"/>
      <c r="FI128" s="436"/>
      <c r="FJ128" s="436"/>
      <c r="FK128" s="436"/>
      <c r="FL128" s="436"/>
      <c r="FM128" s="436"/>
      <c r="FN128" s="436"/>
      <c r="FO128" s="436"/>
      <c r="FP128" s="436"/>
      <c r="FQ128" s="436"/>
      <c r="FR128" s="436"/>
      <c r="FS128" s="436"/>
      <c r="FT128" s="436"/>
      <c r="FU128" s="436"/>
      <c r="FV128" s="436"/>
      <c r="FW128" s="436"/>
      <c r="FX128" s="436"/>
      <c r="FY128" s="440"/>
      <c r="FZ128" s="439"/>
      <c r="GA128" s="436"/>
      <c r="GB128" s="436"/>
      <c r="GC128" s="436"/>
      <c r="GD128" s="436"/>
      <c r="GE128" s="436"/>
      <c r="GF128" s="436"/>
      <c r="GG128" s="436"/>
      <c r="GH128" s="436"/>
      <c r="GI128" s="436"/>
      <c r="GJ128" s="436"/>
      <c r="GK128" s="436"/>
      <c r="GL128" s="436"/>
      <c r="GM128" s="436"/>
      <c r="GN128" s="436"/>
      <c r="GO128" s="436"/>
      <c r="GP128" s="436"/>
      <c r="GQ128" s="436"/>
      <c r="GR128" s="436"/>
      <c r="GS128" s="436"/>
      <c r="GT128" s="436"/>
      <c r="GU128" s="436"/>
      <c r="GV128" s="436"/>
      <c r="GW128" s="436"/>
      <c r="GX128" s="440"/>
      <c r="GY128" s="439"/>
      <c r="GZ128" s="436"/>
      <c r="HA128" s="436"/>
      <c r="HB128" s="436"/>
      <c r="HC128" s="436"/>
      <c r="HD128" s="436"/>
      <c r="HE128" s="436"/>
      <c r="HF128" s="436"/>
      <c r="HG128" s="436"/>
      <c r="HH128" s="436"/>
      <c r="HI128" s="436"/>
      <c r="HJ128" s="436"/>
      <c r="HK128" s="436"/>
      <c r="HL128" s="436"/>
      <c r="HM128" s="436"/>
      <c r="HN128" s="436"/>
      <c r="HO128" s="436"/>
      <c r="HP128" s="436"/>
      <c r="HQ128" s="436"/>
      <c r="HR128" s="436"/>
      <c r="HS128" s="436"/>
      <c r="HT128" s="436"/>
      <c r="HU128" s="436"/>
      <c r="HV128" s="436"/>
      <c r="HW128" s="440"/>
    </row>
    <row r="129" spans="1:231" ht="24" customHeight="1">
      <c r="A129" s="439"/>
      <c r="B129" s="436"/>
      <c r="C129" s="43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40"/>
      <c r="AA129" s="436"/>
      <c r="AB129" s="436"/>
      <c r="AC129" s="436"/>
      <c r="AD129" s="436"/>
      <c r="AE129" s="436"/>
      <c r="AF129" s="439"/>
      <c r="AG129" s="436"/>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436"/>
      <c r="BC129" s="436"/>
      <c r="BD129" s="440"/>
      <c r="BE129" s="439"/>
      <c r="BF129" s="436"/>
      <c r="BG129" s="436"/>
      <c r="BH129" s="436"/>
      <c r="BI129" s="436"/>
      <c r="BJ129" s="436"/>
      <c r="BK129" s="436"/>
      <c r="BL129" s="436"/>
      <c r="BM129" s="436"/>
      <c r="BN129" s="436"/>
      <c r="BO129" s="436"/>
      <c r="BP129" s="436"/>
      <c r="BQ129" s="436"/>
      <c r="BR129" s="436"/>
      <c r="BS129" s="436"/>
      <c r="BT129" s="436"/>
      <c r="BU129" s="436"/>
      <c r="BV129" s="436"/>
      <c r="BW129" s="436"/>
      <c r="BX129" s="436"/>
      <c r="BY129" s="436"/>
      <c r="BZ129" s="436"/>
      <c r="CA129" s="436"/>
      <c r="CB129" s="436"/>
      <c r="CC129" s="440"/>
      <c r="CD129" s="439"/>
      <c r="CE129" s="436"/>
      <c r="CF129" s="436"/>
      <c r="CG129" s="436"/>
      <c r="CH129" s="436"/>
      <c r="CI129" s="436"/>
      <c r="CJ129" s="436"/>
      <c r="CK129" s="436"/>
      <c r="CL129" s="436"/>
      <c r="CM129" s="436"/>
      <c r="CN129" s="436"/>
      <c r="CO129" s="436"/>
      <c r="CP129" s="436"/>
      <c r="CQ129" s="436"/>
      <c r="CR129" s="436"/>
      <c r="CS129" s="436"/>
      <c r="CT129" s="436"/>
      <c r="CU129" s="436"/>
      <c r="CV129" s="436"/>
      <c r="CW129" s="436"/>
      <c r="CX129" s="436"/>
      <c r="CY129" s="436"/>
      <c r="CZ129" s="436"/>
      <c r="DA129" s="436"/>
      <c r="DB129" s="440"/>
      <c r="DC129" s="439"/>
      <c r="DD129" s="436"/>
      <c r="DE129" s="436"/>
      <c r="DF129" s="436"/>
      <c r="DG129" s="436"/>
      <c r="DH129" s="436"/>
      <c r="DI129" s="436"/>
      <c r="DJ129" s="436"/>
      <c r="DK129" s="436"/>
      <c r="DL129" s="436"/>
      <c r="DM129" s="436"/>
      <c r="DN129" s="436"/>
      <c r="DO129" s="436"/>
      <c r="DP129" s="436"/>
      <c r="DQ129" s="436"/>
      <c r="DR129" s="436"/>
      <c r="DS129" s="436"/>
      <c r="DT129" s="436"/>
      <c r="DU129" s="436"/>
      <c r="DV129" s="436"/>
      <c r="DW129" s="436"/>
      <c r="DX129" s="436"/>
      <c r="DY129" s="436"/>
      <c r="DZ129" s="436"/>
      <c r="EA129" s="440"/>
      <c r="EB129" s="439"/>
      <c r="EC129" s="436"/>
      <c r="ED129" s="436"/>
      <c r="EE129" s="436"/>
      <c r="EF129" s="436"/>
      <c r="EG129" s="436"/>
      <c r="EH129" s="436"/>
      <c r="EI129" s="436"/>
      <c r="EJ129" s="436"/>
      <c r="EK129" s="436"/>
      <c r="EL129" s="436"/>
      <c r="EM129" s="436"/>
      <c r="EN129" s="436"/>
      <c r="EO129" s="436"/>
      <c r="EP129" s="436"/>
      <c r="EQ129" s="436"/>
      <c r="ER129" s="436"/>
      <c r="ES129" s="436"/>
      <c r="ET129" s="436"/>
      <c r="EU129" s="436"/>
      <c r="EV129" s="436"/>
      <c r="EW129" s="436"/>
      <c r="EX129" s="436"/>
      <c r="EY129" s="436"/>
      <c r="EZ129" s="440"/>
      <c r="FA129" s="439"/>
      <c r="FB129" s="436"/>
      <c r="FC129" s="436"/>
      <c r="FD129" s="436"/>
      <c r="FE129" s="436"/>
      <c r="FF129" s="436"/>
      <c r="FG129" s="436"/>
      <c r="FH129" s="436"/>
      <c r="FI129" s="436"/>
      <c r="FJ129" s="436"/>
      <c r="FK129" s="436"/>
      <c r="FL129" s="436"/>
      <c r="FM129" s="436"/>
      <c r="FN129" s="436"/>
      <c r="FO129" s="436"/>
      <c r="FP129" s="436"/>
      <c r="FQ129" s="436"/>
      <c r="FR129" s="436"/>
      <c r="FS129" s="436"/>
      <c r="FT129" s="436"/>
      <c r="FU129" s="436"/>
      <c r="FV129" s="436"/>
      <c r="FW129" s="436"/>
      <c r="FX129" s="436"/>
      <c r="FY129" s="440"/>
      <c r="FZ129" s="439"/>
      <c r="GA129" s="436"/>
      <c r="GB129" s="436"/>
      <c r="GC129" s="436"/>
      <c r="GD129" s="436"/>
      <c r="GE129" s="436"/>
      <c r="GF129" s="436"/>
      <c r="GG129" s="436"/>
      <c r="GH129" s="436"/>
      <c r="GI129" s="436"/>
      <c r="GJ129" s="436"/>
      <c r="GK129" s="436"/>
      <c r="GL129" s="436"/>
      <c r="GM129" s="436"/>
      <c r="GN129" s="436"/>
      <c r="GO129" s="436"/>
      <c r="GP129" s="436"/>
      <c r="GQ129" s="436"/>
      <c r="GR129" s="436"/>
      <c r="GS129" s="436"/>
      <c r="GT129" s="436"/>
      <c r="GU129" s="436"/>
      <c r="GV129" s="436"/>
      <c r="GW129" s="436"/>
      <c r="GX129" s="440"/>
      <c r="GY129" s="439"/>
      <c r="GZ129" s="436"/>
      <c r="HA129" s="436"/>
      <c r="HB129" s="436"/>
      <c r="HC129" s="436"/>
      <c r="HD129" s="436"/>
      <c r="HE129" s="436"/>
      <c r="HF129" s="436"/>
      <c r="HG129" s="436"/>
      <c r="HH129" s="436"/>
      <c r="HI129" s="436"/>
      <c r="HJ129" s="436"/>
      <c r="HK129" s="436"/>
      <c r="HL129" s="436"/>
      <c r="HM129" s="436"/>
      <c r="HN129" s="436"/>
      <c r="HO129" s="436"/>
      <c r="HP129" s="436"/>
      <c r="HQ129" s="436"/>
      <c r="HR129" s="436"/>
      <c r="HS129" s="436"/>
      <c r="HT129" s="436"/>
      <c r="HU129" s="436"/>
      <c r="HV129" s="436"/>
      <c r="HW129" s="440"/>
    </row>
    <row r="130" spans="1:231" ht="24" customHeight="1">
      <c r="A130" s="439"/>
      <c r="B130" s="436"/>
      <c r="C130" s="43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40"/>
      <c r="AA130" s="436"/>
      <c r="AB130" s="436"/>
      <c r="AC130" s="436"/>
      <c r="AD130" s="436"/>
      <c r="AE130" s="436"/>
      <c r="AF130" s="439"/>
      <c r="AG130" s="436"/>
      <c r="AH130" s="436"/>
      <c r="AI130" s="436"/>
      <c r="AJ130" s="436"/>
      <c r="AK130" s="436"/>
      <c r="AL130" s="436"/>
      <c r="AM130" s="436"/>
      <c r="AN130" s="436"/>
      <c r="AO130" s="436"/>
      <c r="AP130" s="436"/>
      <c r="AQ130" s="436"/>
      <c r="AR130" s="436"/>
      <c r="AS130" s="436"/>
      <c r="AT130" s="436"/>
      <c r="AU130" s="436"/>
      <c r="AV130" s="436"/>
      <c r="AW130" s="436"/>
      <c r="AX130" s="436"/>
      <c r="AY130" s="436"/>
      <c r="AZ130" s="436"/>
      <c r="BA130" s="436"/>
      <c r="BB130" s="436"/>
      <c r="BC130" s="436"/>
      <c r="BD130" s="440"/>
      <c r="BE130" s="439"/>
      <c r="BF130" s="436"/>
      <c r="BG130" s="436"/>
      <c r="BH130" s="436"/>
      <c r="BI130" s="436"/>
      <c r="BJ130" s="436"/>
      <c r="BK130" s="436"/>
      <c r="BL130" s="436"/>
      <c r="BM130" s="436"/>
      <c r="BN130" s="436"/>
      <c r="BO130" s="436"/>
      <c r="BP130" s="436"/>
      <c r="BQ130" s="436"/>
      <c r="BR130" s="436"/>
      <c r="BS130" s="436"/>
      <c r="BT130" s="436"/>
      <c r="BU130" s="436"/>
      <c r="BV130" s="436"/>
      <c r="BW130" s="436"/>
      <c r="BX130" s="436"/>
      <c r="BY130" s="436"/>
      <c r="BZ130" s="436"/>
      <c r="CA130" s="436"/>
      <c r="CB130" s="436"/>
      <c r="CC130" s="440"/>
      <c r="CD130" s="439"/>
      <c r="CE130" s="436"/>
      <c r="CF130" s="436"/>
      <c r="CG130" s="436"/>
      <c r="CH130" s="436"/>
      <c r="CI130" s="436"/>
      <c r="CJ130" s="436"/>
      <c r="CK130" s="436"/>
      <c r="CL130" s="436"/>
      <c r="CM130" s="436"/>
      <c r="CN130" s="436"/>
      <c r="CO130" s="436"/>
      <c r="CP130" s="436"/>
      <c r="CQ130" s="436"/>
      <c r="CR130" s="436"/>
      <c r="CS130" s="436"/>
      <c r="CT130" s="436"/>
      <c r="CU130" s="436"/>
      <c r="CV130" s="436"/>
      <c r="CW130" s="436"/>
      <c r="CX130" s="436"/>
      <c r="CY130" s="436"/>
      <c r="CZ130" s="436"/>
      <c r="DA130" s="436"/>
      <c r="DB130" s="440"/>
      <c r="DC130" s="439"/>
      <c r="DD130" s="436"/>
      <c r="DE130" s="436"/>
      <c r="DF130" s="436"/>
      <c r="DG130" s="436"/>
      <c r="DH130" s="436"/>
      <c r="DI130" s="436"/>
      <c r="DJ130" s="436"/>
      <c r="DK130" s="436"/>
      <c r="DL130" s="436"/>
      <c r="DM130" s="436"/>
      <c r="DN130" s="436"/>
      <c r="DO130" s="436"/>
      <c r="DP130" s="436"/>
      <c r="DQ130" s="436"/>
      <c r="DR130" s="436"/>
      <c r="DS130" s="436"/>
      <c r="DT130" s="436"/>
      <c r="DU130" s="436"/>
      <c r="DV130" s="436"/>
      <c r="DW130" s="436"/>
      <c r="DX130" s="436"/>
      <c r="DY130" s="436"/>
      <c r="DZ130" s="436"/>
      <c r="EA130" s="440"/>
      <c r="EB130" s="439"/>
      <c r="EC130" s="436"/>
      <c r="ED130" s="436"/>
      <c r="EE130" s="436"/>
      <c r="EF130" s="436"/>
      <c r="EG130" s="436"/>
      <c r="EH130" s="436"/>
      <c r="EI130" s="436"/>
      <c r="EJ130" s="436"/>
      <c r="EK130" s="436"/>
      <c r="EL130" s="436"/>
      <c r="EM130" s="436"/>
      <c r="EN130" s="436"/>
      <c r="EO130" s="436"/>
      <c r="EP130" s="436"/>
      <c r="EQ130" s="436"/>
      <c r="ER130" s="436"/>
      <c r="ES130" s="436"/>
      <c r="ET130" s="436"/>
      <c r="EU130" s="436"/>
      <c r="EV130" s="436"/>
      <c r="EW130" s="436"/>
      <c r="EX130" s="436"/>
      <c r="EY130" s="436"/>
      <c r="EZ130" s="440"/>
      <c r="FA130" s="439"/>
      <c r="FB130" s="436"/>
      <c r="FC130" s="436"/>
      <c r="FD130" s="436"/>
      <c r="FE130" s="436"/>
      <c r="FF130" s="436"/>
      <c r="FG130" s="436"/>
      <c r="FH130" s="436"/>
      <c r="FI130" s="436"/>
      <c r="FJ130" s="436"/>
      <c r="FK130" s="436"/>
      <c r="FL130" s="436"/>
      <c r="FM130" s="436"/>
      <c r="FN130" s="436"/>
      <c r="FO130" s="436"/>
      <c r="FP130" s="436"/>
      <c r="FQ130" s="436"/>
      <c r="FR130" s="436"/>
      <c r="FS130" s="436"/>
      <c r="FT130" s="436"/>
      <c r="FU130" s="436"/>
      <c r="FV130" s="436"/>
      <c r="FW130" s="436"/>
      <c r="FX130" s="436"/>
      <c r="FY130" s="440"/>
      <c r="FZ130" s="439"/>
      <c r="GA130" s="436"/>
      <c r="GB130" s="436"/>
      <c r="GC130" s="436"/>
      <c r="GD130" s="436"/>
      <c r="GE130" s="436"/>
      <c r="GF130" s="436"/>
      <c r="GG130" s="436"/>
      <c r="GH130" s="436"/>
      <c r="GI130" s="436"/>
      <c r="GJ130" s="436"/>
      <c r="GK130" s="436"/>
      <c r="GL130" s="436"/>
      <c r="GM130" s="436"/>
      <c r="GN130" s="436"/>
      <c r="GO130" s="436"/>
      <c r="GP130" s="436"/>
      <c r="GQ130" s="436"/>
      <c r="GR130" s="436"/>
      <c r="GS130" s="436"/>
      <c r="GT130" s="436"/>
      <c r="GU130" s="436"/>
      <c r="GV130" s="436"/>
      <c r="GW130" s="436"/>
      <c r="GX130" s="440"/>
      <c r="GY130" s="439"/>
      <c r="GZ130" s="436"/>
      <c r="HA130" s="436"/>
      <c r="HB130" s="436"/>
      <c r="HC130" s="436"/>
      <c r="HD130" s="436"/>
      <c r="HE130" s="436"/>
      <c r="HF130" s="436"/>
      <c r="HG130" s="436"/>
      <c r="HH130" s="436"/>
      <c r="HI130" s="436"/>
      <c r="HJ130" s="436"/>
      <c r="HK130" s="436"/>
      <c r="HL130" s="436"/>
      <c r="HM130" s="436"/>
      <c r="HN130" s="436"/>
      <c r="HO130" s="436"/>
      <c r="HP130" s="436"/>
      <c r="HQ130" s="436"/>
      <c r="HR130" s="436"/>
      <c r="HS130" s="436"/>
      <c r="HT130" s="436"/>
      <c r="HU130" s="436"/>
      <c r="HV130" s="436"/>
      <c r="HW130" s="440"/>
    </row>
    <row r="131" spans="1:231" ht="24" customHeight="1">
      <c r="A131" s="439"/>
      <c r="B131" s="436"/>
      <c r="C131" s="43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40"/>
      <c r="AA131" s="436"/>
      <c r="AB131" s="436"/>
      <c r="AC131" s="436"/>
      <c r="AD131" s="436"/>
      <c r="AE131" s="436"/>
      <c r="AF131" s="439"/>
      <c r="AG131" s="436"/>
      <c r="AH131" s="436"/>
      <c r="AI131" s="436"/>
      <c r="AJ131" s="436"/>
      <c r="AK131" s="436"/>
      <c r="AL131" s="436"/>
      <c r="AM131" s="436"/>
      <c r="AN131" s="436"/>
      <c r="AO131" s="436"/>
      <c r="AP131" s="436"/>
      <c r="AQ131" s="436"/>
      <c r="AR131" s="436"/>
      <c r="AS131" s="436"/>
      <c r="AT131" s="436"/>
      <c r="AU131" s="436"/>
      <c r="AV131" s="436"/>
      <c r="AW131" s="436"/>
      <c r="AX131" s="436"/>
      <c r="AY131" s="436"/>
      <c r="AZ131" s="436"/>
      <c r="BA131" s="436"/>
      <c r="BB131" s="436"/>
      <c r="BC131" s="436"/>
      <c r="BD131" s="440"/>
      <c r="BE131" s="439"/>
      <c r="BF131" s="436"/>
      <c r="BG131" s="436"/>
      <c r="BH131" s="436"/>
      <c r="BI131" s="436"/>
      <c r="BJ131" s="436"/>
      <c r="BK131" s="436"/>
      <c r="BL131" s="436"/>
      <c r="BM131" s="436"/>
      <c r="BN131" s="436"/>
      <c r="BO131" s="436"/>
      <c r="BP131" s="436"/>
      <c r="BQ131" s="436"/>
      <c r="BR131" s="436"/>
      <c r="BS131" s="436"/>
      <c r="BT131" s="436"/>
      <c r="BU131" s="436"/>
      <c r="BV131" s="436"/>
      <c r="BW131" s="436"/>
      <c r="BX131" s="436"/>
      <c r="BY131" s="436"/>
      <c r="BZ131" s="436"/>
      <c r="CA131" s="436"/>
      <c r="CB131" s="436"/>
      <c r="CC131" s="440"/>
      <c r="CD131" s="439"/>
      <c r="CE131" s="436"/>
      <c r="CF131" s="436"/>
      <c r="CG131" s="436"/>
      <c r="CH131" s="436"/>
      <c r="CI131" s="436"/>
      <c r="CJ131" s="436"/>
      <c r="CK131" s="436"/>
      <c r="CL131" s="436"/>
      <c r="CM131" s="436"/>
      <c r="CN131" s="436"/>
      <c r="CO131" s="436"/>
      <c r="CP131" s="436"/>
      <c r="CQ131" s="436"/>
      <c r="CR131" s="436"/>
      <c r="CS131" s="436"/>
      <c r="CT131" s="436"/>
      <c r="CU131" s="436"/>
      <c r="CV131" s="436"/>
      <c r="CW131" s="436"/>
      <c r="CX131" s="436"/>
      <c r="CY131" s="436"/>
      <c r="CZ131" s="436"/>
      <c r="DA131" s="436"/>
      <c r="DB131" s="440"/>
      <c r="DC131" s="439"/>
      <c r="DD131" s="436"/>
      <c r="DE131" s="436"/>
      <c r="DF131" s="436"/>
      <c r="DG131" s="436"/>
      <c r="DH131" s="436"/>
      <c r="DI131" s="436"/>
      <c r="DJ131" s="436"/>
      <c r="DK131" s="436"/>
      <c r="DL131" s="436"/>
      <c r="DM131" s="436"/>
      <c r="DN131" s="436"/>
      <c r="DO131" s="436"/>
      <c r="DP131" s="436"/>
      <c r="DQ131" s="436"/>
      <c r="DR131" s="436"/>
      <c r="DS131" s="436"/>
      <c r="DT131" s="436"/>
      <c r="DU131" s="436"/>
      <c r="DV131" s="436"/>
      <c r="DW131" s="436"/>
      <c r="DX131" s="436"/>
      <c r="DY131" s="436"/>
      <c r="DZ131" s="436"/>
      <c r="EA131" s="440"/>
      <c r="EB131" s="439"/>
      <c r="EC131" s="436"/>
      <c r="ED131" s="436"/>
      <c r="EE131" s="436"/>
      <c r="EF131" s="436"/>
      <c r="EG131" s="436"/>
      <c r="EH131" s="436"/>
      <c r="EI131" s="436"/>
      <c r="EJ131" s="436"/>
      <c r="EK131" s="436"/>
      <c r="EL131" s="436"/>
      <c r="EM131" s="436"/>
      <c r="EN131" s="436"/>
      <c r="EO131" s="436"/>
      <c r="EP131" s="436"/>
      <c r="EQ131" s="436"/>
      <c r="ER131" s="436"/>
      <c r="ES131" s="436"/>
      <c r="ET131" s="436"/>
      <c r="EU131" s="436"/>
      <c r="EV131" s="436"/>
      <c r="EW131" s="436"/>
      <c r="EX131" s="436"/>
      <c r="EY131" s="436"/>
      <c r="EZ131" s="440"/>
      <c r="FA131" s="439"/>
      <c r="FB131" s="436"/>
      <c r="FC131" s="436"/>
      <c r="FD131" s="436"/>
      <c r="FE131" s="436"/>
      <c r="FF131" s="436"/>
      <c r="FG131" s="436"/>
      <c r="FH131" s="436"/>
      <c r="FI131" s="436"/>
      <c r="FJ131" s="436"/>
      <c r="FK131" s="436"/>
      <c r="FL131" s="436"/>
      <c r="FM131" s="436"/>
      <c r="FN131" s="436"/>
      <c r="FO131" s="436"/>
      <c r="FP131" s="436"/>
      <c r="FQ131" s="436"/>
      <c r="FR131" s="436"/>
      <c r="FS131" s="436"/>
      <c r="FT131" s="436"/>
      <c r="FU131" s="436"/>
      <c r="FV131" s="436"/>
      <c r="FW131" s="436"/>
      <c r="FX131" s="436"/>
      <c r="FY131" s="440"/>
      <c r="FZ131" s="439"/>
      <c r="GA131" s="436"/>
      <c r="GB131" s="436"/>
      <c r="GC131" s="436"/>
      <c r="GD131" s="436"/>
      <c r="GE131" s="436"/>
      <c r="GF131" s="436"/>
      <c r="GG131" s="436"/>
      <c r="GH131" s="436"/>
      <c r="GI131" s="436"/>
      <c r="GJ131" s="436"/>
      <c r="GK131" s="436"/>
      <c r="GL131" s="436"/>
      <c r="GM131" s="436"/>
      <c r="GN131" s="436"/>
      <c r="GO131" s="436"/>
      <c r="GP131" s="436"/>
      <c r="GQ131" s="436"/>
      <c r="GR131" s="436"/>
      <c r="GS131" s="436"/>
      <c r="GT131" s="436"/>
      <c r="GU131" s="436"/>
      <c r="GV131" s="436"/>
      <c r="GW131" s="436"/>
      <c r="GX131" s="440"/>
      <c r="GY131" s="439"/>
      <c r="GZ131" s="436"/>
      <c r="HA131" s="436"/>
      <c r="HB131" s="436"/>
      <c r="HC131" s="436"/>
      <c r="HD131" s="436"/>
      <c r="HE131" s="436"/>
      <c r="HF131" s="436"/>
      <c r="HG131" s="436"/>
      <c r="HH131" s="436"/>
      <c r="HI131" s="436"/>
      <c r="HJ131" s="436"/>
      <c r="HK131" s="436"/>
      <c r="HL131" s="436"/>
      <c r="HM131" s="436"/>
      <c r="HN131" s="436"/>
      <c r="HO131" s="436"/>
      <c r="HP131" s="436"/>
      <c r="HQ131" s="436"/>
      <c r="HR131" s="436"/>
      <c r="HS131" s="436"/>
      <c r="HT131" s="436"/>
      <c r="HU131" s="436"/>
      <c r="HV131" s="436"/>
      <c r="HW131" s="440"/>
    </row>
    <row r="132" spans="1:231" ht="24" customHeight="1" thickBot="1">
      <c r="A132" s="439"/>
      <c r="B132" s="441"/>
      <c r="C132" s="441"/>
      <c r="D132" s="441"/>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40"/>
      <c r="AA132" s="436"/>
      <c r="AB132" s="436"/>
      <c r="AC132" s="436"/>
      <c r="AD132" s="436"/>
      <c r="AE132" s="436"/>
      <c r="AF132" s="439"/>
      <c r="AG132" s="441"/>
      <c r="AH132" s="441"/>
      <c r="AI132" s="441"/>
      <c r="AJ132" s="436"/>
      <c r="AK132" s="436"/>
      <c r="AL132" s="436"/>
      <c r="AM132" s="436"/>
      <c r="AN132" s="436"/>
      <c r="AO132" s="436"/>
      <c r="AP132" s="436"/>
      <c r="AQ132" s="436"/>
      <c r="AR132" s="436"/>
      <c r="AS132" s="436"/>
      <c r="AT132" s="436"/>
      <c r="AU132" s="436"/>
      <c r="AV132" s="436"/>
      <c r="AW132" s="436"/>
      <c r="AX132" s="436"/>
      <c r="AY132" s="436"/>
      <c r="AZ132" s="436"/>
      <c r="BA132" s="436"/>
      <c r="BB132" s="436"/>
      <c r="BC132" s="436"/>
      <c r="BD132" s="440"/>
      <c r="BE132" s="439"/>
      <c r="BF132" s="441"/>
      <c r="BG132" s="441"/>
      <c r="BH132" s="441"/>
      <c r="BI132" s="436"/>
      <c r="BJ132" s="436"/>
      <c r="BK132" s="436"/>
      <c r="BL132" s="436"/>
      <c r="BM132" s="436"/>
      <c r="BN132" s="436"/>
      <c r="BO132" s="436"/>
      <c r="BP132" s="436"/>
      <c r="BQ132" s="436"/>
      <c r="BR132" s="436"/>
      <c r="BS132" s="436"/>
      <c r="BT132" s="436"/>
      <c r="BU132" s="436"/>
      <c r="BV132" s="436"/>
      <c r="BW132" s="436"/>
      <c r="BX132" s="436"/>
      <c r="BY132" s="436"/>
      <c r="BZ132" s="436"/>
      <c r="CA132" s="436"/>
      <c r="CB132" s="436"/>
      <c r="CC132" s="440"/>
      <c r="CD132" s="439"/>
      <c r="CE132" s="441"/>
      <c r="CF132" s="441"/>
      <c r="CG132" s="441"/>
      <c r="CH132" s="436"/>
      <c r="CI132" s="436"/>
      <c r="CJ132" s="436"/>
      <c r="CK132" s="436"/>
      <c r="CL132" s="436"/>
      <c r="CM132" s="436"/>
      <c r="CN132" s="436"/>
      <c r="CO132" s="436"/>
      <c r="CP132" s="436"/>
      <c r="CQ132" s="436"/>
      <c r="CR132" s="436"/>
      <c r="CS132" s="436"/>
      <c r="CT132" s="436"/>
      <c r="CU132" s="436"/>
      <c r="CV132" s="436"/>
      <c r="CW132" s="436"/>
      <c r="CX132" s="436"/>
      <c r="CY132" s="436"/>
      <c r="CZ132" s="436"/>
      <c r="DA132" s="436"/>
      <c r="DB132" s="440"/>
      <c r="DC132" s="439"/>
      <c r="DD132" s="441"/>
      <c r="DE132" s="441"/>
      <c r="DF132" s="441"/>
      <c r="DG132" s="436"/>
      <c r="DH132" s="436"/>
      <c r="DI132" s="436"/>
      <c r="DJ132" s="436"/>
      <c r="DK132" s="436"/>
      <c r="DL132" s="436"/>
      <c r="DM132" s="436"/>
      <c r="DN132" s="436"/>
      <c r="DO132" s="436"/>
      <c r="DP132" s="436"/>
      <c r="DQ132" s="436"/>
      <c r="DR132" s="436"/>
      <c r="DS132" s="436"/>
      <c r="DT132" s="436"/>
      <c r="DU132" s="436"/>
      <c r="DV132" s="436"/>
      <c r="DW132" s="436"/>
      <c r="DX132" s="436"/>
      <c r="DY132" s="436"/>
      <c r="DZ132" s="436"/>
      <c r="EA132" s="440"/>
      <c r="EB132" s="439"/>
      <c r="EC132" s="441"/>
      <c r="ED132" s="441"/>
      <c r="EE132" s="441"/>
      <c r="EF132" s="436"/>
      <c r="EG132" s="436"/>
      <c r="EH132" s="436"/>
      <c r="EI132" s="436"/>
      <c r="EJ132" s="436"/>
      <c r="EK132" s="436"/>
      <c r="EL132" s="436"/>
      <c r="EM132" s="436"/>
      <c r="EN132" s="436"/>
      <c r="EO132" s="436"/>
      <c r="EP132" s="436"/>
      <c r="EQ132" s="436"/>
      <c r="ER132" s="436"/>
      <c r="ES132" s="436"/>
      <c r="ET132" s="436"/>
      <c r="EU132" s="436"/>
      <c r="EV132" s="436"/>
      <c r="EW132" s="436"/>
      <c r="EX132" s="436"/>
      <c r="EY132" s="436"/>
      <c r="EZ132" s="440"/>
      <c r="FA132" s="439"/>
      <c r="FB132" s="441"/>
      <c r="FC132" s="441"/>
      <c r="FD132" s="441"/>
      <c r="FE132" s="436"/>
      <c r="FF132" s="436"/>
      <c r="FG132" s="436"/>
      <c r="FH132" s="436"/>
      <c r="FI132" s="436"/>
      <c r="FJ132" s="436"/>
      <c r="FK132" s="436"/>
      <c r="FL132" s="436"/>
      <c r="FM132" s="436"/>
      <c r="FN132" s="436"/>
      <c r="FO132" s="436"/>
      <c r="FP132" s="436"/>
      <c r="FQ132" s="436"/>
      <c r="FR132" s="436"/>
      <c r="FS132" s="436"/>
      <c r="FT132" s="436"/>
      <c r="FU132" s="436"/>
      <c r="FV132" s="436"/>
      <c r="FW132" s="436"/>
      <c r="FX132" s="436"/>
      <c r="FY132" s="440"/>
      <c r="FZ132" s="439"/>
      <c r="GA132" s="441"/>
      <c r="GB132" s="441"/>
      <c r="GC132" s="441"/>
      <c r="GD132" s="436"/>
      <c r="GE132" s="436"/>
      <c r="GF132" s="436"/>
      <c r="GG132" s="436"/>
      <c r="GH132" s="436"/>
      <c r="GI132" s="436"/>
      <c r="GJ132" s="436"/>
      <c r="GK132" s="436"/>
      <c r="GL132" s="436"/>
      <c r="GM132" s="436"/>
      <c r="GN132" s="436"/>
      <c r="GO132" s="436"/>
      <c r="GP132" s="436"/>
      <c r="GQ132" s="436"/>
      <c r="GR132" s="436"/>
      <c r="GS132" s="436"/>
      <c r="GT132" s="436"/>
      <c r="GU132" s="436"/>
      <c r="GV132" s="436"/>
      <c r="GW132" s="436"/>
      <c r="GX132" s="440"/>
      <c r="GY132" s="439"/>
      <c r="GZ132" s="441"/>
      <c r="HA132" s="441"/>
      <c r="HB132" s="441"/>
      <c r="HC132" s="436"/>
      <c r="HD132" s="436"/>
      <c r="HE132" s="436"/>
      <c r="HF132" s="436"/>
      <c r="HG132" s="436"/>
      <c r="HH132" s="436"/>
      <c r="HI132" s="436"/>
      <c r="HJ132" s="436"/>
      <c r="HK132" s="436"/>
      <c r="HL132" s="436"/>
      <c r="HM132" s="436"/>
      <c r="HN132" s="436"/>
      <c r="HO132" s="436"/>
      <c r="HP132" s="436"/>
      <c r="HQ132" s="436"/>
      <c r="HR132" s="436"/>
      <c r="HS132" s="436"/>
      <c r="HT132" s="436"/>
      <c r="HU132" s="436"/>
      <c r="HV132" s="436"/>
      <c r="HW132" s="440"/>
    </row>
    <row r="133" spans="1:231" ht="24" customHeight="1" thickBot="1">
      <c r="A133" s="444"/>
      <c r="B133" s="1917" t="str">
        <f>'Вывод расчетов'!$AK$9</f>
        <v>Раздел 1</v>
      </c>
      <c r="C133" s="1915"/>
      <c r="D133" s="1915"/>
      <c r="E133" s="445"/>
      <c r="F133" s="1917" t="str">
        <f>'Вывод расчетов'!$AN$9</f>
        <v>Определение главных размеров асинхронного двигателя</v>
      </c>
      <c r="G133" s="1915"/>
      <c r="H133" s="1915"/>
      <c r="I133" s="1915"/>
      <c r="J133" s="1915"/>
      <c r="K133" s="1915"/>
      <c r="L133" s="1915"/>
      <c r="M133" s="1915"/>
      <c r="N133" s="1915"/>
      <c r="O133" s="1915"/>
      <c r="P133" s="1915"/>
      <c r="Q133" s="1915"/>
      <c r="R133" s="1918"/>
      <c r="S133" s="445"/>
      <c r="T133" s="1917" t="s">
        <v>1502</v>
      </c>
      <c r="U133" s="1915"/>
      <c r="V133" s="1918"/>
      <c r="W133" s="445"/>
      <c r="X133" s="1917">
        <v>7</v>
      </c>
      <c r="Y133" s="1918"/>
      <c r="Z133" s="446"/>
      <c r="AA133" s="608"/>
      <c r="AB133" s="608"/>
      <c r="AC133" s="608"/>
      <c r="AD133" s="608"/>
      <c r="AE133" s="608"/>
      <c r="AF133" s="444"/>
      <c r="AG133" s="1917" t="str">
        <f>'Вывод расчетов'!$CC$9</f>
        <v>Раздел 3</v>
      </c>
      <c r="AH133" s="1915"/>
      <c r="AI133" s="1915"/>
      <c r="AJ133" s="445"/>
      <c r="AK133" s="1917" t="str">
        <f>'Вывод расчетов'!$CF$9</f>
        <v>Расчет обмотки статора</v>
      </c>
      <c r="AL133" s="1915"/>
      <c r="AM133" s="1915"/>
      <c r="AN133" s="1915"/>
      <c r="AO133" s="1915"/>
      <c r="AP133" s="1915"/>
      <c r="AQ133" s="1915"/>
      <c r="AR133" s="1915"/>
      <c r="AS133" s="1915"/>
      <c r="AT133" s="1915"/>
      <c r="AU133" s="1915"/>
      <c r="AV133" s="1918"/>
      <c r="AW133" s="445"/>
      <c r="AX133" s="1917" t="s">
        <v>1502</v>
      </c>
      <c r="AY133" s="1915"/>
      <c r="AZ133" s="1918"/>
      <c r="BA133" s="445"/>
      <c r="BB133" s="1917">
        <v>11</v>
      </c>
      <c r="BC133" s="1918"/>
      <c r="BD133" s="446"/>
      <c r="BE133" s="444"/>
      <c r="BF133" s="1917" t="str">
        <f>'Вывод расчетов'!$CC$9</f>
        <v>Раздел 3</v>
      </c>
      <c r="BG133" s="1915"/>
      <c r="BH133" s="1915"/>
      <c r="BI133" s="445"/>
      <c r="BJ133" s="1917" t="str">
        <f>'Вывод расчетов'!$CF$9</f>
        <v>Расчет обмотки статора</v>
      </c>
      <c r="BK133" s="1915"/>
      <c r="BL133" s="1915"/>
      <c r="BM133" s="1915"/>
      <c r="BN133" s="1915"/>
      <c r="BO133" s="1915"/>
      <c r="BP133" s="1915"/>
      <c r="BQ133" s="1915"/>
      <c r="BR133" s="1915"/>
      <c r="BS133" s="1915"/>
      <c r="BT133" s="1915"/>
      <c r="BU133" s="1918"/>
      <c r="BV133" s="445"/>
      <c r="BW133" s="1917" t="s">
        <v>1502</v>
      </c>
      <c r="BX133" s="1915"/>
      <c r="BY133" s="1918"/>
      <c r="BZ133" s="445"/>
      <c r="CA133" s="1917">
        <v>11</v>
      </c>
      <c r="CB133" s="1918"/>
      <c r="CC133" s="446"/>
      <c r="CD133" s="444"/>
      <c r="CE133" s="1917" t="str">
        <f>'Вывод расчетов'!$CC$9</f>
        <v>Раздел 3</v>
      </c>
      <c r="CF133" s="1915"/>
      <c r="CG133" s="1915"/>
      <c r="CH133" s="445"/>
      <c r="CI133" s="1917" t="str">
        <f>'Вывод расчетов'!$CF$9</f>
        <v>Расчет обмотки статора</v>
      </c>
      <c r="CJ133" s="1915"/>
      <c r="CK133" s="1915"/>
      <c r="CL133" s="1915"/>
      <c r="CM133" s="1915"/>
      <c r="CN133" s="1915"/>
      <c r="CO133" s="1915"/>
      <c r="CP133" s="1915"/>
      <c r="CQ133" s="1915"/>
      <c r="CR133" s="1915"/>
      <c r="CS133" s="1915"/>
      <c r="CT133" s="1918"/>
      <c r="CU133" s="445"/>
      <c r="CV133" s="1917" t="s">
        <v>1502</v>
      </c>
      <c r="CW133" s="1915"/>
      <c r="CX133" s="1918"/>
      <c r="CY133" s="445"/>
      <c r="CZ133" s="1917">
        <v>11</v>
      </c>
      <c r="DA133" s="1918"/>
      <c r="DB133" s="446"/>
      <c r="DC133" s="444"/>
      <c r="DD133" s="1917" t="str">
        <f>'Вывод расчетов'!$CC$9</f>
        <v>Раздел 3</v>
      </c>
      <c r="DE133" s="1915"/>
      <c r="DF133" s="1915"/>
      <c r="DG133" s="445"/>
      <c r="DH133" s="1917" t="str">
        <f>'Вывод расчетов'!$CF$9</f>
        <v>Расчет обмотки статора</v>
      </c>
      <c r="DI133" s="1915"/>
      <c r="DJ133" s="1915"/>
      <c r="DK133" s="1915"/>
      <c r="DL133" s="1915"/>
      <c r="DM133" s="1915"/>
      <c r="DN133" s="1915"/>
      <c r="DO133" s="1915"/>
      <c r="DP133" s="1915"/>
      <c r="DQ133" s="1915"/>
      <c r="DR133" s="1915"/>
      <c r="DS133" s="1918"/>
      <c r="DT133" s="445"/>
      <c r="DU133" s="1917" t="s">
        <v>1502</v>
      </c>
      <c r="DV133" s="1915"/>
      <c r="DW133" s="1918"/>
      <c r="DX133" s="445"/>
      <c r="DY133" s="1917">
        <v>11</v>
      </c>
      <c r="DZ133" s="1918"/>
      <c r="EA133" s="446"/>
      <c r="EB133" s="444"/>
      <c r="EC133" s="1917" t="str">
        <f>'Вывод расчетов'!$CC$9</f>
        <v>Раздел 3</v>
      </c>
      <c r="ED133" s="1915"/>
      <c r="EE133" s="1915"/>
      <c r="EF133" s="445"/>
      <c r="EG133" s="1917" t="str">
        <f>'Вывод расчетов'!$CF$9</f>
        <v>Расчет обмотки статора</v>
      </c>
      <c r="EH133" s="1915"/>
      <c r="EI133" s="1915"/>
      <c r="EJ133" s="1915"/>
      <c r="EK133" s="1915"/>
      <c r="EL133" s="1915"/>
      <c r="EM133" s="1915"/>
      <c r="EN133" s="1915"/>
      <c r="EO133" s="1915"/>
      <c r="EP133" s="1915"/>
      <c r="EQ133" s="1915"/>
      <c r="ER133" s="1918"/>
      <c r="ES133" s="445"/>
      <c r="ET133" s="1917" t="s">
        <v>1502</v>
      </c>
      <c r="EU133" s="1915"/>
      <c r="EV133" s="1918"/>
      <c r="EW133" s="445"/>
      <c r="EX133" s="1917">
        <v>11</v>
      </c>
      <c r="EY133" s="1918"/>
      <c r="EZ133" s="446"/>
      <c r="FA133" s="444"/>
      <c r="FB133" s="1917" t="str">
        <f>'Вывод расчетов'!$CC$9</f>
        <v>Раздел 3</v>
      </c>
      <c r="FC133" s="1915"/>
      <c r="FD133" s="1915"/>
      <c r="FE133" s="445"/>
      <c r="FF133" s="1917" t="str">
        <f>'Вывод расчетов'!$CF$9</f>
        <v>Расчет обмотки статора</v>
      </c>
      <c r="FG133" s="1915"/>
      <c r="FH133" s="1915"/>
      <c r="FI133" s="1915"/>
      <c r="FJ133" s="1915"/>
      <c r="FK133" s="1915"/>
      <c r="FL133" s="1915"/>
      <c r="FM133" s="1915"/>
      <c r="FN133" s="1915"/>
      <c r="FO133" s="1915"/>
      <c r="FP133" s="1915"/>
      <c r="FQ133" s="1918"/>
      <c r="FR133" s="445"/>
      <c r="FS133" s="1917" t="s">
        <v>1502</v>
      </c>
      <c r="FT133" s="1915"/>
      <c r="FU133" s="1918"/>
      <c r="FV133" s="445"/>
      <c r="FW133" s="1917">
        <v>11</v>
      </c>
      <c r="FX133" s="1918"/>
      <c r="FY133" s="446"/>
      <c r="FZ133" s="444"/>
      <c r="GA133" s="1917" t="str">
        <f>'Вывод расчетов'!$CC$9</f>
        <v>Раздел 3</v>
      </c>
      <c r="GB133" s="1915"/>
      <c r="GC133" s="1915"/>
      <c r="GD133" s="445"/>
      <c r="GE133" s="1917" t="str">
        <f>'Вывод расчетов'!$CF$9</f>
        <v>Расчет обмотки статора</v>
      </c>
      <c r="GF133" s="1915"/>
      <c r="GG133" s="1915"/>
      <c r="GH133" s="1915"/>
      <c r="GI133" s="1915"/>
      <c r="GJ133" s="1915"/>
      <c r="GK133" s="1915"/>
      <c r="GL133" s="1915"/>
      <c r="GM133" s="1915"/>
      <c r="GN133" s="1915"/>
      <c r="GO133" s="1915"/>
      <c r="GP133" s="1918"/>
      <c r="GQ133" s="445"/>
      <c r="GR133" s="1917" t="s">
        <v>1502</v>
      </c>
      <c r="GS133" s="1915"/>
      <c r="GT133" s="1918"/>
      <c r="GU133" s="445"/>
      <c r="GV133" s="1917">
        <v>11</v>
      </c>
      <c r="GW133" s="1918"/>
      <c r="GX133" s="446"/>
      <c r="GY133" s="444"/>
      <c r="GZ133" s="1917" t="str">
        <f>'Вывод расчетов'!$CC$9</f>
        <v>Раздел 3</v>
      </c>
      <c r="HA133" s="1915"/>
      <c r="HB133" s="1915"/>
      <c r="HC133" s="445"/>
      <c r="HD133" s="1917" t="str">
        <f>'Вывод расчетов'!$CF$9</f>
        <v>Расчет обмотки статора</v>
      </c>
      <c r="HE133" s="1915"/>
      <c r="HF133" s="1915"/>
      <c r="HG133" s="1915"/>
      <c r="HH133" s="1915"/>
      <c r="HI133" s="1915"/>
      <c r="HJ133" s="1915"/>
      <c r="HK133" s="1915"/>
      <c r="HL133" s="1915"/>
      <c r="HM133" s="1915"/>
      <c r="HN133" s="1915"/>
      <c r="HO133" s="1918"/>
      <c r="HP133" s="445"/>
      <c r="HQ133" s="1917" t="s">
        <v>1502</v>
      </c>
      <c r="HR133" s="1915"/>
      <c r="HS133" s="1918"/>
      <c r="HT133" s="445"/>
      <c r="HU133" s="1917">
        <v>11</v>
      </c>
      <c r="HV133" s="1918"/>
      <c r="HW133" s="446"/>
    </row>
    <row r="134" spans="1:231" ht="24" customHeight="1" thickBot="1">
      <c r="AF134" s="1914" t="s">
        <v>1230</v>
      </c>
      <c r="AG134" s="1915"/>
      <c r="AH134" s="1915"/>
      <c r="AI134" s="1915"/>
      <c r="AJ134" s="1915"/>
      <c r="AK134" s="1915"/>
      <c r="AL134" s="1915"/>
      <c r="AM134" s="1915"/>
      <c r="AN134" s="1915"/>
      <c r="AO134" s="1915"/>
      <c r="AP134" s="1915"/>
      <c r="AQ134" s="1915"/>
      <c r="AR134" s="1915"/>
      <c r="AS134" s="1915"/>
      <c r="AT134" s="1915"/>
      <c r="AU134" s="1915"/>
      <c r="AV134" s="1915"/>
      <c r="AW134" s="1915"/>
      <c r="AX134" s="1915"/>
      <c r="AY134" s="1915"/>
      <c r="AZ134" s="1915"/>
      <c r="BA134" s="1915"/>
      <c r="BB134" s="1915"/>
      <c r="BC134" s="1915"/>
      <c r="BD134" s="1916"/>
      <c r="BE134" s="1914" t="s">
        <v>1230</v>
      </c>
      <c r="BF134" s="1915"/>
      <c r="BG134" s="1915"/>
      <c r="BH134" s="1915"/>
      <c r="BI134" s="1915"/>
      <c r="BJ134" s="1915"/>
      <c r="BK134" s="1915"/>
      <c r="BL134" s="1915"/>
      <c r="BM134" s="1915"/>
      <c r="BN134" s="1915"/>
      <c r="BO134" s="1915"/>
      <c r="BP134" s="1915"/>
      <c r="BQ134" s="1915"/>
      <c r="BR134" s="1915"/>
      <c r="BS134" s="1915"/>
      <c r="BT134" s="1915"/>
      <c r="BU134" s="1915"/>
      <c r="BV134" s="1915"/>
      <c r="BW134" s="1915"/>
      <c r="BX134" s="1915"/>
      <c r="BY134" s="1915"/>
      <c r="BZ134" s="1915"/>
      <c r="CA134" s="1915"/>
      <c r="CB134" s="1915"/>
      <c r="CC134" s="1916"/>
      <c r="CD134" s="1914" t="s">
        <v>1230</v>
      </c>
      <c r="CE134" s="1915"/>
      <c r="CF134" s="1915"/>
      <c r="CG134" s="1915"/>
      <c r="CH134" s="1915"/>
      <c r="CI134" s="1915"/>
      <c r="CJ134" s="1915"/>
      <c r="CK134" s="1915"/>
      <c r="CL134" s="1915"/>
      <c r="CM134" s="1915"/>
      <c r="CN134" s="1915"/>
      <c r="CO134" s="1915"/>
      <c r="CP134" s="1915"/>
      <c r="CQ134" s="1915"/>
      <c r="CR134" s="1915"/>
      <c r="CS134" s="1915"/>
      <c r="CT134" s="1915"/>
      <c r="CU134" s="1915"/>
      <c r="CV134" s="1915"/>
      <c r="CW134" s="1915"/>
      <c r="CX134" s="1915"/>
      <c r="CY134" s="1915"/>
      <c r="CZ134" s="1915"/>
      <c r="DA134" s="1915"/>
      <c r="DB134" s="1916"/>
      <c r="DC134" s="1914" t="s">
        <v>1230</v>
      </c>
      <c r="DD134" s="1915"/>
      <c r="DE134" s="1915"/>
      <c r="DF134" s="1915"/>
      <c r="DG134" s="1915"/>
      <c r="DH134" s="1915"/>
      <c r="DI134" s="1915"/>
      <c r="DJ134" s="1915"/>
      <c r="DK134" s="1915"/>
      <c r="DL134" s="1915"/>
      <c r="DM134" s="1915"/>
      <c r="DN134" s="1915"/>
      <c r="DO134" s="1915"/>
      <c r="DP134" s="1915"/>
      <c r="DQ134" s="1915"/>
      <c r="DR134" s="1915"/>
      <c r="DS134" s="1915"/>
      <c r="DT134" s="1915"/>
      <c r="DU134" s="1915"/>
      <c r="DV134" s="1915"/>
      <c r="DW134" s="1915"/>
      <c r="DX134" s="1915"/>
      <c r="DY134" s="1915"/>
      <c r="DZ134" s="1915"/>
      <c r="EA134" s="1916"/>
      <c r="EB134" s="1914" t="s">
        <v>1230</v>
      </c>
      <c r="EC134" s="1915"/>
      <c r="ED134" s="1915"/>
      <c r="EE134" s="1915"/>
      <c r="EF134" s="1915"/>
      <c r="EG134" s="1915"/>
      <c r="EH134" s="1915"/>
      <c r="EI134" s="1915"/>
      <c r="EJ134" s="1915"/>
      <c r="EK134" s="1915"/>
      <c r="EL134" s="1915"/>
      <c r="EM134" s="1915"/>
      <c r="EN134" s="1915"/>
      <c r="EO134" s="1915"/>
      <c r="EP134" s="1915"/>
      <c r="EQ134" s="1915"/>
      <c r="ER134" s="1915"/>
      <c r="ES134" s="1915"/>
      <c r="ET134" s="1915"/>
      <c r="EU134" s="1915"/>
      <c r="EV134" s="1915"/>
      <c r="EW134" s="1915"/>
      <c r="EX134" s="1915"/>
      <c r="EY134" s="1915"/>
      <c r="EZ134" s="1916"/>
      <c r="FZ134" s="1914" t="s">
        <v>1230</v>
      </c>
      <c r="GA134" s="1915"/>
      <c r="GB134" s="1915"/>
      <c r="GC134" s="1915"/>
      <c r="GD134" s="1915"/>
      <c r="GE134" s="1915"/>
      <c r="GF134" s="1915"/>
      <c r="GG134" s="1915"/>
      <c r="GH134" s="1915"/>
      <c r="GI134" s="1915"/>
      <c r="GJ134" s="1915"/>
      <c r="GK134" s="1915"/>
      <c r="GL134" s="1915"/>
      <c r="GM134" s="1915"/>
      <c r="GN134" s="1915"/>
      <c r="GO134" s="1915"/>
      <c r="GP134" s="1915"/>
      <c r="GQ134" s="1915"/>
      <c r="GR134" s="1915"/>
      <c r="GS134" s="1915"/>
      <c r="GT134" s="1915"/>
      <c r="GU134" s="1915"/>
      <c r="GV134" s="1915"/>
      <c r="GW134" s="1915"/>
      <c r="GX134" s="1916"/>
      <c r="GY134" s="1914" t="s">
        <v>1230</v>
      </c>
      <c r="GZ134" s="1915"/>
      <c r="HA134" s="1915"/>
      <c r="HB134" s="1915"/>
      <c r="HC134" s="1915"/>
      <c r="HD134" s="1915"/>
      <c r="HE134" s="1915"/>
      <c r="HF134" s="1915"/>
      <c r="HG134" s="1915"/>
      <c r="HH134" s="1915"/>
      <c r="HI134" s="1915"/>
      <c r="HJ134" s="1915"/>
      <c r="HK134" s="1915"/>
      <c r="HL134" s="1915"/>
      <c r="HM134" s="1915"/>
      <c r="HN134" s="1915"/>
      <c r="HO134" s="1915"/>
      <c r="HP134" s="1915"/>
      <c r="HQ134" s="1915"/>
      <c r="HR134" s="1915"/>
      <c r="HS134" s="1915"/>
      <c r="HT134" s="1915"/>
      <c r="HU134" s="1915"/>
      <c r="HV134" s="1915"/>
      <c r="HW134" s="1916"/>
    </row>
    <row r="135" spans="1:231" ht="24" customHeight="1">
      <c r="AF135" s="437"/>
      <c r="AG135" s="438"/>
      <c r="AH135" s="438"/>
      <c r="AI135" s="438"/>
      <c r="AJ135" s="438"/>
      <c r="AK135" s="438"/>
      <c r="AL135" s="438"/>
      <c r="AM135" s="438"/>
      <c r="AN135" s="438"/>
      <c r="AO135" s="438"/>
      <c r="AP135" s="438"/>
      <c r="AQ135" s="438"/>
      <c r="AR135" s="438"/>
      <c r="AS135" s="438"/>
      <c r="AT135" s="438"/>
      <c r="AU135" s="438"/>
      <c r="AV135" s="438"/>
      <c r="AW135" s="438"/>
      <c r="AX135" s="438"/>
      <c r="AY135" s="438"/>
      <c r="AZ135" s="438"/>
      <c r="BA135" s="438"/>
      <c r="BB135" s="438"/>
      <c r="BC135" s="438"/>
      <c r="BD135" s="447"/>
      <c r="BE135" s="437"/>
      <c r="BF135" s="438"/>
      <c r="BG135" s="438"/>
      <c r="BH135" s="438"/>
      <c r="BI135" s="438"/>
      <c r="BJ135" s="438"/>
      <c r="BK135" s="438"/>
      <c r="BL135" s="438"/>
      <c r="BM135" s="438"/>
      <c r="BN135" s="438"/>
      <c r="BO135" s="438"/>
      <c r="BP135" s="438"/>
      <c r="BQ135" s="438"/>
      <c r="BR135" s="438"/>
      <c r="BS135" s="438"/>
      <c r="BT135" s="438"/>
      <c r="BU135" s="438"/>
      <c r="BV135" s="438"/>
      <c r="BW135" s="438"/>
      <c r="BX135" s="438"/>
      <c r="BY135" s="438"/>
      <c r="BZ135" s="438"/>
      <c r="CA135" s="438"/>
      <c r="CB135" s="438"/>
      <c r="CC135" s="447"/>
      <c r="CD135" s="437"/>
      <c r="CE135" s="438"/>
      <c r="CF135" s="438"/>
      <c r="CG135" s="438"/>
      <c r="CH135" s="438"/>
      <c r="CI135" s="438"/>
      <c r="CJ135" s="438"/>
      <c r="CK135" s="438"/>
      <c r="CL135" s="438"/>
      <c r="CM135" s="438"/>
      <c r="CN135" s="438"/>
      <c r="CO135" s="438"/>
      <c r="CP135" s="438"/>
      <c r="CQ135" s="438"/>
      <c r="CR135" s="438"/>
      <c r="CS135" s="438"/>
      <c r="CT135" s="438"/>
      <c r="CU135" s="438"/>
      <c r="CV135" s="438"/>
      <c r="CW135" s="438"/>
      <c r="CX135" s="438"/>
      <c r="CY135" s="438"/>
      <c r="CZ135" s="438"/>
      <c r="DA135" s="438"/>
      <c r="DB135" s="447"/>
      <c r="DC135" s="437"/>
      <c r="DD135" s="438"/>
      <c r="DE135" s="438"/>
      <c r="DF135" s="438"/>
      <c r="DG135" s="438"/>
      <c r="DH135" s="438"/>
      <c r="DI135" s="438"/>
      <c r="DJ135" s="438"/>
      <c r="DK135" s="438"/>
      <c r="DL135" s="438"/>
      <c r="DM135" s="438"/>
      <c r="DN135" s="438"/>
      <c r="DO135" s="438"/>
      <c r="DP135" s="438"/>
      <c r="DQ135" s="438"/>
      <c r="DR135" s="438"/>
      <c r="DS135" s="438"/>
      <c r="DT135" s="438"/>
      <c r="DU135" s="438"/>
      <c r="DV135" s="438"/>
      <c r="DW135" s="438"/>
      <c r="DX135" s="438"/>
      <c r="DY135" s="438"/>
      <c r="DZ135" s="438"/>
      <c r="EA135" s="447"/>
      <c r="EB135" s="437"/>
      <c r="EC135" s="438"/>
      <c r="ED135" s="438"/>
      <c r="EE135" s="438"/>
      <c r="EF135" s="438"/>
      <c r="EG135" s="438"/>
      <c r="EH135" s="438"/>
      <c r="EI135" s="438"/>
      <c r="EJ135" s="438"/>
      <c r="EK135" s="438"/>
      <c r="EL135" s="438"/>
      <c r="EM135" s="438"/>
      <c r="EN135" s="438"/>
      <c r="EO135" s="438"/>
      <c r="EP135" s="438"/>
      <c r="EQ135" s="438"/>
      <c r="ER135" s="438"/>
      <c r="ES135" s="438"/>
      <c r="ET135" s="438"/>
      <c r="EU135" s="438"/>
      <c r="EV135" s="438"/>
      <c r="EW135" s="438"/>
      <c r="EX135" s="438"/>
      <c r="EY135" s="438"/>
      <c r="EZ135" s="447"/>
      <c r="FZ135" s="437"/>
      <c r="GA135" s="438"/>
      <c r="GB135" s="438"/>
      <c r="GC135" s="438"/>
      <c r="GD135" s="438"/>
      <c r="GE135" s="438"/>
      <c r="GF135" s="438"/>
      <c r="GG135" s="438"/>
      <c r="GH135" s="438"/>
      <c r="GI135" s="438"/>
      <c r="GJ135" s="438"/>
      <c r="GK135" s="438"/>
      <c r="GL135" s="438"/>
      <c r="GM135" s="438"/>
      <c r="GN135" s="438"/>
      <c r="GO135" s="438"/>
      <c r="GP135" s="438"/>
      <c r="GQ135" s="438"/>
      <c r="GR135" s="438"/>
      <c r="GS135" s="438"/>
      <c r="GT135" s="438"/>
      <c r="GU135" s="438"/>
      <c r="GV135" s="438"/>
      <c r="GW135" s="438"/>
      <c r="GX135" s="447"/>
      <c r="GY135" s="437"/>
      <c r="GZ135" s="438"/>
      <c r="HA135" s="438"/>
      <c r="HB135" s="438"/>
      <c r="HC135" s="438"/>
      <c r="HD135" s="438"/>
      <c r="HE135" s="438"/>
      <c r="HF135" s="438"/>
      <c r="HG135" s="438"/>
      <c r="HH135" s="438"/>
      <c r="HI135" s="438"/>
      <c r="HJ135" s="438"/>
      <c r="HK135" s="438"/>
      <c r="HL135" s="438"/>
      <c r="HM135" s="438"/>
      <c r="HN135" s="438"/>
      <c r="HO135" s="438"/>
      <c r="HP135" s="438"/>
      <c r="HQ135" s="438"/>
      <c r="HR135" s="438"/>
      <c r="HS135" s="438"/>
      <c r="HT135" s="438"/>
      <c r="HU135" s="438"/>
      <c r="HV135" s="438"/>
      <c r="HW135" s="447"/>
    </row>
    <row r="136" spans="1:231" ht="24" customHeight="1">
      <c r="AF136" s="439"/>
      <c r="AG136" s="436"/>
      <c r="AH136" s="436"/>
      <c r="AI136" s="436"/>
      <c r="AJ136" s="436"/>
      <c r="AK136" s="436"/>
      <c r="AL136" s="436"/>
      <c r="AM136" s="436"/>
      <c r="AN136" s="436"/>
      <c r="AO136" s="436"/>
      <c r="AP136" s="436"/>
      <c r="AQ136" s="436"/>
      <c r="AR136" s="436"/>
      <c r="AS136" s="436"/>
      <c r="AT136" s="436"/>
      <c r="AU136" s="436"/>
      <c r="AV136" s="436"/>
      <c r="AW136" s="436"/>
      <c r="AX136" s="436"/>
      <c r="AY136" s="436"/>
      <c r="AZ136" s="436"/>
      <c r="BA136" s="436"/>
      <c r="BB136" s="436"/>
      <c r="BC136" s="436"/>
      <c r="BD136" s="440"/>
      <c r="BE136" s="439"/>
      <c r="BF136" s="436"/>
      <c r="BG136" s="436"/>
      <c r="BH136" s="436"/>
      <c r="BI136" s="436"/>
      <c r="BJ136" s="436"/>
      <c r="BK136" s="436"/>
      <c r="BL136" s="436"/>
      <c r="BM136" s="436"/>
      <c r="BN136" s="436"/>
      <c r="BO136" s="436"/>
      <c r="BP136" s="436"/>
      <c r="BQ136" s="436"/>
      <c r="BR136" s="436"/>
      <c r="BS136" s="436"/>
      <c r="BT136" s="436"/>
      <c r="BU136" s="436"/>
      <c r="BV136" s="436"/>
      <c r="BW136" s="436"/>
      <c r="BX136" s="436"/>
      <c r="BY136" s="436"/>
      <c r="BZ136" s="436"/>
      <c r="CA136" s="436"/>
      <c r="CB136" s="436"/>
      <c r="CC136" s="440"/>
      <c r="CD136" s="439"/>
      <c r="CE136" s="436"/>
      <c r="CF136" s="436"/>
      <c r="CG136" s="436"/>
      <c r="CH136" s="436"/>
      <c r="CI136" s="436"/>
      <c r="CJ136" s="436"/>
      <c r="CK136" s="436"/>
      <c r="CL136" s="436"/>
      <c r="CM136" s="436"/>
      <c r="CN136" s="436"/>
      <c r="CO136" s="436"/>
      <c r="CP136" s="436"/>
      <c r="CQ136" s="436"/>
      <c r="CR136" s="436"/>
      <c r="CS136" s="436"/>
      <c r="CT136" s="436"/>
      <c r="CU136" s="436"/>
      <c r="CV136" s="436"/>
      <c r="CW136" s="436"/>
      <c r="CX136" s="436"/>
      <c r="CY136" s="436"/>
      <c r="CZ136" s="436"/>
      <c r="DA136" s="436"/>
      <c r="DB136" s="440"/>
      <c r="DC136" s="439"/>
      <c r="DD136" s="436"/>
      <c r="DE136" s="436"/>
      <c r="DF136" s="436"/>
      <c r="DG136" s="436"/>
      <c r="DH136" s="436"/>
      <c r="DI136" s="436"/>
      <c r="DJ136" s="436"/>
      <c r="DK136" s="436"/>
      <c r="DL136" s="436"/>
      <c r="DM136" s="436"/>
      <c r="DN136" s="436"/>
      <c r="DO136" s="436"/>
      <c r="DP136" s="436"/>
      <c r="DQ136" s="436"/>
      <c r="DR136" s="436"/>
      <c r="DS136" s="436"/>
      <c r="DT136" s="436"/>
      <c r="DU136" s="436"/>
      <c r="DV136" s="436"/>
      <c r="DW136" s="436"/>
      <c r="DX136" s="436"/>
      <c r="DY136" s="436"/>
      <c r="DZ136" s="436"/>
      <c r="EA136" s="440"/>
      <c r="EB136" s="439"/>
      <c r="EC136" s="436"/>
      <c r="ED136" s="436"/>
      <c r="EE136" s="436"/>
      <c r="EF136" s="436"/>
      <c r="EG136" s="436"/>
      <c r="EH136" s="436"/>
      <c r="EI136" s="436"/>
      <c r="EJ136" s="436"/>
      <c r="EK136" s="436"/>
      <c r="EL136" s="436"/>
      <c r="EM136" s="436"/>
      <c r="EN136" s="436"/>
      <c r="EO136" s="436"/>
      <c r="EP136" s="436"/>
      <c r="EQ136" s="436"/>
      <c r="ER136" s="436"/>
      <c r="ES136" s="436"/>
      <c r="ET136" s="436"/>
      <c r="EU136" s="436"/>
      <c r="EV136" s="436"/>
      <c r="EW136" s="436"/>
      <c r="EX136" s="436"/>
      <c r="EY136" s="436"/>
      <c r="EZ136" s="440"/>
      <c r="FZ136" s="439"/>
      <c r="GA136" s="436"/>
      <c r="GB136" s="436"/>
      <c r="GC136" s="436"/>
      <c r="GD136" s="436"/>
      <c r="GE136" s="436"/>
      <c r="GF136" s="436"/>
      <c r="GG136" s="436"/>
      <c r="GH136" s="436"/>
      <c r="GI136" s="436"/>
      <c r="GJ136" s="436"/>
      <c r="GK136" s="436"/>
      <c r="GL136" s="436"/>
      <c r="GM136" s="436"/>
      <c r="GN136" s="436"/>
      <c r="GO136" s="436"/>
      <c r="GP136" s="436"/>
      <c r="GQ136" s="436"/>
      <c r="GR136" s="436"/>
      <c r="GS136" s="436"/>
      <c r="GT136" s="436"/>
      <c r="GU136" s="436"/>
      <c r="GV136" s="436"/>
      <c r="GW136" s="436"/>
      <c r="GX136" s="440"/>
      <c r="GY136" s="439"/>
      <c r="GZ136" s="436"/>
      <c r="HA136" s="436"/>
      <c r="HB136" s="436"/>
      <c r="HC136" s="436"/>
      <c r="HD136" s="436"/>
      <c r="HE136" s="436"/>
      <c r="HF136" s="436"/>
      <c r="HG136" s="436"/>
      <c r="HH136" s="436"/>
      <c r="HI136" s="436"/>
      <c r="HJ136" s="436"/>
      <c r="HK136" s="436"/>
      <c r="HL136" s="436"/>
      <c r="HM136" s="436"/>
      <c r="HN136" s="436"/>
      <c r="HO136" s="436"/>
      <c r="HP136" s="436"/>
      <c r="HQ136" s="436"/>
      <c r="HR136" s="436"/>
      <c r="HS136" s="436"/>
      <c r="HT136" s="436"/>
      <c r="HU136" s="436"/>
      <c r="HV136" s="436"/>
      <c r="HW136" s="440"/>
    </row>
    <row r="137" spans="1:231" ht="24" customHeight="1">
      <c r="AF137" s="439"/>
      <c r="AG137" s="436"/>
      <c r="AH137" s="436"/>
      <c r="AI137" s="436"/>
      <c r="AJ137" s="436"/>
      <c r="AK137" s="436"/>
      <c r="AL137" s="436"/>
      <c r="AM137" s="436"/>
      <c r="AN137" s="436"/>
      <c r="AO137" s="436"/>
      <c r="AP137" s="436"/>
      <c r="AQ137" s="436"/>
      <c r="AR137" s="436"/>
      <c r="AS137" s="436"/>
      <c r="AT137" s="436"/>
      <c r="AU137" s="436"/>
      <c r="AV137" s="436"/>
      <c r="AW137" s="436"/>
      <c r="AX137" s="436"/>
      <c r="AY137" s="436"/>
      <c r="AZ137" s="436"/>
      <c r="BA137" s="436"/>
      <c r="BB137" s="436"/>
      <c r="BC137" s="436"/>
      <c r="BD137" s="440"/>
      <c r="BE137" s="439"/>
      <c r="BF137" s="436"/>
      <c r="BG137" s="436"/>
      <c r="BH137" s="436"/>
      <c r="BI137" s="436"/>
      <c r="BJ137" s="436"/>
      <c r="BK137" s="436"/>
      <c r="BL137" s="436"/>
      <c r="BM137" s="436"/>
      <c r="BN137" s="436"/>
      <c r="BO137" s="436"/>
      <c r="BP137" s="436"/>
      <c r="BQ137" s="436"/>
      <c r="BR137" s="436"/>
      <c r="BS137" s="436"/>
      <c r="BT137" s="436"/>
      <c r="BU137" s="436"/>
      <c r="BV137" s="436"/>
      <c r="BW137" s="436"/>
      <c r="BX137" s="436"/>
      <c r="BY137" s="436"/>
      <c r="BZ137" s="436"/>
      <c r="CA137" s="436"/>
      <c r="CB137" s="436"/>
      <c r="CC137" s="440"/>
      <c r="CD137" s="439"/>
      <c r="CE137" s="436"/>
      <c r="CF137" s="436"/>
      <c r="CG137" s="436"/>
      <c r="CH137" s="436"/>
      <c r="CI137" s="436"/>
      <c r="CJ137" s="436"/>
      <c r="CK137" s="436"/>
      <c r="CL137" s="436"/>
      <c r="CM137" s="436"/>
      <c r="CN137" s="436"/>
      <c r="CO137" s="436"/>
      <c r="CP137" s="436"/>
      <c r="CQ137" s="436"/>
      <c r="CR137" s="436"/>
      <c r="CS137" s="436"/>
      <c r="CT137" s="436"/>
      <c r="CU137" s="436"/>
      <c r="CV137" s="436"/>
      <c r="CW137" s="436"/>
      <c r="CX137" s="436"/>
      <c r="CY137" s="436"/>
      <c r="CZ137" s="436"/>
      <c r="DA137" s="436"/>
      <c r="DB137" s="440"/>
      <c r="DC137" s="439"/>
      <c r="DD137" s="436"/>
      <c r="DE137" s="436"/>
      <c r="DF137" s="436"/>
      <c r="DG137" s="436"/>
      <c r="DH137" s="436"/>
      <c r="DI137" s="436"/>
      <c r="DJ137" s="436"/>
      <c r="DK137" s="436"/>
      <c r="DL137" s="436"/>
      <c r="DM137" s="436"/>
      <c r="DN137" s="436"/>
      <c r="DO137" s="436"/>
      <c r="DP137" s="436"/>
      <c r="DQ137" s="436"/>
      <c r="DR137" s="436"/>
      <c r="DS137" s="436"/>
      <c r="DT137" s="436"/>
      <c r="DU137" s="436"/>
      <c r="DV137" s="436"/>
      <c r="DW137" s="436"/>
      <c r="DX137" s="436"/>
      <c r="DY137" s="436"/>
      <c r="DZ137" s="436"/>
      <c r="EA137" s="440"/>
      <c r="EB137" s="439"/>
      <c r="EC137" s="436"/>
      <c r="ED137" s="436"/>
      <c r="EE137" s="436"/>
      <c r="EF137" s="436"/>
      <c r="EG137" s="436"/>
      <c r="EH137" s="436"/>
      <c r="EI137" s="436"/>
      <c r="EJ137" s="436"/>
      <c r="EK137" s="436"/>
      <c r="EL137" s="436"/>
      <c r="EM137" s="436"/>
      <c r="EN137" s="436"/>
      <c r="EO137" s="436"/>
      <c r="EP137" s="436"/>
      <c r="EQ137" s="436"/>
      <c r="ER137" s="436"/>
      <c r="ES137" s="436"/>
      <c r="ET137" s="436"/>
      <c r="EU137" s="436"/>
      <c r="EV137" s="436"/>
      <c r="EW137" s="436"/>
      <c r="EX137" s="436"/>
      <c r="EY137" s="436"/>
      <c r="EZ137" s="440"/>
      <c r="FZ137" s="439"/>
      <c r="GA137" s="436"/>
      <c r="GB137" s="436"/>
      <c r="GC137" s="436"/>
      <c r="GD137" s="436"/>
      <c r="GE137" s="436"/>
      <c r="GF137" s="436"/>
      <c r="GG137" s="436"/>
      <c r="GH137" s="436"/>
      <c r="GI137" s="436"/>
      <c r="GJ137" s="436"/>
      <c r="GK137" s="436"/>
      <c r="GL137" s="436"/>
      <c r="GM137" s="436"/>
      <c r="GN137" s="436"/>
      <c r="GO137" s="436"/>
      <c r="GP137" s="436"/>
      <c r="GQ137" s="436"/>
      <c r="GR137" s="436"/>
      <c r="GS137" s="436"/>
      <c r="GT137" s="436"/>
      <c r="GU137" s="436"/>
      <c r="GV137" s="436"/>
      <c r="GW137" s="436"/>
      <c r="GX137" s="440"/>
      <c r="GY137" s="439"/>
      <c r="GZ137" s="436"/>
      <c r="HA137" s="436"/>
      <c r="HB137" s="436"/>
      <c r="HC137" s="436"/>
      <c r="HD137" s="436"/>
      <c r="HE137" s="436"/>
      <c r="HF137" s="436"/>
      <c r="HG137" s="436"/>
      <c r="HH137" s="436"/>
      <c r="HI137" s="436"/>
      <c r="HJ137" s="436"/>
      <c r="HK137" s="436"/>
      <c r="HL137" s="436"/>
      <c r="HM137" s="436"/>
      <c r="HN137" s="436"/>
      <c r="HO137" s="436"/>
      <c r="HP137" s="436"/>
      <c r="HQ137" s="436"/>
      <c r="HR137" s="436"/>
      <c r="HS137" s="436"/>
      <c r="HT137" s="436"/>
      <c r="HU137" s="436"/>
      <c r="HV137" s="436"/>
      <c r="HW137" s="440"/>
    </row>
    <row r="138" spans="1:231" ht="24" customHeight="1">
      <c r="AF138" s="439"/>
      <c r="AG138" s="436"/>
      <c r="AH138" s="436"/>
      <c r="AI138" s="436"/>
      <c r="AJ138" s="436"/>
      <c r="AK138" s="436"/>
      <c r="AL138" s="436"/>
      <c r="AM138" s="436"/>
      <c r="AN138" s="436"/>
      <c r="AO138" s="436"/>
      <c r="AP138" s="436"/>
      <c r="AQ138" s="436"/>
      <c r="AR138" s="436"/>
      <c r="AS138" s="436"/>
      <c r="AT138" s="436"/>
      <c r="AU138" s="436"/>
      <c r="AV138" s="436"/>
      <c r="AW138" s="436"/>
      <c r="AX138" s="436"/>
      <c r="AY138" s="436"/>
      <c r="AZ138" s="436"/>
      <c r="BA138" s="436"/>
      <c r="BB138" s="436"/>
      <c r="BC138" s="436"/>
      <c r="BD138" s="440"/>
      <c r="BE138" s="439"/>
      <c r="BF138" s="436"/>
      <c r="BG138" s="436"/>
      <c r="BH138" s="436"/>
      <c r="BI138" s="436"/>
      <c r="BJ138" s="436"/>
      <c r="BK138" s="436"/>
      <c r="BL138" s="436"/>
      <c r="BM138" s="436"/>
      <c r="BN138" s="436"/>
      <c r="BO138" s="436"/>
      <c r="BP138" s="436"/>
      <c r="BQ138" s="436"/>
      <c r="BR138" s="436"/>
      <c r="BS138" s="436"/>
      <c r="BT138" s="436"/>
      <c r="BU138" s="436"/>
      <c r="BV138" s="436"/>
      <c r="BW138" s="436"/>
      <c r="BX138" s="436"/>
      <c r="BY138" s="436"/>
      <c r="BZ138" s="436"/>
      <c r="CA138" s="436"/>
      <c r="CB138" s="436"/>
      <c r="CC138" s="440"/>
      <c r="CD138" s="439"/>
      <c r="CE138" s="436"/>
      <c r="CF138" s="436"/>
      <c r="CG138" s="436"/>
      <c r="CH138" s="436"/>
      <c r="CI138" s="436"/>
      <c r="CJ138" s="436"/>
      <c r="CK138" s="436"/>
      <c r="CL138" s="436"/>
      <c r="CM138" s="436"/>
      <c r="CN138" s="436"/>
      <c r="CO138" s="436"/>
      <c r="CP138" s="436"/>
      <c r="CQ138" s="436"/>
      <c r="CR138" s="436"/>
      <c r="CS138" s="436"/>
      <c r="CT138" s="436"/>
      <c r="CU138" s="436"/>
      <c r="CV138" s="436"/>
      <c r="CW138" s="436"/>
      <c r="CX138" s="436"/>
      <c r="CY138" s="436"/>
      <c r="CZ138" s="436"/>
      <c r="DA138" s="436"/>
      <c r="DB138" s="440"/>
      <c r="DC138" s="439"/>
      <c r="DD138" s="436"/>
      <c r="DE138" s="436"/>
      <c r="DF138" s="436"/>
      <c r="DG138" s="436"/>
      <c r="DH138" s="436"/>
      <c r="DI138" s="436"/>
      <c r="DJ138" s="436"/>
      <c r="DK138" s="436"/>
      <c r="DL138" s="436"/>
      <c r="DM138" s="436"/>
      <c r="DN138" s="436"/>
      <c r="DO138" s="436"/>
      <c r="DP138" s="436"/>
      <c r="DQ138" s="436"/>
      <c r="DR138" s="436"/>
      <c r="DS138" s="436"/>
      <c r="DT138" s="436"/>
      <c r="DU138" s="436"/>
      <c r="DV138" s="436"/>
      <c r="DW138" s="436"/>
      <c r="DX138" s="436"/>
      <c r="DY138" s="436"/>
      <c r="DZ138" s="436"/>
      <c r="EA138" s="440"/>
      <c r="EB138" s="439"/>
      <c r="EC138" s="436"/>
      <c r="ED138" s="436"/>
      <c r="EE138" s="436"/>
      <c r="EF138" s="436"/>
      <c r="EG138" s="436"/>
      <c r="EH138" s="436"/>
      <c r="EI138" s="436"/>
      <c r="EJ138" s="436"/>
      <c r="EK138" s="436"/>
      <c r="EL138" s="436"/>
      <c r="EM138" s="436"/>
      <c r="EN138" s="436"/>
      <c r="EO138" s="436"/>
      <c r="EP138" s="436"/>
      <c r="EQ138" s="436"/>
      <c r="ER138" s="436"/>
      <c r="ES138" s="436"/>
      <c r="ET138" s="436"/>
      <c r="EU138" s="436"/>
      <c r="EV138" s="436"/>
      <c r="EW138" s="436"/>
      <c r="EX138" s="436"/>
      <c r="EY138" s="436"/>
      <c r="EZ138" s="440"/>
      <c r="FZ138" s="439"/>
      <c r="GA138" s="436"/>
      <c r="GB138" s="436"/>
      <c r="GC138" s="436"/>
      <c r="GD138" s="436"/>
      <c r="GE138" s="436"/>
      <c r="GF138" s="436"/>
      <c r="GG138" s="436"/>
      <c r="GH138" s="436"/>
      <c r="GI138" s="436"/>
      <c r="GJ138" s="436"/>
      <c r="GK138" s="436"/>
      <c r="GL138" s="436"/>
      <c r="GM138" s="436"/>
      <c r="GN138" s="436"/>
      <c r="GO138" s="436"/>
      <c r="GP138" s="436"/>
      <c r="GQ138" s="436"/>
      <c r="GR138" s="436"/>
      <c r="GS138" s="436"/>
      <c r="GT138" s="436"/>
      <c r="GU138" s="436"/>
      <c r="GV138" s="436"/>
      <c r="GW138" s="436"/>
      <c r="GX138" s="440"/>
      <c r="GY138" s="439"/>
      <c r="GZ138" s="436"/>
      <c r="HA138" s="436"/>
      <c r="HB138" s="436"/>
      <c r="HC138" s="436"/>
      <c r="HD138" s="436"/>
      <c r="HE138" s="436"/>
      <c r="HF138" s="436"/>
      <c r="HG138" s="436"/>
      <c r="HH138" s="436"/>
      <c r="HI138" s="436"/>
      <c r="HJ138" s="436"/>
      <c r="HK138" s="436"/>
      <c r="HL138" s="436"/>
      <c r="HM138" s="436"/>
      <c r="HN138" s="436"/>
      <c r="HO138" s="436"/>
      <c r="HP138" s="436"/>
      <c r="HQ138" s="436"/>
      <c r="HR138" s="436"/>
      <c r="HS138" s="436"/>
      <c r="HT138" s="436"/>
      <c r="HU138" s="436"/>
      <c r="HV138" s="436"/>
      <c r="HW138" s="440"/>
    </row>
    <row r="139" spans="1:231" ht="24" customHeight="1">
      <c r="AF139" s="439"/>
      <c r="AG139" s="436"/>
      <c r="AH139" s="436"/>
      <c r="AI139" s="436"/>
      <c r="AJ139" s="436"/>
      <c r="AK139" s="436"/>
      <c r="AL139" s="436"/>
      <c r="AM139" s="436"/>
      <c r="AN139" s="436"/>
      <c r="AO139" s="436"/>
      <c r="AP139" s="436"/>
      <c r="AQ139" s="436"/>
      <c r="AR139" s="436"/>
      <c r="AS139" s="436"/>
      <c r="AT139" s="436"/>
      <c r="AU139" s="436"/>
      <c r="AV139" s="436"/>
      <c r="AW139" s="436"/>
      <c r="AX139" s="436"/>
      <c r="AY139" s="436"/>
      <c r="AZ139" s="436"/>
      <c r="BA139" s="436"/>
      <c r="BB139" s="436"/>
      <c r="BC139" s="436"/>
      <c r="BD139" s="440"/>
      <c r="BE139" s="439"/>
      <c r="BF139" s="436"/>
      <c r="BG139" s="436"/>
      <c r="BH139" s="436"/>
      <c r="BI139" s="436"/>
      <c r="BJ139" s="436"/>
      <c r="BK139" s="436"/>
      <c r="BL139" s="436"/>
      <c r="BM139" s="436"/>
      <c r="BN139" s="436"/>
      <c r="BO139" s="436"/>
      <c r="BP139" s="436"/>
      <c r="BQ139" s="436"/>
      <c r="BR139" s="436"/>
      <c r="BS139" s="436"/>
      <c r="BT139" s="436"/>
      <c r="BU139" s="436"/>
      <c r="BV139" s="436"/>
      <c r="BW139" s="436"/>
      <c r="BX139" s="436"/>
      <c r="BY139" s="436"/>
      <c r="BZ139" s="436"/>
      <c r="CA139" s="436"/>
      <c r="CB139" s="436"/>
      <c r="CC139" s="440"/>
      <c r="CD139" s="439"/>
      <c r="CE139" s="436"/>
      <c r="CF139" s="436"/>
      <c r="CG139" s="436"/>
      <c r="CH139" s="436"/>
      <c r="CI139" s="436"/>
      <c r="CJ139" s="436"/>
      <c r="CK139" s="436"/>
      <c r="CL139" s="436"/>
      <c r="CM139" s="436"/>
      <c r="CN139" s="436"/>
      <c r="CO139" s="436"/>
      <c r="CP139" s="436"/>
      <c r="CQ139" s="436"/>
      <c r="CR139" s="436"/>
      <c r="CS139" s="436"/>
      <c r="CT139" s="436"/>
      <c r="CU139" s="436"/>
      <c r="CV139" s="436"/>
      <c r="CW139" s="436"/>
      <c r="CX139" s="436"/>
      <c r="CY139" s="436"/>
      <c r="CZ139" s="436"/>
      <c r="DA139" s="436"/>
      <c r="DB139" s="440"/>
      <c r="DC139" s="439"/>
      <c r="DD139" s="436"/>
      <c r="DE139" s="436"/>
      <c r="DF139" s="436"/>
      <c r="DG139" s="436"/>
      <c r="DH139" s="436"/>
      <c r="DI139" s="436"/>
      <c r="DJ139" s="436"/>
      <c r="DK139" s="436"/>
      <c r="DL139" s="436"/>
      <c r="DM139" s="436"/>
      <c r="DN139" s="436"/>
      <c r="DO139" s="436"/>
      <c r="DP139" s="436"/>
      <c r="DQ139" s="436"/>
      <c r="DR139" s="436"/>
      <c r="DS139" s="436"/>
      <c r="DT139" s="436"/>
      <c r="DU139" s="436"/>
      <c r="DV139" s="436"/>
      <c r="DW139" s="436"/>
      <c r="DX139" s="436"/>
      <c r="DY139" s="436"/>
      <c r="DZ139" s="436"/>
      <c r="EA139" s="440"/>
      <c r="EB139" s="439"/>
      <c r="EC139" s="436"/>
      <c r="ED139" s="436"/>
      <c r="EE139" s="436"/>
      <c r="EF139" s="436"/>
      <c r="EG139" s="436"/>
      <c r="EH139" s="436"/>
      <c r="EI139" s="436"/>
      <c r="EJ139" s="436"/>
      <c r="EK139" s="436"/>
      <c r="EL139" s="436"/>
      <c r="EM139" s="436"/>
      <c r="EN139" s="436"/>
      <c r="EO139" s="436"/>
      <c r="EP139" s="436"/>
      <c r="EQ139" s="436"/>
      <c r="ER139" s="436"/>
      <c r="ES139" s="436"/>
      <c r="ET139" s="436"/>
      <c r="EU139" s="436"/>
      <c r="EV139" s="436"/>
      <c r="EW139" s="436"/>
      <c r="EX139" s="436"/>
      <c r="EY139" s="436"/>
      <c r="EZ139" s="440"/>
      <c r="FZ139" s="439"/>
      <c r="GA139" s="436"/>
      <c r="GB139" s="436"/>
      <c r="GC139" s="436"/>
      <c r="GD139" s="436"/>
      <c r="GE139" s="436"/>
      <c r="GF139" s="436"/>
      <c r="GG139" s="436"/>
      <c r="GH139" s="436"/>
      <c r="GI139" s="436"/>
      <c r="GJ139" s="436"/>
      <c r="GK139" s="436"/>
      <c r="GL139" s="436"/>
      <c r="GM139" s="436"/>
      <c r="GN139" s="436"/>
      <c r="GO139" s="436"/>
      <c r="GP139" s="436"/>
      <c r="GQ139" s="436"/>
      <c r="GR139" s="436"/>
      <c r="GS139" s="436"/>
      <c r="GT139" s="436"/>
      <c r="GU139" s="436"/>
      <c r="GV139" s="436"/>
      <c r="GW139" s="436"/>
      <c r="GX139" s="440"/>
      <c r="GY139" s="439"/>
      <c r="GZ139" s="436"/>
      <c r="HA139" s="436"/>
      <c r="HB139" s="436"/>
      <c r="HC139" s="436"/>
      <c r="HD139" s="436"/>
      <c r="HE139" s="436"/>
      <c r="HF139" s="436"/>
      <c r="HG139" s="436"/>
      <c r="HH139" s="436"/>
      <c r="HI139" s="436"/>
      <c r="HJ139" s="436"/>
      <c r="HK139" s="436"/>
      <c r="HL139" s="436"/>
      <c r="HM139" s="436"/>
      <c r="HN139" s="436"/>
      <c r="HO139" s="436"/>
      <c r="HP139" s="436"/>
      <c r="HQ139" s="436"/>
      <c r="HR139" s="436"/>
      <c r="HS139" s="436"/>
      <c r="HT139" s="436"/>
      <c r="HU139" s="436"/>
      <c r="HV139" s="436"/>
      <c r="HW139" s="440"/>
    </row>
    <row r="140" spans="1:231" ht="24" customHeight="1">
      <c r="AF140" s="439"/>
      <c r="AG140" s="436"/>
      <c r="AH140" s="436"/>
      <c r="AI140" s="436"/>
      <c r="AJ140" s="436"/>
      <c r="AK140" s="436"/>
      <c r="AL140" s="436"/>
      <c r="AM140" s="436"/>
      <c r="AN140" s="436"/>
      <c r="AO140" s="436"/>
      <c r="AP140" s="436"/>
      <c r="AQ140" s="436"/>
      <c r="AR140" s="436"/>
      <c r="AS140" s="436"/>
      <c r="AT140" s="436"/>
      <c r="AU140" s="436"/>
      <c r="AV140" s="436"/>
      <c r="AW140" s="436"/>
      <c r="AX140" s="436"/>
      <c r="AY140" s="436"/>
      <c r="AZ140" s="436"/>
      <c r="BA140" s="436"/>
      <c r="BB140" s="436"/>
      <c r="BC140" s="436"/>
      <c r="BD140" s="440"/>
      <c r="BE140" s="439"/>
      <c r="BF140" s="436"/>
      <c r="BG140" s="436"/>
      <c r="BH140" s="436"/>
      <c r="BI140" s="436"/>
      <c r="BJ140" s="436"/>
      <c r="BK140" s="436"/>
      <c r="BL140" s="436"/>
      <c r="BM140" s="436"/>
      <c r="BN140" s="436"/>
      <c r="BO140" s="436"/>
      <c r="BP140" s="436"/>
      <c r="BQ140" s="436"/>
      <c r="BR140" s="436"/>
      <c r="BS140" s="436"/>
      <c r="BT140" s="436"/>
      <c r="BU140" s="436"/>
      <c r="BV140" s="436"/>
      <c r="BW140" s="436"/>
      <c r="BX140" s="436"/>
      <c r="BY140" s="436"/>
      <c r="BZ140" s="436"/>
      <c r="CA140" s="436"/>
      <c r="CB140" s="436"/>
      <c r="CC140" s="440"/>
      <c r="CD140" s="439"/>
      <c r="CE140" s="436"/>
      <c r="CF140" s="436"/>
      <c r="CG140" s="436"/>
      <c r="CH140" s="436"/>
      <c r="CI140" s="436"/>
      <c r="CJ140" s="436"/>
      <c r="CK140" s="436"/>
      <c r="CL140" s="436"/>
      <c r="CM140" s="436"/>
      <c r="CN140" s="436"/>
      <c r="CO140" s="436"/>
      <c r="CP140" s="436"/>
      <c r="CQ140" s="436"/>
      <c r="CR140" s="436"/>
      <c r="CS140" s="436"/>
      <c r="CT140" s="436"/>
      <c r="CU140" s="436"/>
      <c r="CV140" s="436"/>
      <c r="CW140" s="436"/>
      <c r="CX140" s="436"/>
      <c r="CY140" s="436"/>
      <c r="CZ140" s="436"/>
      <c r="DA140" s="436"/>
      <c r="DB140" s="440"/>
      <c r="DC140" s="439"/>
      <c r="DD140" s="436"/>
      <c r="DE140" s="436"/>
      <c r="DF140" s="436"/>
      <c r="DG140" s="436"/>
      <c r="DH140" s="436"/>
      <c r="DI140" s="436"/>
      <c r="DJ140" s="436"/>
      <c r="DK140" s="436"/>
      <c r="DL140" s="436"/>
      <c r="DM140" s="436"/>
      <c r="DN140" s="436"/>
      <c r="DO140" s="436"/>
      <c r="DP140" s="436"/>
      <c r="DQ140" s="436"/>
      <c r="DR140" s="436"/>
      <c r="DS140" s="436"/>
      <c r="DT140" s="436"/>
      <c r="DU140" s="436"/>
      <c r="DV140" s="436"/>
      <c r="DW140" s="436"/>
      <c r="DX140" s="436"/>
      <c r="DY140" s="436"/>
      <c r="DZ140" s="436"/>
      <c r="EA140" s="440"/>
      <c r="EB140" s="439"/>
      <c r="EC140" s="436"/>
      <c r="ED140" s="436"/>
      <c r="EE140" s="436"/>
      <c r="EF140" s="436"/>
      <c r="EG140" s="436"/>
      <c r="EH140" s="436"/>
      <c r="EI140" s="436"/>
      <c r="EJ140" s="436"/>
      <c r="EK140" s="436"/>
      <c r="EL140" s="436"/>
      <c r="EM140" s="436"/>
      <c r="EN140" s="436"/>
      <c r="EO140" s="436"/>
      <c r="EP140" s="436"/>
      <c r="EQ140" s="436"/>
      <c r="ER140" s="436"/>
      <c r="ES140" s="436"/>
      <c r="ET140" s="436"/>
      <c r="EU140" s="436"/>
      <c r="EV140" s="436"/>
      <c r="EW140" s="436"/>
      <c r="EX140" s="436"/>
      <c r="EY140" s="436"/>
      <c r="EZ140" s="440"/>
      <c r="FZ140" s="439"/>
      <c r="GA140" s="436"/>
      <c r="GB140" s="436"/>
      <c r="GC140" s="436"/>
      <c r="GD140" s="436"/>
      <c r="GE140" s="436"/>
      <c r="GF140" s="436"/>
      <c r="GG140" s="436"/>
      <c r="GH140" s="436"/>
      <c r="GI140" s="436"/>
      <c r="GJ140" s="436"/>
      <c r="GK140" s="436"/>
      <c r="GL140" s="436"/>
      <c r="GM140" s="436"/>
      <c r="GN140" s="436"/>
      <c r="GO140" s="436"/>
      <c r="GP140" s="436"/>
      <c r="GQ140" s="436"/>
      <c r="GR140" s="436"/>
      <c r="GS140" s="436"/>
      <c r="GT140" s="436"/>
      <c r="GU140" s="436"/>
      <c r="GV140" s="436"/>
      <c r="GW140" s="436"/>
      <c r="GX140" s="440"/>
      <c r="GY140" s="439"/>
      <c r="GZ140" s="436"/>
      <c r="HA140" s="436"/>
      <c r="HB140" s="436"/>
      <c r="HC140" s="436"/>
      <c r="HD140" s="436"/>
      <c r="HE140" s="436"/>
      <c r="HF140" s="436"/>
      <c r="HG140" s="436"/>
      <c r="HH140" s="436"/>
      <c r="HI140" s="436"/>
      <c r="HJ140" s="436"/>
      <c r="HK140" s="436"/>
      <c r="HL140" s="436"/>
      <c r="HM140" s="436"/>
      <c r="HN140" s="436"/>
      <c r="HO140" s="436"/>
      <c r="HP140" s="436"/>
      <c r="HQ140" s="436"/>
      <c r="HR140" s="436"/>
      <c r="HS140" s="436"/>
      <c r="HT140" s="436"/>
      <c r="HU140" s="436"/>
      <c r="HV140" s="436"/>
      <c r="HW140" s="440"/>
    </row>
    <row r="141" spans="1:231" ht="24" customHeight="1">
      <c r="AF141" s="439"/>
      <c r="AG141" s="436"/>
      <c r="AH141" s="436"/>
      <c r="AI141" s="436"/>
      <c r="AJ141" s="436"/>
      <c r="AK141" s="436"/>
      <c r="AL141" s="436"/>
      <c r="AM141" s="436"/>
      <c r="AN141" s="436"/>
      <c r="AO141" s="436"/>
      <c r="AP141" s="436"/>
      <c r="AQ141" s="436"/>
      <c r="AR141" s="436"/>
      <c r="AS141" s="436"/>
      <c r="AT141" s="436"/>
      <c r="AU141" s="436"/>
      <c r="AV141" s="436"/>
      <c r="AW141" s="436"/>
      <c r="AX141" s="436"/>
      <c r="AY141" s="436"/>
      <c r="AZ141" s="436"/>
      <c r="BA141" s="436"/>
      <c r="BB141" s="436"/>
      <c r="BC141" s="436"/>
      <c r="BD141" s="440"/>
      <c r="BE141" s="439"/>
      <c r="BF141" s="436"/>
      <c r="BG141" s="436"/>
      <c r="BH141" s="436"/>
      <c r="BI141" s="436"/>
      <c r="BJ141" s="436"/>
      <c r="BK141" s="436"/>
      <c r="BL141" s="436"/>
      <c r="BM141" s="436"/>
      <c r="BN141" s="436"/>
      <c r="BO141" s="436"/>
      <c r="BP141" s="436"/>
      <c r="BQ141" s="436"/>
      <c r="BR141" s="436"/>
      <c r="BS141" s="436"/>
      <c r="BT141" s="436"/>
      <c r="BU141" s="436"/>
      <c r="BV141" s="436"/>
      <c r="BW141" s="436"/>
      <c r="BX141" s="436"/>
      <c r="BY141" s="436"/>
      <c r="BZ141" s="436"/>
      <c r="CA141" s="436"/>
      <c r="CB141" s="436"/>
      <c r="CC141" s="440"/>
      <c r="CD141" s="439"/>
      <c r="CE141" s="436"/>
      <c r="CF141" s="436"/>
      <c r="CG141" s="436"/>
      <c r="CH141" s="436"/>
      <c r="CI141" s="436"/>
      <c r="CJ141" s="436"/>
      <c r="CK141" s="436"/>
      <c r="CL141" s="436"/>
      <c r="CM141" s="436"/>
      <c r="CN141" s="436"/>
      <c r="CO141" s="436"/>
      <c r="CP141" s="436"/>
      <c r="CQ141" s="436"/>
      <c r="CR141" s="436"/>
      <c r="CS141" s="436"/>
      <c r="CT141" s="436"/>
      <c r="CU141" s="436"/>
      <c r="CV141" s="436"/>
      <c r="CW141" s="436"/>
      <c r="CX141" s="436"/>
      <c r="CY141" s="436"/>
      <c r="CZ141" s="436"/>
      <c r="DA141" s="436"/>
      <c r="DB141" s="440"/>
      <c r="DC141" s="439"/>
      <c r="DD141" s="436"/>
      <c r="DE141" s="436"/>
      <c r="DF141" s="436"/>
      <c r="DG141" s="436"/>
      <c r="DH141" s="436"/>
      <c r="DI141" s="436"/>
      <c r="DJ141" s="436"/>
      <c r="DK141" s="436"/>
      <c r="DL141" s="436"/>
      <c r="DM141" s="436"/>
      <c r="DN141" s="436"/>
      <c r="DO141" s="436"/>
      <c r="DP141" s="436"/>
      <c r="DQ141" s="436"/>
      <c r="DR141" s="436"/>
      <c r="DS141" s="436"/>
      <c r="DT141" s="436"/>
      <c r="DU141" s="436"/>
      <c r="DV141" s="436"/>
      <c r="DW141" s="436"/>
      <c r="DX141" s="436"/>
      <c r="DY141" s="436"/>
      <c r="DZ141" s="436"/>
      <c r="EA141" s="440"/>
      <c r="EB141" s="439"/>
      <c r="EC141" s="436"/>
      <c r="ED141" s="436"/>
      <c r="EE141" s="436"/>
      <c r="EF141" s="436"/>
      <c r="EG141" s="436"/>
      <c r="EH141" s="436"/>
      <c r="EI141" s="436"/>
      <c r="EJ141" s="436"/>
      <c r="EK141" s="436"/>
      <c r="EL141" s="436"/>
      <c r="EM141" s="436"/>
      <c r="EN141" s="436"/>
      <c r="EO141" s="436"/>
      <c r="EP141" s="436"/>
      <c r="EQ141" s="436"/>
      <c r="ER141" s="436"/>
      <c r="ES141" s="436"/>
      <c r="ET141" s="436"/>
      <c r="EU141" s="436"/>
      <c r="EV141" s="436"/>
      <c r="EW141" s="436"/>
      <c r="EX141" s="436"/>
      <c r="EY141" s="436"/>
      <c r="EZ141" s="440"/>
      <c r="FZ141" s="439"/>
      <c r="GA141" s="436"/>
      <c r="GB141" s="436"/>
      <c r="GC141" s="436"/>
      <c r="GD141" s="436"/>
      <c r="GE141" s="436"/>
      <c r="GF141" s="436"/>
      <c r="GG141" s="436"/>
      <c r="GH141" s="436"/>
      <c r="GI141" s="436"/>
      <c r="GJ141" s="436"/>
      <c r="GK141" s="436"/>
      <c r="GL141" s="436"/>
      <c r="GM141" s="436"/>
      <c r="GN141" s="436"/>
      <c r="GO141" s="436"/>
      <c r="GP141" s="436"/>
      <c r="GQ141" s="436"/>
      <c r="GR141" s="436"/>
      <c r="GS141" s="436"/>
      <c r="GT141" s="436"/>
      <c r="GU141" s="436"/>
      <c r="GV141" s="436"/>
      <c r="GW141" s="436"/>
      <c r="GX141" s="440"/>
      <c r="GY141" s="439"/>
      <c r="GZ141" s="436"/>
      <c r="HA141" s="436"/>
      <c r="HB141" s="436"/>
      <c r="HC141" s="436"/>
      <c r="HD141" s="436"/>
      <c r="HE141" s="436"/>
      <c r="HF141" s="436"/>
      <c r="HG141" s="436"/>
      <c r="HH141" s="436"/>
      <c r="HI141" s="436"/>
      <c r="HJ141" s="436"/>
      <c r="HK141" s="436"/>
      <c r="HL141" s="436"/>
      <c r="HM141" s="436"/>
      <c r="HN141" s="436"/>
      <c r="HO141" s="436"/>
      <c r="HP141" s="436"/>
      <c r="HQ141" s="436"/>
      <c r="HR141" s="436"/>
      <c r="HS141" s="436"/>
      <c r="HT141" s="436"/>
      <c r="HU141" s="436"/>
      <c r="HV141" s="436"/>
      <c r="HW141" s="440"/>
    </row>
    <row r="142" spans="1:231" ht="24" customHeight="1">
      <c r="AF142" s="439"/>
      <c r="AG142" s="436"/>
      <c r="AH142" s="436"/>
      <c r="AI142" s="436"/>
      <c r="AJ142" s="436"/>
      <c r="AK142" s="436"/>
      <c r="AL142" s="436"/>
      <c r="AM142" s="436"/>
      <c r="AN142" s="436"/>
      <c r="AO142" s="436"/>
      <c r="AP142" s="436"/>
      <c r="AQ142" s="436"/>
      <c r="AR142" s="436"/>
      <c r="AS142" s="436"/>
      <c r="AT142" s="436"/>
      <c r="AU142" s="436"/>
      <c r="AV142" s="436"/>
      <c r="AW142" s="436"/>
      <c r="AX142" s="436"/>
      <c r="AY142" s="436"/>
      <c r="AZ142" s="436"/>
      <c r="BA142" s="436"/>
      <c r="BB142" s="436"/>
      <c r="BC142" s="436"/>
      <c r="BD142" s="440"/>
      <c r="BE142" s="439"/>
      <c r="BF142" s="436"/>
      <c r="BG142" s="436"/>
      <c r="BH142" s="436"/>
      <c r="BI142" s="436"/>
      <c r="BJ142" s="436"/>
      <c r="BK142" s="436"/>
      <c r="BL142" s="436"/>
      <c r="BM142" s="436"/>
      <c r="BN142" s="436"/>
      <c r="BO142" s="436"/>
      <c r="BP142" s="436"/>
      <c r="BQ142" s="436"/>
      <c r="BR142" s="436"/>
      <c r="BS142" s="436"/>
      <c r="BT142" s="436"/>
      <c r="BU142" s="436"/>
      <c r="BV142" s="436"/>
      <c r="BW142" s="436"/>
      <c r="BX142" s="436"/>
      <c r="BY142" s="436"/>
      <c r="BZ142" s="436"/>
      <c r="CA142" s="436"/>
      <c r="CB142" s="436"/>
      <c r="CC142" s="440"/>
      <c r="CD142" s="439"/>
      <c r="CE142" s="436"/>
      <c r="CF142" s="436"/>
      <c r="CG142" s="436"/>
      <c r="CH142" s="436"/>
      <c r="CI142" s="436"/>
      <c r="CJ142" s="436"/>
      <c r="CK142" s="436"/>
      <c r="CL142" s="436"/>
      <c r="CM142" s="436"/>
      <c r="CN142" s="436"/>
      <c r="CO142" s="436"/>
      <c r="CP142" s="436"/>
      <c r="CQ142" s="436"/>
      <c r="CR142" s="436"/>
      <c r="CS142" s="436"/>
      <c r="CT142" s="436"/>
      <c r="CU142" s="436"/>
      <c r="CV142" s="436"/>
      <c r="CW142" s="436"/>
      <c r="CX142" s="436"/>
      <c r="CY142" s="436"/>
      <c r="CZ142" s="436"/>
      <c r="DA142" s="436"/>
      <c r="DB142" s="440"/>
      <c r="DC142" s="439"/>
      <c r="DD142" s="436"/>
      <c r="DE142" s="436"/>
      <c r="DF142" s="436"/>
      <c r="DG142" s="436"/>
      <c r="DH142" s="436"/>
      <c r="DI142" s="436"/>
      <c r="DJ142" s="436"/>
      <c r="DK142" s="436"/>
      <c r="DL142" s="436"/>
      <c r="DM142" s="436"/>
      <c r="DN142" s="436"/>
      <c r="DO142" s="436"/>
      <c r="DP142" s="436"/>
      <c r="DQ142" s="436"/>
      <c r="DR142" s="436"/>
      <c r="DS142" s="436"/>
      <c r="DT142" s="436"/>
      <c r="DU142" s="436"/>
      <c r="DV142" s="436"/>
      <c r="DW142" s="436"/>
      <c r="DX142" s="436"/>
      <c r="DY142" s="436"/>
      <c r="DZ142" s="436"/>
      <c r="EA142" s="440"/>
      <c r="EB142" s="439"/>
      <c r="EC142" s="436"/>
      <c r="ED142" s="436"/>
      <c r="EE142" s="436"/>
      <c r="EF142" s="436"/>
      <c r="EG142" s="436"/>
      <c r="EH142" s="436"/>
      <c r="EI142" s="436"/>
      <c r="EJ142" s="436"/>
      <c r="EK142" s="436"/>
      <c r="EL142" s="436"/>
      <c r="EM142" s="436"/>
      <c r="EN142" s="436"/>
      <c r="EO142" s="436"/>
      <c r="EP142" s="436"/>
      <c r="EQ142" s="436"/>
      <c r="ER142" s="436"/>
      <c r="ES142" s="436"/>
      <c r="ET142" s="436"/>
      <c r="EU142" s="436"/>
      <c r="EV142" s="436"/>
      <c r="EW142" s="436"/>
      <c r="EX142" s="436"/>
      <c r="EY142" s="436"/>
      <c r="EZ142" s="440"/>
      <c r="FZ142" s="439"/>
      <c r="GA142" s="436"/>
      <c r="GB142" s="436"/>
      <c r="GC142" s="436"/>
      <c r="GD142" s="436"/>
      <c r="GE142" s="436"/>
      <c r="GF142" s="436"/>
      <c r="GG142" s="436"/>
      <c r="GH142" s="436"/>
      <c r="GI142" s="436"/>
      <c r="GJ142" s="436"/>
      <c r="GK142" s="436"/>
      <c r="GL142" s="436"/>
      <c r="GM142" s="436"/>
      <c r="GN142" s="436"/>
      <c r="GO142" s="436"/>
      <c r="GP142" s="436"/>
      <c r="GQ142" s="436"/>
      <c r="GR142" s="436"/>
      <c r="GS142" s="436"/>
      <c r="GT142" s="436"/>
      <c r="GU142" s="436"/>
      <c r="GV142" s="436"/>
      <c r="GW142" s="436"/>
      <c r="GX142" s="440"/>
      <c r="GY142" s="439"/>
      <c r="GZ142" s="436"/>
      <c r="HA142" s="436"/>
      <c r="HB142" s="436"/>
      <c r="HC142" s="436"/>
      <c r="HD142" s="436"/>
      <c r="HE142" s="436"/>
      <c r="HF142" s="436"/>
      <c r="HG142" s="436"/>
      <c r="HH142" s="436"/>
      <c r="HI142" s="436"/>
      <c r="HJ142" s="436"/>
      <c r="HK142" s="436"/>
      <c r="HL142" s="436"/>
      <c r="HM142" s="436"/>
      <c r="HN142" s="436"/>
      <c r="HO142" s="436"/>
      <c r="HP142" s="436"/>
      <c r="HQ142" s="436"/>
      <c r="HR142" s="436"/>
      <c r="HS142" s="436"/>
      <c r="HT142" s="436"/>
      <c r="HU142" s="436"/>
      <c r="HV142" s="436"/>
      <c r="HW142" s="440"/>
    </row>
    <row r="143" spans="1:231" ht="24" customHeight="1">
      <c r="AF143" s="439"/>
      <c r="AG143" s="436"/>
      <c r="AH143" s="436"/>
      <c r="AI143" s="436"/>
      <c r="AJ143" s="436"/>
      <c r="AK143" s="436"/>
      <c r="AL143" s="436"/>
      <c r="AM143" s="436"/>
      <c r="AN143" s="436"/>
      <c r="AO143" s="436"/>
      <c r="AP143" s="436"/>
      <c r="AQ143" s="436"/>
      <c r="AR143" s="436"/>
      <c r="AS143" s="436"/>
      <c r="AT143" s="436"/>
      <c r="AU143" s="436"/>
      <c r="AV143" s="436"/>
      <c r="AW143" s="436"/>
      <c r="AX143" s="436"/>
      <c r="AY143" s="436"/>
      <c r="AZ143" s="436"/>
      <c r="BA143" s="436"/>
      <c r="BB143" s="436"/>
      <c r="BC143" s="436"/>
      <c r="BD143" s="440"/>
      <c r="BE143" s="439"/>
      <c r="BF143" s="436"/>
      <c r="BG143" s="436"/>
      <c r="BH143" s="436"/>
      <c r="BI143" s="436"/>
      <c r="BJ143" s="436"/>
      <c r="BK143" s="436"/>
      <c r="BL143" s="436"/>
      <c r="BM143" s="436"/>
      <c r="BN143" s="436"/>
      <c r="BO143" s="436"/>
      <c r="BP143" s="436"/>
      <c r="BQ143" s="436"/>
      <c r="BR143" s="436"/>
      <c r="BS143" s="436"/>
      <c r="BT143" s="436"/>
      <c r="BU143" s="436"/>
      <c r="BV143" s="436"/>
      <c r="BW143" s="436"/>
      <c r="BX143" s="436"/>
      <c r="BY143" s="436"/>
      <c r="BZ143" s="436"/>
      <c r="CA143" s="436"/>
      <c r="CB143" s="436"/>
      <c r="CC143" s="440"/>
      <c r="CD143" s="439"/>
      <c r="CE143" s="436"/>
      <c r="CF143" s="436"/>
      <c r="CG143" s="436"/>
      <c r="CH143" s="436"/>
      <c r="CI143" s="436"/>
      <c r="CJ143" s="436"/>
      <c r="CK143" s="436"/>
      <c r="CL143" s="436"/>
      <c r="CM143" s="436"/>
      <c r="CN143" s="436"/>
      <c r="CO143" s="436"/>
      <c r="CP143" s="436"/>
      <c r="CQ143" s="436"/>
      <c r="CR143" s="436"/>
      <c r="CS143" s="436"/>
      <c r="CT143" s="436"/>
      <c r="CU143" s="436"/>
      <c r="CV143" s="436"/>
      <c r="CW143" s="436"/>
      <c r="CX143" s="436"/>
      <c r="CY143" s="436"/>
      <c r="CZ143" s="436"/>
      <c r="DA143" s="436"/>
      <c r="DB143" s="440"/>
      <c r="DC143" s="439"/>
      <c r="DD143" s="436"/>
      <c r="DE143" s="436"/>
      <c r="DF143" s="436"/>
      <c r="DG143" s="436"/>
      <c r="DH143" s="436"/>
      <c r="DI143" s="436"/>
      <c r="DJ143" s="436"/>
      <c r="DK143" s="436"/>
      <c r="DL143" s="436"/>
      <c r="DM143" s="436"/>
      <c r="DN143" s="436"/>
      <c r="DO143" s="436"/>
      <c r="DP143" s="436"/>
      <c r="DQ143" s="436"/>
      <c r="DR143" s="436"/>
      <c r="DS143" s="436"/>
      <c r="DT143" s="436"/>
      <c r="DU143" s="436"/>
      <c r="DV143" s="436"/>
      <c r="DW143" s="436"/>
      <c r="DX143" s="436"/>
      <c r="DY143" s="436"/>
      <c r="DZ143" s="436"/>
      <c r="EA143" s="440"/>
      <c r="EB143" s="439"/>
      <c r="EC143" s="436"/>
      <c r="ED143" s="436"/>
      <c r="EE143" s="436"/>
      <c r="EF143" s="436"/>
      <c r="EG143" s="436"/>
      <c r="EH143" s="436"/>
      <c r="EI143" s="436"/>
      <c r="EJ143" s="436"/>
      <c r="EK143" s="436"/>
      <c r="EL143" s="436"/>
      <c r="EM143" s="436"/>
      <c r="EN143" s="436"/>
      <c r="EO143" s="436"/>
      <c r="EP143" s="436"/>
      <c r="EQ143" s="436"/>
      <c r="ER143" s="436"/>
      <c r="ES143" s="436"/>
      <c r="ET143" s="436"/>
      <c r="EU143" s="436"/>
      <c r="EV143" s="436"/>
      <c r="EW143" s="436"/>
      <c r="EX143" s="436"/>
      <c r="EY143" s="436"/>
      <c r="EZ143" s="440"/>
      <c r="FZ143" s="439"/>
      <c r="GA143" s="436"/>
      <c r="GB143" s="436"/>
      <c r="GC143" s="436"/>
      <c r="GD143" s="436"/>
      <c r="GE143" s="436"/>
      <c r="GF143" s="436"/>
      <c r="GG143" s="436"/>
      <c r="GH143" s="436"/>
      <c r="GI143" s="436"/>
      <c r="GJ143" s="436"/>
      <c r="GK143" s="436"/>
      <c r="GL143" s="436"/>
      <c r="GM143" s="436"/>
      <c r="GN143" s="436"/>
      <c r="GO143" s="436"/>
      <c r="GP143" s="436"/>
      <c r="GQ143" s="436"/>
      <c r="GR143" s="436"/>
      <c r="GS143" s="436"/>
      <c r="GT143" s="436"/>
      <c r="GU143" s="436"/>
      <c r="GV143" s="436"/>
      <c r="GW143" s="436"/>
      <c r="GX143" s="440"/>
      <c r="GY143" s="439"/>
      <c r="GZ143" s="436"/>
      <c r="HA143" s="436"/>
      <c r="HB143" s="436"/>
      <c r="HC143" s="436"/>
      <c r="HD143" s="436"/>
      <c r="HE143" s="436"/>
      <c r="HF143" s="436"/>
      <c r="HG143" s="436"/>
      <c r="HH143" s="436"/>
      <c r="HI143" s="436"/>
      <c r="HJ143" s="436"/>
      <c r="HK143" s="436"/>
      <c r="HL143" s="436"/>
      <c r="HM143" s="436"/>
      <c r="HN143" s="436"/>
      <c r="HO143" s="436"/>
      <c r="HP143" s="436"/>
      <c r="HQ143" s="436"/>
      <c r="HR143" s="436"/>
      <c r="HS143" s="436"/>
      <c r="HT143" s="436"/>
      <c r="HU143" s="436"/>
      <c r="HV143" s="436"/>
      <c r="HW143" s="440"/>
    </row>
    <row r="144" spans="1:231" ht="24" customHeight="1">
      <c r="AF144" s="439"/>
      <c r="AG144" s="436"/>
      <c r="AH144" s="436"/>
      <c r="AI144" s="436"/>
      <c r="AJ144" s="436"/>
      <c r="AK144" s="436"/>
      <c r="AL144" s="436"/>
      <c r="AM144" s="436"/>
      <c r="AN144" s="436"/>
      <c r="AO144" s="436"/>
      <c r="AP144" s="436"/>
      <c r="AQ144" s="436"/>
      <c r="AR144" s="436"/>
      <c r="AS144" s="436"/>
      <c r="AT144" s="436"/>
      <c r="AU144" s="436"/>
      <c r="AV144" s="436"/>
      <c r="AW144" s="436"/>
      <c r="AX144" s="436"/>
      <c r="AY144" s="436"/>
      <c r="AZ144" s="436"/>
      <c r="BA144" s="436"/>
      <c r="BB144" s="436"/>
      <c r="BC144" s="436"/>
      <c r="BD144" s="440"/>
      <c r="BE144" s="439"/>
      <c r="BF144" s="436"/>
      <c r="BG144" s="436"/>
      <c r="BH144" s="436"/>
      <c r="BI144" s="436"/>
      <c r="BJ144" s="436"/>
      <c r="BK144" s="436"/>
      <c r="BL144" s="436"/>
      <c r="BM144" s="436"/>
      <c r="BN144" s="436"/>
      <c r="BO144" s="436"/>
      <c r="BP144" s="436"/>
      <c r="BQ144" s="436"/>
      <c r="BR144" s="436"/>
      <c r="BS144" s="436"/>
      <c r="BT144" s="436"/>
      <c r="BU144" s="436"/>
      <c r="BV144" s="436"/>
      <c r="BW144" s="436"/>
      <c r="BX144" s="436"/>
      <c r="BY144" s="436"/>
      <c r="BZ144" s="436"/>
      <c r="CA144" s="436"/>
      <c r="CB144" s="436"/>
      <c r="CC144" s="440"/>
      <c r="CD144" s="439"/>
      <c r="CE144" s="436"/>
      <c r="CF144" s="436"/>
      <c r="CG144" s="436"/>
      <c r="CH144" s="436"/>
      <c r="CI144" s="436"/>
      <c r="CJ144" s="436"/>
      <c r="CK144" s="436"/>
      <c r="CL144" s="436"/>
      <c r="CM144" s="436"/>
      <c r="CN144" s="436"/>
      <c r="CO144" s="436"/>
      <c r="CP144" s="436"/>
      <c r="CQ144" s="436"/>
      <c r="CR144" s="436"/>
      <c r="CS144" s="436"/>
      <c r="CT144" s="436"/>
      <c r="CU144" s="436"/>
      <c r="CV144" s="436"/>
      <c r="CW144" s="436"/>
      <c r="CX144" s="436"/>
      <c r="CY144" s="436"/>
      <c r="CZ144" s="436"/>
      <c r="DA144" s="436"/>
      <c r="DB144" s="440"/>
      <c r="DC144" s="439"/>
      <c r="DD144" s="436"/>
      <c r="DE144" s="436"/>
      <c r="DF144" s="436"/>
      <c r="DG144" s="436"/>
      <c r="DH144" s="436"/>
      <c r="DI144" s="436"/>
      <c r="DJ144" s="436"/>
      <c r="DK144" s="436"/>
      <c r="DL144" s="436"/>
      <c r="DM144" s="436"/>
      <c r="DN144" s="436"/>
      <c r="DO144" s="436"/>
      <c r="DP144" s="436"/>
      <c r="DQ144" s="436"/>
      <c r="DR144" s="436"/>
      <c r="DS144" s="436"/>
      <c r="DT144" s="436"/>
      <c r="DU144" s="436"/>
      <c r="DV144" s="436"/>
      <c r="DW144" s="436"/>
      <c r="DX144" s="436"/>
      <c r="DY144" s="436"/>
      <c r="DZ144" s="436"/>
      <c r="EA144" s="440"/>
      <c r="EB144" s="439"/>
      <c r="EC144" s="436"/>
      <c r="ED144" s="436"/>
      <c r="EE144" s="436"/>
      <c r="EF144" s="436"/>
      <c r="EG144" s="436"/>
      <c r="EH144" s="436"/>
      <c r="EI144" s="436"/>
      <c r="EJ144" s="436"/>
      <c r="EK144" s="436"/>
      <c r="EL144" s="436"/>
      <c r="EM144" s="436"/>
      <c r="EN144" s="436"/>
      <c r="EO144" s="436"/>
      <c r="EP144" s="436"/>
      <c r="EQ144" s="436"/>
      <c r="ER144" s="436"/>
      <c r="ES144" s="436"/>
      <c r="ET144" s="436"/>
      <c r="EU144" s="436"/>
      <c r="EV144" s="436"/>
      <c r="EW144" s="436"/>
      <c r="EX144" s="436"/>
      <c r="EY144" s="436"/>
      <c r="EZ144" s="440"/>
      <c r="FZ144" s="439"/>
      <c r="GA144" s="436"/>
      <c r="GB144" s="436"/>
      <c r="GC144" s="436"/>
      <c r="GD144" s="436"/>
      <c r="GE144" s="436"/>
      <c r="GF144" s="436"/>
      <c r="GG144" s="436"/>
      <c r="GH144" s="436"/>
      <c r="GI144" s="436"/>
      <c r="GJ144" s="436"/>
      <c r="GK144" s="436"/>
      <c r="GL144" s="436"/>
      <c r="GM144" s="436"/>
      <c r="GN144" s="436"/>
      <c r="GO144" s="436"/>
      <c r="GP144" s="436"/>
      <c r="GQ144" s="436"/>
      <c r="GR144" s="436"/>
      <c r="GS144" s="436"/>
      <c r="GT144" s="436"/>
      <c r="GU144" s="436"/>
      <c r="GV144" s="436"/>
      <c r="GW144" s="436"/>
      <c r="GX144" s="440"/>
      <c r="GY144" s="439"/>
      <c r="GZ144" s="436"/>
      <c r="HA144" s="436"/>
      <c r="HB144" s="436"/>
      <c r="HC144" s="436"/>
      <c r="HD144" s="436"/>
      <c r="HE144" s="436"/>
      <c r="HF144" s="436"/>
      <c r="HG144" s="436"/>
      <c r="HH144" s="436"/>
      <c r="HI144" s="436"/>
      <c r="HJ144" s="436"/>
      <c r="HK144" s="436"/>
      <c r="HL144" s="436"/>
      <c r="HM144" s="436"/>
      <c r="HN144" s="436"/>
      <c r="HO144" s="436"/>
      <c r="HP144" s="436"/>
      <c r="HQ144" s="436"/>
      <c r="HR144" s="436"/>
      <c r="HS144" s="436"/>
      <c r="HT144" s="436"/>
      <c r="HU144" s="436"/>
      <c r="HV144" s="436"/>
      <c r="HW144" s="440"/>
    </row>
    <row r="145" spans="32:231" ht="24" customHeight="1">
      <c r="AF145" s="439"/>
      <c r="AG145" s="436"/>
      <c r="AH145" s="436"/>
      <c r="AI145" s="436"/>
      <c r="AJ145" s="436"/>
      <c r="AK145" s="436"/>
      <c r="AL145" s="436"/>
      <c r="AM145" s="436"/>
      <c r="AN145" s="436"/>
      <c r="AO145" s="436"/>
      <c r="AP145" s="436"/>
      <c r="AQ145" s="436"/>
      <c r="AR145" s="436"/>
      <c r="AS145" s="436"/>
      <c r="AT145" s="436"/>
      <c r="AU145" s="436"/>
      <c r="AV145" s="436"/>
      <c r="AW145" s="436"/>
      <c r="AX145" s="436"/>
      <c r="AY145" s="436"/>
      <c r="AZ145" s="436"/>
      <c r="BA145" s="436"/>
      <c r="BB145" s="436"/>
      <c r="BC145" s="436"/>
      <c r="BD145" s="440"/>
      <c r="BE145" s="439"/>
      <c r="BF145" s="436"/>
      <c r="BG145" s="436"/>
      <c r="BH145" s="436"/>
      <c r="BI145" s="436"/>
      <c r="BJ145" s="436"/>
      <c r="BK145" s="436"/>
      <c r="BL145" s="436"/>
      <c r="BM145" s="436"/>
      <c r="BN145" s="436"/>
      <c r="BO145" s="436"/>
      <c r="BP145" s="436"/>
      <c r="BQ145" s="436"/>
      <c r="BR145" s="436"/>
      <c r="BS145" s="436"/>
      <c r="BT145" s="436"/>
      <c r="BU145" s="436"/>
      <c r="BV145" s="436"/>
      <c r="BW145" s="436"/>
      <c r="BX145" s="436"/>
      <c r="BY145" s="436"/>
      <c r="BZ145" s="436"/>
      <c r="CA145" s="436"/>
      <c r="CB145" s="436"/>
      <c r="CC145" s="440"/>
      <c r="CD145" s="439"/>
      <c r="CE145" s="436"/>
      <c r="CF145" s="436"/>
      <c r="CG145" s="436"/>
      <c r="CH145" s="436"/>
      <c r="CI145" s="436"/>
      <c r="CJ145" s="436"/>
      <c r="CK145" s="436"/>
      <c r="CL145" s="436"/>
      <c r="CM145" s="436"/>
      <c r="CN145" s="436"/>
      <c r="CO145" s="436"/>
      <c r="CP145" s="436"/>
      <c r="CQ145" s="436"/>
      <c r="CR145" s="436"/>
      <c r="CS145" s="436"/>
      <c r="CT145" s="436"/>
      <c r="CU145" s="436"/>
      <c r="CV145" s="436"/>
      <c r="CW145" s="436"/>
      <c r="CX145" s="436"/>
      <c r="CY145" s="436"/>
      <c r="CZ145" s="436"/>
      <c r="DA145" s="436"/>
      <c r="DB145" s="440"/>
      <c r="DC145" s="439"/>
      <c r="DD145" s="436"/>
      <c r="DE145" s="436"/>
      <c r="DF145" s="436"/>
      <c r="DG145" s="436"/>
      <c r="DH145" s="436"/>
      <c r="DI145" s="436"/>
      <c r="DJ145" s="436"/>
      <c r="DK145" s="436"/>
      <c r="DL145" s="436"/>
      <c r="DM145" s="436"/>
      <c r="DN145" s="436"/>
      <c r="DO145" s="436"/>
      <c r="DP145" s="436"/>
      <c r="DQ145" s="436"/>
      <c r="DR145" s="436"/>
      <c r="DS145" s="436"/>
      <c r="DT145" s="436"/>
      <c r="DU145" s="436"/>
      <c r="DV145" s="436"/>
      <c r="DW145" s="436"/>
      <c r="DX145" s="436"/>
      <c r="DY145" s="436"/>
      <c r="DZ145" s="436"/>
      <c r="EA145" s="440"/>
      <c r="EB145" s="439"/>
      <c r="EC145" s="436"/>
      <c r="ED145" s="436"/>
      <c r="EE145" s="436"/>
      <c r="EF145" s="436"/>
      <c r="EG145" s="436"/>
      <c r="EH145" s="436"/>
      <c r="EI145" s="436"/>
      <c r="EJ145" s="436"/>
      <c r="EK145" s="436"/>
      <c r="EL145" s="436"/>
      <c r="EM145" s="436"/>
      <c r="EN145" s="436"/>
      <c r="EO145" s="436"/>
      <c r="EP145" s="436"/>
      <c r="EQ145" s="436"/>
      <c r="ER145" s="436"/>
      <c r="ES145" s="436"/>
      <c r="ET145" s="436"/>
      <c r="EU145" s="436"/>
      <c r="EV145" s="436"/>
      <c r="EW145" s="436"/>
      <c r="EX145" s="436"/>
      <c r="EY145" s="436"/>
      <c r="EZ145" s="440"/>
      <c r="FZ145" s="439"/>
      <c r="GA145" s="436"/>
      <c r="GB145" s="436"/>
      <c r="GC145" s="436"/>
      <c r="GD145" s="436"/>
      <c r="GE145" s="436"/>
      <c r="GF145" s="436"/>
      <c r="GG145" s="436"/>
      <c r="GH145" s="436"/>
      <c r="GI145" s="436"/>
      <c r="GJ145" s="436"/>
      <c r="GK145" s="436"/>
      <c r="GL145" s="436"/>
      <c r="GM145" s="436"/>
      <c r="GN145" s="436"/>
      <c r="GO145" s="436"/>
      <c r="GP145" s="436"/>
      <c r="GQ145" s="436"/>
      <c r="GR145" s="436"/>
      <c r="GS145" s="436"/>
      <c r="GT145" s="436"/>
      <c r="GU145" s="436"/>
      <c r="GV145" s="436"/>
      <c r="GW145" s="436"/>
      <c r="GX145" s="440"/>
      <c r="GY145" s="439"/>
      <c r="GZ145" s="436"/>
      <c r="HA145" s="436"/>
      <c r="HB145" s="436"/>
      <c r="HC145" s="436"/>
      <c r="HD145" s="436"/>
      <c r="HE145" s="436"/>
      <c r="HF145" s="436"/>
      <c r="HG145" s="436"/>
      <c r="HH145" s="436"/>
      <c r="HI145" s="436"/>
      <c r="HJ145" s="436"/>
      <c r="HK145" s="436"/>
      <c r="HL145" s="436"/>
      <c r="HM145" s="436"/>
      <c r="HN145" s="436"/>
      <c r="HO145" s="436"/>
      <c r="HP145" s="436"/>
      <c r="HQ145" s="436"/>
      <c r="HR145" s="436"/>
      <c r="HS145" s="436"/>
      <c r="HT145" s="436"/>
      <c r="HU145" s="436"/>
      <c r="HV145" s="436"/>
      <c r="HW145" s="440"/>
    </row>
    <row r="146" spans="32:231" ht="24" customHeight="1">
      <c r="AF146" s="439"/>
      <c r="AG146" s="436"/>
      <c r="AH146" s="436"/>
      <c r="AI146" s="436"/>
      <c r="AJ146" s="436"/>
      <c r="AK146" s="436"/>
      <c r="AL146" s="436"/>
      <c r="AM146" s="436"/>
      <c r="AN146" s="436"/>
      <c r="AO146" s="436"/>
      <c r="AP146" s="436"/>
      <c r="AQ146" s="436"/>
      <c r="AR146" s="436"/>
      <c r="AS146" s="436"/>
      <c r="AT146" s="436"/>
      <c r="AU146" s="436"/>
      <c r="AV146" s="436"/>
      <c r="AW146" s="436"/>
      <c r="AX146" s="436"/>
      <c r="AY146" s="436"/>
      <c r="AZ146" s="436"/>
      <c r="BA146" s="436"/>
      <c r="BB146" s="436"/>
      <c r="BC146" s="436"/>
      <c r="BD146" s="440"/>
      <c r="BE146" s="439"/>
      <c r="BF146" s="436"/>
      <c r="BG146" s="436"/>
      <c r="BH146" s="436"/>
      <c r="BI146" s="436"/>
      <c r="BJ146" s="436"/>
      <c r="BK146" s="436"/>
      <c r="BL146" s="436"/>
      <c r="BM146" s="436"/>
      <c r="BN146" s="436"/>
      <c r="BO146" s="436"/>
      <c r="BP146" s="436"/>
      <c r="BQ146" s="436"/>
      <c r="BR146" s="436"/>
      <c r="BS146" s="436"/>
      <c r="BT146" s="436"/>
      <c r="BU146" s="436"/>
      <c r="BV146" s="436"/>
      <c r="BW146" s="436"/>
      <c r="BX146" s="436"/>
      <c r="BY146" s="436"/>
      <c r="BZ146" s="436"/>
      <c r="CA146" s="436"/>
      <c r="CB146" s="436"/>
      <c r="CC146" s="440"/>
      <c r="CD146" s="439"/>
      <c r="CE146" s="436"/>
      <c r="CF146" s="436"/>
      <c r="CG146" s="436"/>
      <c r="CH146" s="436"/>
      <c r="CI146" s="436"/>
      <c r="CJ146" s="436"/>
      <c r="CK146" s="436"/>
      <c r="CL146" s="436"/>
      <c r="CM146" s="436"/>
      <c r="CN146" s="436"/>
      <c r="CO146" s="436"/>
      <c r="CP146" s="436"/>
      <c r="CQ146" s="436"/>
      <c r="CR146" s="436"/>
      <c r="CS146" s="436"/>
      <c r="CT146" s="436"/>
      <c r="CU146" s="436"/>
      <c r="CV146" s="436"/>
      <c r="CW146" s="436"/>
      <c r="CX146" s="436"/>
      <c r="CY146" s="436"/>
      <c r="CZ146" s="436"/>
      <c r="DA146" s="436"/>
      <c r="DB146" s="440"/>
      <c r="DC146" s="439"/>
      <c r="DD146" s="436"/>
      <c r="DE146" s="436"/>
      <c r="DF146" s="436"/>
      <c r="DG146" s="436"/>
      <c r="DH146" s="436"/>
      <c r="DI146" s="436"/>
      <c r="DJ146" s="436"/>
      <c r="DK146" s="436"/>
      <c r="DL146" s="436"/>
      <c r="DM146" s="436"/>
      <c r="DN146" s="436"/>
      <c r="DO146" s="436"/>
      <c r="DP146" s="436"/>
      <c r="DQ146" s="436"/>
      <c r="DR146" s="436"/>
      <c r="DS146" s="436"/>
      <c r="DT146" s="436"/>
      <c r="DU146" s="436"/>
      <c r="DV146" s="436"/>
      <c r="DW146" s="436"/>
      <c r="DX146" s="436"/>
      <c r="DY146" s="436"/>
      <c r="DZ146" s="436"/>
      <c r="EA146" s="440"/>
      <c r="EB146" s="439"/>
      <c r="EC146" s="436"/>
      <c r="ED146" s="436"/>
      <c r="EE146" s="436"/>
      <c r="EF146" s="436"/>
      <c r="EG146" s="436"/>
      <c r="EH146" s="436"/>
      <c r="EI146" s="436"/>
      <c r="EJ146" s="436"/>
      <c r="EK146" s="436"/>
      <c r="EL146" s="436"/>
      <c r="EM146" s="436"/>
      <c r="EN146" s="436"/>
      <c r="EO146" s="436"/>
      <c r="EP146" s="436"/>
      <c r="EQ146" s="436"/>
      <c r="ER146" s="436"/>
      <c r="ES146" s="436"/>
      <c r="ET146" s="436"/>
      <c r="EU146" s="436"/>
      <c r="EV146" s="436"/>
      <c r="EW146" s="436"/>
      <c r="EX146" s="436"/>
      <c r="EY146" s="436"/>
      <c r="EZ146" s="440"/>
      <c r="FZ146" s="439"/>
      <c r="GA146" s="436"/>
      <c r="GB146" s="436"/>
      <c r="GC146" s="436"/>
      <c r="GD146" s="436"/>
      <c r="GE146" s="436"/>
      <c r="GF146" s="436"/>
      <c r="GG146" s="436"/>
      <c r="GH146" s="436"/>
      <c r="GI146" s="436"/>
      <c r="GJ146" s="436"/>
      <c r="GK146" s="436"/>
      <c r="GL146" s="436"/>
      <c r="GM146" s="436"/>
      <c r="GN146" s="436"/>
      <c r="GO146" s="436"/>
      <c r="GP146" s="436"/>
      <c r="GQ146" s="436"/>
      <c r="GR146" s="436"/>
      <c r="GS146" s="436"/>
      <c r="GT146" s="436"/>
      <c r="GU146" s="436"/>
      <c r="GV146" s="436"/>
      <c r="GW146" s="436"/>
      <c r="GX146" s="440"/>
      <c r="GY146" s="439"/>
      <c r="GZ146" s="436"/>
      <c r="HA146" s="436"/>
      <c r="HB146" s="436"/>
      <c r="HC146" s="436"/>
      <c r="HD146" s="436"/>
      <c r="HE146" s="436"/>
      <c r="HF146" s="436"/>
      <c r="HG146" s="436"/>
      <c r="HH146" s="436"/>
      <c r="HI146" s="436"/>
      <c r="HJ146" s="436"/>
      <c r="HK146" s="436"/>
      <c r="HL146" s="436"/>
      <c r="HM146" s="436"/>
      <c r="HN146" s="436"/>
      <c r="HO146" s="436"/>
      <c r="HP146" s="436"/>
      <c r="HQ146" s="436"/>
      <c r="HR146" s="436"/>
      <c r="HS146" s="436"/>
      <c r="HT146" s="436"/>
      <c r="HU146" s="436"/>
      <c r="HV146" s="436"/>
      <c r="HW146" s="440"/>
    </row>
    <row r="147" spans="32:231" ht="24" customHeight="1">
      <c r="AF147" s="439"/>
      <c r="AG147" s="436"/>
      <c r="AH147" s="436"/>
      <c r="AI147" s="436"/>
      <c r="AJ147" s="436"/>
      <c r="AK147" s="436"/>
      <c r="AL147" s="436"/>
      <c r="AM147" s="436"/>
      <c r="AN147" s="436"/>
      <c r="AO147" s="436"/>
      <c r="AP147" s="436"/>
      <c r="AQ147" s="436"/>
      <c r="AR147" s="436"/>
      <c r="AS147" s="436"/>
      <c r="AT147" s="436"/>
      <c r="AU147" s="436"/>
      <c r="AV147" s="436"/>
      <c r="AW147" s="436"/>
      <c r="AX147" s="436"/>
      <c r="AY147" s="436"/>
      <c r="AZ147" s="436"/>
      <c r="BA147" s="436"/>
      <c r="BB147" s="436"/>
      <c r="BC147" s="436"/>
      <c r="BD147" s="440"/>
      <c r="BE147" s="439"/>
      <c r="BF147" s="436"/>
      <c r="BG147" s="436"/>
      <c r="BH147" s="436"/>
      <c r="BI147" s="436"/>
      <c r="BJ147" s="436"/>
      <c r="BK147" s="436"/>
      <c r="BL147" s="436"/>
      <c r="BM147" s="436"/>
      <c r="BN147" s="436"/>
      <c r="BO147" s="436"/>
      <c r="BP147" s="436"/>
      <c r="BQ147" s="436"/>
      <c r="BR147" s="436"/>
      <c r="BS147" s="436"/>
      <c r="BT147" s="436"/>
      <c r="BU147" s="436"/>
      <c r="BV147" s="436"/>
      <c r="BW147" s="436"/>
      <c r="BX147" s="436"/>
      <c r="BY147" s="436"/>
      <c r="BZ147" s="436"/>
      <c r="CA147" s="436"/>
      <c r="CB147" s="436"/>
      <c r="CC147" s="440"/>
      <c r="CD147" s="439"/>
      <c r="CE147" s="436"/>
      <c r="CF147" s="436"/>
      <c r="CG147" s="436"/>
      <c r="CH147" s="436"/>
      <c r="CI147" s="436"/>
      <c r="CJ147" s="436"/>
      <c r="CK147" s="436"/>
      <c r="CL147" s="436"/>
      <c r="CM147" s="436"/>
      <c r="CN147" s="436"/>
      <c r="CO147" s="436"/>
      <c r="CP147" s="436"/>
      <c r="CQ147" s="436"/>
      <c r="CR147" s="436"/>
      <c r="CS147" s="436"/>
      <c r="CT147" s="436"/>
      <c r="CU147" s="436"/>
      <c r="CV147" s="436"/>
      <c r="CW147" s="436"/>
      <c r="CX147" s="436"/>
      <c r="CY147" s="436"/>
      <c r="CZ147" s="436"/>
      <c r="DA147" s="436"/>
      <c r="DB147" s="440"/>
      <c r="DC147" s="439"/>
      <c r="DD147" s="436"/>
      <c r="DE147" s="436"/>
      <c r="DF147" s="436"/>
      <c r="DG147" s="436"/>
      <c r="DH147" s="436"/>
      <c r="DI147" s="436"/>
      <c r="DJ147" s="436"/>
      <c r="DK147" s="436"/>
      <c r="DL147" s="436"/>
      <c r="DM147" s="436"/>
      <c r="DN147" s="436"/>
      <c r="DO147" s="436"/>
      <c r="DP147" s="436"/>
      <c r="DQ147" s="436"/>
      <c r="DR147" s="436"/>
      <c r="DS147" s="436"/>
      <c r="DT147" s="436"/>
      <c r="DU147" s="436"/>
      <c r="DV147" s="436"/>
      <c r="DW147" s="436"/>
      <c r="DX147" s="436"/>
      <c r="DY147" s="436"/>
      <c r="DZ147" s="436"/>
      <c r="EA147" s="440"/>
      <c r="EB147" s="439"/>
      <c r="EC147" s="436"/>
      <c r="ED147" s="436"/>
      <c r="EE147" s="436"/>
      <c r="EF147" s="436"/>
      <c r="EG147" s="436"/>
      <c r="EH147" s="436"/>
      <c r="EI147" s="436"/>
      <c r="EJ147" s="436"/>
      <c r="EK147" s="436"/>
      <c r="EL147" s="436"/>
      <c r="EM147" s="436"/>
      <c r="EN147" s="436"/>
      <c r="EO147" s="436"/>
      <c r="EP147" s="436"/>
      <c r="EQ147" s="436"/>
      <c r="ER147" s="436"/>
      <c r="ES147" s="436"/>
      <c r="ET147" s="436"/>
      <c r="EU147" s="436"/>
      <c r="EV147" s="436"/>
      <c r="EW147" s="436"/>
      <c r="EX147" s="436"/>
      <c r="EY147" s="436"/>
      <c r="EZ147" s="440"/>
      <c r="FZ147" s="439"/>
      <c r="GA147" s="436"/>
      <c r="GB147" s="436"/>
      <c r="GC147" s="436"/>
      <c r="GD147" s="436"/>
      <c r="GE147" s="436"/>
      <c r="GF147" s="436"/>
      <c r="GG147" s="436"/>
      <c r="GH147" s="436"/>
      <c r="GI147" s="436"/>
      <c r="GJ147" s="436"/>
      <c r="GK147" s="436"/>
      <c r="GL147" s="436"/>
      <c r="GM147" s="436"/>
      <c r="GN147" s="436"/>
      <c r="GO147" s="436"/>
      <c r="GP147" s="436"/>
      <c r="GQ147" s="436"/>
      <c r="GR147" s="436"/>
      <c r="GS147" s="436"/>
      <c r="GT147" s="436"/>
      <c r="GU147" s="436"/>
      <c r="GV147" s="436"/>
      <c r="GW147" s="436"/>
      <c r="GX147" s="440"/>
      <c r="GY147" s="439"/>
      <c r="GZ147" s="436"/>
      <c r="HA147" s="436"/>
      <c r="HB147" s="436"/>
      <c r="HC147" s="436"/>
      <c r="HD147" s="436"/>
      <c r="HE147" s="436"/>
      <c r="HF147" s="436"/>
      <c r="HG147" s="436"/>
      <c r="HH147" s="436"/>
      <c r="HI147" s="436"/>
      <c r="HJ147" s="436"/>
      <c r="HK147" s="436"/>
      <c r="HL147" s="436"/>
      <c r="HM147" s="436"/>
      <c r="HN147" s="436"/>
      <c r="HO147" s="436"/>
      <c r="HP147" s="436"/>
      <c r="HQ147" s="436"/>
      <c r="HR147" s="436"/>
      <c r="HS147" s="436"/>
      <c r="HT147" s="436"/>
      <c r="HU147" s="436"/>
      <c r="HV147" s="436"/>
      <c r="HW147" s="440"/>
    </row>
    <row r="148" spans="32:231" ht="24" customHeight="1">
      <c r="AF148" s="439"/>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40"/>
      <c r="BE148" s="439"/>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40"/>
      <c r="CD148" s="439"/>
      <c r="CE148" s="436"/>
      <c r="CF148" s="436"/>
      <c r="CG148" s="436"/>
      <c r="CH148" s="436"/>
      <c r="CI148" s="436"/>
      <c r="CJ148" s="436"/>
      <c r="CK148" s="436"/>
      <c r="CL148" s="436"/>
      <c r="CM148" s="436"/>
      <c r="CN148" s="436"/>
      <c r="CO148" s="436"/>
      <c r="CP148" s="436"/>
      <c r="CQ148" s="436"/>
      <c r="CR148" s="436"/>
      <c r="CS148" s="436"/>
      <c r="CT148" s="436"/>
      <c r="CU148" s="436"/>
      <c r="CV148" s="436"/>
      <c r="CW148" s="436"/>
      <c r="CX148" s="436"/>
      <c r="CY148" s="436"/>
      <c r="CZ148" s="436"/>
      <c r="DA148" s="436"/>
      <c r="DB148" s="440"/>
      <c r="DC148" s="439"/>
      <c r="DD148" s="436"/>
      <c r="DE148" s="436"/>
      <c r="DF148" s="436"/>
      <c r="DG148" s="436"/>
      <c r="DH148" s="436"/>
      <c r="DI148" s="436"/>
      <c r="DJ148" s="436"/>
      <c r="DK148" s="436"/>
      <c r="DL148" s="436"/>
      <c r="DM148" s="436"/>
      <c r="DN148" s="436"/>
      <c r="DO148" s="436"/>
      <c r="DP148" s="436"/>
      <c r="DQ148" s="436"/>
      <c r="DR148" s="436"/>
      <c r="DS148" s="436"/>
      <c r="DT148" s="436"/>
      <c r="DU148" s="436"/>
      <c r="DV148" s="436"/>
      <c r="DW148" s="436"/>
      <c r="DX148" s="436"/>
      <c r="DY148" s="436"/>
      <c r="DZ148" s="436"/>
      <c r="EA148" s="440"/>
      <c r="EB148" s="439"/>
      <c r="EC148" s="436"/>
      <c r="ED148" s="436"/>
      <c r="EE148" s="436"/>
      <c r="EF148" s="436"/>
      <c r="EG148" s="436"/>
      <c r="EH148" s="436"/>
      <c r="EI148" s="436"/>
      <c r="EJ148" s="436"/>
      <c r="EK148" s="436"/>
      <c r="EL148" s="436"/>
      <c r="EM148" s="436"/>
      <c r="EN148" s="436"/>
      <c r="EO148" s="436"/>
      <c r="EP148" s="436"/>
      <c r="EQ148" s="436"/>
      <c r="ER148" s="436"/>
      <c r="ES148" s="436"/>
      <c r="ET148" s="436"/>
      <c r="EU148" s="436"/>
      <c r="EV148" s="436"/>
      <c r="EW148" s="436"/>
      <c r="EX148" s="436"/>
      <c r="EY148" s="436"/>
      <c r="EZ148" s="440"/>
      <c r="FZ148" s="439"/>
      <c r="GA148" s="436"/>
      <c r="GB148" s="436"/>
      <c r="GC148" s="436"/>
      <c r="GD148" s="436"/>
      <c r="GE148" s="436"/>
      <c r="GF148" s="436"/>
      <c r="GG148" s="436"/>
      <c r="GH148" s="436"/>
      <c r="GI148" s="436"/>
      <c r="GJ148" s="436"/>
      <c r="GK148" s="436"/>
      <c r="GL148" s="436"/>
      <c r="GM148" s="436"/>
      <c r="GN148" s="436"/>
      <c r="GO148" s="436"/>
      <c r="GP148" s="436"/>
      <c r="GQ148" s="436"/>
      <c r="GR148" s="436"/>
      <c r="GS148" s="436"/>
      <c r="GT148" s="436"/>
      <c r="GU148" s="436"/>
      <c r="GV148" s="436"/>
      <c r="GW148" s="436"/>
      <c r="GX148" s="440"/>
      <c r="GY148" s="439"/>
      <c r="GZ148" s="436"/>
      <c r="HA148" s="436"/>
      <c r="HB148" s="436"/>
      <c r="HC148" s="436"/>
      <c r="HD148" s="436"/>
      <c r="HE148" s="436"/>
      <c r="HF148" s="436"/>
      <c r="HG148" s="436"/>
      <c r="HH148" s="436"/>
      <c r="HI148" s="436"/>
      <c r="HJ148" s="436"/>
      <c r="HK148" s="436"/>
      <c r="HL148" s="436"/>
      <c r="HM148" s="436"/>
      <c r="HN148" s="436"/>
      <c r="HO148" s="436"/>
      <c r="HP148" s="436"/>
      <c r="HQ148" s="436"/>
      <c r="HR148" s="436"/>
      <c r="HS148" s="436"/>
      <c r="HT148" s="436"/>
      <c r="HU148" s="436"/>
      <c r="HV148" s="436"/>
      <c r="HW148" s="440"/>
    </row>
    <row r="149" spans="32:231" ht="24" customHeight="1">
      <c r="AF149" s="439"/>
      <c r="AG149" s="436"/>
      <c r="AH149" s="436"/>
      <c r="AI149" s="436"/>
      <c r="AJ149" s="436"/>
      <c r="AK149" s="436"/>
      <c r="AL149" s="436"/>
      <c r="AM149" s="436"/>
      <c r="AN149" s="436"/>
      <c r="AO149" s="436"/>
      <c r="AP149" s="436"/>
      <c r="AQ149" s="436"/>
      <c r="AR149" s="436"/>
      <c r="AS149" s="436"/>
      <c r="AT149" s="436"/>
      <c r="AU149" s="436"/>
      <c r="AV149" s="436"/>
      <c r="AW149" s="436"/>
      <c r="AX149" s="436"/>
      <c r="AY149" s="436"/>
      <c r="AZ149" s="436"/>
      <c r="BA149" s="436"/>
      <c r="BB149" s="436"/>
      <c r="BC149" s="436"/>
      <c r="BD149" s="440"/>
      <c r="BE149" s="439"/>
      <c r="BF149" s="436"/>
      <c r="BG149" s="436"/>
      <c r="BH149" s="436"/>
      <c r="BI149" s="436"/>
      <c r="BJ149" s="436"/>
      <c r="BK149" s="436"/>
      <c r="BL149" s="436"/>
      <c r="BM149" s="436"/>
      <c r="BN149" s="436"/>
      <c r="BO149" s="436"/>
      <c r="BP149" s="436"/>
      <c r="BQ149" s="436"/>
      <c r="BR149" s="436"/>
      <c r="BS149" s="436"/>
      <c r="BT149" s="436"/>
      <c r="BU149" s="436"/>
      <c r="BV149" s="436"/>
      <c r="BW149" s="436"/>
      <c r="BX149" s="436"/>
      <c r="BY149" s="436"/>
      <c r="BZ149" s="436"/>
      <c r="CA149" s="436"/>
      <c r="CB149" s="436"/>
      <c r="CC149" s="440"/>
      <c r="CD149" s="439"/>
      <c r="CE149" s="436"/>
      <c r="CF149" s="436"/>
      <c r="CG149" s="436"/>
      <c r="CH149" s="436"/>
      <c r="CI149" s="436"/>
      <c r="CJ149" s="436"/>
      <c r="CK149" s="436"/>
      <c r="CL149" s="436"/>
      <c r="CM149" s="436"/>
      <c r="CN149" s="436"/>
      <c r="CO149" s="436"/>
      <c r="CP149" s="436"/>
      <c r="CQ149" s="436"/>
      <c r="CR149" s="436"/>
      <c r="CS149" s="436"/>
      <c r="CT149" s="436"/>
      <c r="CU149" s="436"/>
      <c r="CV149" s="436"/>
      <c r="CW149" s="436"/>
      <c r="CX149" s="436"/>
      <c r="CY149" s="436"/>
      <c r="CZ149" s="436"/>
      <c r="DA149" s="436"/>
      <c r="DB149" s="440"/>
      <c r="DC149" s="439"/>
      <c r="DD149" s="436"/>
      <c r="DE149" s="436"/>
      <c r="DF149" s="436"/>
      <c r="DG149" s="436"/>
      <c r="DH149" s="436"/>
      <c r="DI149" s="436"/>
      <c r="DJ149" s="436"/>
      <c r="DK149" s="436"/>
      <c r="DL149" s="436"/>
      <c r="DM149" s="436"/>
      <c r="DN149" s="436"/>
      <c r="DO149" s="436"/>
      <c r="DP149" s="436"/>
      <c r="DQ149" s="436"/>
      <c r="DR149" s="436"/>
      <c r="DS149" s="436"/>
      <c r="DT149" s="436"/>
      <c r="DU149" s="436"/>
      <c r="DV149" s="436"/>
      <c r="DW149" s="436"/>
      <c r="DX149" s="436"/>
      <c r="DY149" s="436"/>
      <c r="DZ149" s="436"/>
      <c r="EA149" s="440"/>
      <c r="EB149" s="439"/>
      <c r="EC149" s="436"/>
      <c r="ED149" s="436"/>
      <c r="EE149" s="436"/>
      <c r="EF149" s="436"/>
      <c r="EG149" s="436"/>
      <c r="EH149" s="436"/>
      <c r="EI149" s="436"/>
      <c r="EJ149" s="436"/>
      <c r="EK149" s="436"/>
      <c r="EL149" s="436"/>
      <c r="EM149" s="436"/>
      <c r="EN149" s="436"/>
      <c r="EO149" s="436"/>
      <c r="EP149" s="436"/>
      <c r="EQ149" s="436"/>
      <c r="ER149" s="436"/>
      <c r="ES149" s="436"/>
      <c r="ET149" s="436"/>
      <c r="EU149" s="436"/>
      <c r="EV149" s="436"/>
      <c r="EW149" s="436"/>
      <c r="EX149" s="436"/>
      <c r="EY149" s="436"/>
      <c r="EZ149" s="440"/>
      <c r="FZ149" s="439"/>
      <c r="GA149" s="436"/>
      <c r="GB149" s="436"/>
      <c r="GC149" s="436"/>
      <c r="GD149" s="436"/>
      <c r="GE149" s="436"/>
      <c r="GF149" s="436"/>
      <c r="GG149" s="436"/>
      <c r="GH149" s="436"/>
      <c r="GI149" s="436"/>
      <c r="GJ149" s="436"/>
      <c r="GK149" s="436"/>
      <c r="GL149" s="436"/>
      <c r="GM149" s="436"/>
      <c r="GN149" s="436"/>
      <c r="GO149" s="436"/>
      <c r="GP149" s="436"/>
      <c r="GQ149" s="436"/>
      <c r="GR149" s="436"/>
      <c r="GS149" s="436"/>
      <c r="GT149" s="436"/>
      <c r="GU149" s="436"/>
      <c r="GV149" s="436"/>
      <c r="GW149" s="436"/>
      <c r="GX149" s="440"/>
      <c r="GY149" s="439"/>
      <c r="GZ149" s="436"/>
      <c r="HA149" s="436"/>
      <c r="HB149" s="436"/>
      <c r="HC149" s="436"/>
      <c r="HD149" s="436"/>
      <c r="HE149" s="436"/>
      <c r="HF149" s="436"/>
      <c r="HG149" s="436"/>
      <c r="HH149" s="436"/>
      <c r="HI149" s="436"/>
      <c r="HJ149" s="436"/>
      <c r="HK149" s="436"/>
      <c r="HL149" s="436"/>
      <c r="HM149" s="436"/>
      <c r="HN149" s="436"/>
      <c r="HO149" s="436"/>
      <c r="HP149" s="436"/>
      <c r="HQ149" s="436"/>
      <c r="HR149" s="436"/>
      <c r="HS149" s="436"/>
      <c r="HT149" s="436"/>
      <c r="HU149" s="436"/>
      <c r="HV149" s="436"/>
      <c r="HW149" s="440"/>
    </row>
    <row r="150" spans="32:231" ht="24" customHeight="1">
      <c r="AF150" s="439"/>
      <c r="AG150" s="436"/>
      <c r="AH150" s="436"/>
      <c r="AI150" s="436"/>
      <c r="AJ150" s="436"/>
      <c r="AK150" s="436"/>
      <c r="AL150" s="436"/>
      <c r="AM150" s="436"/>
      <c r="AN150" s="436"/>
      <c r="AO150" s="436"/>
      <c r="AP150" s="436"/>
      <c r="AQ150" s="436"/>
      <c r="AR150" s="436"/>
      <c r="AS150" s="436"/>
      <c r="AT150" s="436"/>
      <c r="AU150" s="436"/>
      <c r="AV150" s="436"/>
      <c r="AW150" s="436"/>
      <c r="AX150" s="436"/>
      <c r="AY150" s="436"/>
      <c r="AZ150" s="436"/>
      <c r="BA150" s="436"/>
      <c r="BB150" s="436"/>
      <c r="BC150" s="436"/>
      <c r="BD150" s="440"/>
      <c r="BE150" s="439"/>
      <c r="BF150" s="436"/>
      <c r="BG150" s="436"/>
      <c r="BH150" s="436"/>
      <c r="BI150" s="436"/>
      <c r="BJ150" s="436"/>
      <c r="BK150" s="436"/>
      <c r="BL150" s="436"/>
      <c r="BM150" s="436"/>
      <c r="BN150" s="436"/>
      <c r="BO150" s="436"/>
      <c r="BP150" s="436"/>
      <c r="BQ150" s="436"/>
      <c r="BR150" s="436"/>
      <c r="BS150" s="436"/>
      <c r="BT150" s="436"/>
      <c r="BU150" s="436"/>
      <c r="BV150" s="436"/>
      <c r="BW150" s="436"/>
      <c r="BX150" s="436"/>
      <c r="BY150" s="436"/>
      <c r="BZ150" s="436"/>
      <c r="CA150" s="436"/>
      <c r="CB150" s="436"/>
      <c r="CC150" s="440"/>
      <c r="CD150" s="439"/>
      <c r="CE150" s="436"/>
      <c r="CF150" s="436"/>
      <c r="CG150" s="436"/>
      <c r="CH150" s="436"/>
      <c r="CI150" s="436"/>
      <c r="CJ150" s="436"/>
      <c r="CK150" s="436"/>
      <c r="CL150" s="436"/>
      <c r="CM150" s="436"/>
      <c r="CN150" s="436"/>
      <c r="CO150" s="436"/>
      <c r="CP150" s="436"/>
      <c r="CQ150" s="436"/>
      <c r="CR150" s="436"/>
      <c r="CS150" s="436"/>
      <c r="CT150" s="436"/>
      <c r="CU150" s="436"/>
      <c r="CV150" s="436"/>
      <c r="CW150" s="436"/>
      <c r="CX150" s="436"/>
      <c r="CY150" s="436"/>
      <c r="CZ150" s="436"/>
      <c r="DA150" s="436"/>
      <c r="DB150" s="440"/>
      <c r="DC150" s="439"/>
      <c r="DD150" s="436"/>
      <c r="DE150" s="436"/>
      <c r="DF150" s="436"/>
      <c r="DG150" s="436"/>
      <c r="DH150" s="436"/>
      <c r="DI150" s="436"/>
      <c r="DJ150" s="436"/>
      <c r="DK150" s="436"/>
      <c r="DL150" s="436"/>
      <c r="DM150" s="436"/>
      <c r="DN150" s="436"/>
      <c r="DO150" s="436"/>
      <c r="DP150" s="436"/>
      <c r="DQ150" s="436"/>
      <c r="DR150" s="436"/>
      <c r="DS150" s="436"/>
      <c r="DT150" s="436"/>
      <c r="DU150" s="436"/>
      <c r="DV150" s="436"/>
      <c r="DW150" s="436"/>
      <c r="DX150" s="436"/>
      <c r="DY150" s="436"/>
      <c r="DZ150" s="436"/>
      <c r="EA150" s="440"/>
      <c r="EB150" s="439"/>
      <c r="EC150" s="436"/>
      <c r="ED150" s="436"/>
      <c r="EE150" s="436"/>
      <c r="EF150" s="436"/>
      <c r="EG150" s="436"/>
      <c r="EH150" s="436"/>
      <c r="EI150" s="436"/>
      <c r="EJ150" s="436"/>
      <c r="EK150" s="436"/>
      <c r="EL150" s="436"/>
      <c r="EM150" s="436"/>
      <c r="EN150" s="436"/>
      <c r="EO150" s="436"/>
      <c r="EP150" s="436"/>
      <c r="EQ150" s="436"/>
      <c r="ER150" s="436"/>
      <c r="ES150" s="436"/>
      <c r="ET150" s="436"/>
      <c r="EU150" s="436"/>
      <c r="EV150" s="436"/>
      <c r="EW150" s="436"/>
      <c r="EX150" s="436"/>
      <c r="EY150" s="436"/>
      <c r="EZ150" s="440"/>
      <c r="FZ150" s="439"/>
      <c r="GA150" s="436"/>
      <c r="GB150" s="436"/>
      <c r="GC150" s="436"/>
      <c r="GD150" s="436"/>
      <c r="GE150" s="436"/>
      <c r="GF150" s="436"/>
      <c r="GG150" s="436"/>
      <c r="GH150" s="436"/>
      <c r="GI150" s="436"/>
      <c r="GJ150" s="436"/>
      <c r="GK150" s="436"/>
      <c r="GL150" s="436"/>
      <c r="GM150" s="436"/>
      <c r="GN150" s="436"/>
      <c r="GO150" s="436"/>
      <c r="GP150" s="436"/>
      <c r="GQ150" s="436"/>
      <c r="GR150" s="436"/>
      <c r="GS150" s="436"/>
      <c r="GT150" s="436"/>
      <c r="GU150" s="436"/>
      <c r="GV150" s="436"/>
      <c r="GW150" s="436"/>
      <c r="GX150" s="440"/>
      <c r="GY150" s="439"/>
      <c r="GZ150" s="436"/>
      <c r="HA150" s="436"/>
      <c r="HB150" s="436"/>
      <c r="HC150" s="436"/>
      <c r="HD150" s="436"/>
      <c r="HE150" s="436"/>
      <c r="HF150" s="436"/>
      <c r="HG150" s="436"/>
      <c r="HH150" s="436"/>
      <c r="HI150" s="436"/>
      <c r="HJ150" s="436"/>
      <c r="HK150" s="436"/>
      <c r="HL150" s="436"/>
      <c r="HM150" s="436"/>
      <c r="HN150" s="436"/>
      <c r="HO150" s="436"/>
      <c r="HP150" s="436"/>
      <c r="HQ150" s="436"/>
      <c r="HR150" s="436"/>
      <c r="HS150" s="436"/>
      <c r="HT150" s="436"/>
      <c r="HU150" s="436"/>
      <c r="HV150" s="436"/>
      <c r="HW150" s="440"/>
    </row>
    <row r="151" spans="32:231" ht="24" customHeight="1" thickBot="1">
      <c r="AF151" s="439"/>
      <c r="AG151" s="441"/>
      <c r="AH151" s="441"/>
      <c r="AI151" s="441"/>
      <c r="AJ151" s="436"/>
      <c r="AK151" s="436"/>
      <c r="AL151" s="436"/>
      <c r="AM151" s="436"/>
      <c r="AN151" s="436"/>
      <c r="AO151" s="436"/>
      <c r="AP151" s="436"/>
      <c r="AQ151" s="436"/>
      <c r="AR151" s="436"/>
      <c r="AS151" s="436"/>
      <c r="AT151" s="436"/>
      <c r="AU151" s="436"/>
      <c r="AV151" s="436"/>
      <c r="AW151" s="436"/>
      <c r="AX151" s="436"/>
      <c r="AY151" s="436"/>
      <c r="AZ151" s="436"/>
      <c r="BA151" s="436"/>
      <c r="BB151" s="436"/>
      <c r="BC151" s="436"/>
      <c r="BD151" s="440"/>
      <c r="BE151" s="439"/>
      <c r="BF151" s="441"/>
      <c r="BG151" s="441"/>
      <c r="BH151" s="441"/>
      <c r="BI151" s="436"/>
      <c r="BJ151" s="436"/>
      <c r="BK151" s="436"/>
      <c r="BL151" s="436"/>
      <c r="BM151" s="436"/>
      <c r="BN151" s="436"/>
      <c r="BO151" s="436"/>
      <c r="BP151" s="436"/>
      <c r="BQ151" s="436"/>
      <c r="BR151" s="436"/>
      <c r="BS151" s="436"/>
      <c r="BT151" s="436"/>
      <c r="BU151" s="436"/>
      <c r="BV151" s="436"/>
      <c r="BW151" s="436"/>
      <c r="BX151" s="436"/>
      <c r="BY151" s="436"/>
      <c r="BZ151" s="436"/>
      <c r="CA151" s="436"/>
      <c r="CB151" s="436"/>
      <c r="CC151" s="440"/>
      <c r="CD151" s="439"/>
      <c r="CE151" s="441"/>
      <c r="CF151" s="441"/>
      <c r="CG151" s="441"/>
      <c r="CH151" s="436"/>
      <c r="CI151" s="436"/>
      <c r="CJ151" s="436"/>
      <c r="CK151" s="436"/>
      <c r="CL151" s="436"/>
      <c r="CM151" s="436"/>
      <c r="CN151" s="436"/>
      <c r="CO151" s="436"/>
      <c r="CP151" s="436"/>
      <c r="CQ151" s="436"/>
      <c r="CR151" s="436"/>
      <c r="CS151" s="436"/>
      <c r="CT151" s="436"/>
      <c r="CU151" s="436"/>
      <c r="CV151" s="436"/>
      <c r="CW151" s="436"/>
      <c r="CX151" s="436"/>
      <c r="CY151" s="436"/>
      <c r="CZ151" s="436"/>
      <c r="DA151" s="436"/>
      <c r="DB151" s="440"/>
      <c r="DC151" s="439"/>
      <c r="DD151" s="441"/>
      <c r="DE151" s="441"/>
      <c r="DF151" s="441"/>
      <c r="DG151" s="436"/>
      <c r="DH151" s="436"/>
      <c r="DI151" s="436"/>
      <c r="DJ151" s="436"/>
      <c r="DK151" s="436"/>
      <c r="DL151" s="436"/>
      <c r="DM151" s="436"/>
      <c r="DN151" s="436"/>
      <c r="DO151" s="436"/>
      <c r="DP151" s="436"/>
      <c r="DQ151" s="436"/>
      <c r="DR151" s="436"/>
      <c r="DS151" s="436"/>
      <c r="DT151" s="436"/>
      <c r="DU151" s="436"/>
      <c r="DV151" s="436"/>
      <c r="DW151" s="436"/>
      <c r="DX151" s="436"/>
      <c r="DY151" s="436"/>
      <c r="DZ151" s="436"/>
      <c r="EA151" s="440"/>
      <c r="EB151" s="439"/>
      <c r="EC151" s="441"/>
      <c r="ED151" s="441"/>
      <c r="EE151" s="441"/>
      <c r="EF151" s="436"/>
      <c r="EG151" s="436"/>
      <c r="EH151" s="436"/>
      <c r="EI151" s="436"/>
      <c r="EJ151" s="436"/>
      <c r="EK151" s="436"/>
      <c r="EL151" s="436"/>
      <c r="EM151" s="436"/>
      <c r="EN151" s="436"/>
      <c r="EO151" s="436"/>
      <c r="EP151" s="436"/>
      <c r="EQ151" s="436"/>
      <c r="ER151" s="436"/>
      <c r="ES151" s="436"/>
      <c r="ET151" s="436"/>
      <c r="EU151" s="436"/>
      <c r="EV151" s="436"/>
      <c r="EW151" s="436"/>
      <c r="EX151" s="436"/>
      <c r="EY151" s="436"/>
      <c r="EZ151" s="440"/>
      <c r="FZ151" s="439"/>
      <c r="GA151" s="441"/>
      <c r="GB151" s="441"/>
      <c r="GC151" s="441"/>
      <c r="GD151" s="436"/>
      <c r="GE151" s="436"/>
      <c r="GF151" s="436"/>
      <c r="GG151" s="436"/>
      <c r="GH151" s="436"/>
      <c r="GI151" s="436"/>
      <c r="GJ151" s="436"/>
      <c r="GK151" s="436"/>
      <c r="GL151" s="436"/>
      <c r="GM151" s="436"/>
      <c r="GN151" s="436"/>
      <c r="GO151" s="436"/>
      <c r="GP151" s="436"/>
      <c r="GQ151" s="436"/>
      <c r="GR151" s="436"/>
      <c r="GS151" s="436"/>
      <c r="GT151" s="436"/>
      <c r="GU151" s="436"/>
      <c r="GV151" s="436"/>
      <c r="GW151" s="436"/>
      <c r="GX151" s="440"/>
      <c r="GY151" s="439"/>
      <c r="GZ151" s="441"/>
      <c r="HA151" s="441"/>
      <c r="HB151" s="441"/>
      <c r="HC151" s="436"/>
      <c r="HD151" s="436"/>
      <c r="HE151" s="436"/>
      <c r="HF151" s="436"/>
      <c r="HG151" s="436"/>
      <c r="HH151" s="436"/>
      <c r="HI151" s="436"/>
      <c r="HJ151" s="436"/>
      <c r="HK151" s="436"/>
      <c r="HL151" s="436"/>
      <c r="HM151" s="436"/>
      <c r="HN151" s="436"/>
      <c r="HO151" s="436"/>
      <c r="HP151" s="436"/>
      <c r="HQ151" s="436"/>
      <c r="HR151" s="436"/>
      <c r="HS151" s="436"/>
      <c r="HT151" s="436"/>
      <c r="HU151" s="436"/>
      <c r="HV151" s="436"/>
      <c r="HW151" s="440"/>
    </row>
    <row r="152" spans="32:231" ht="24" customHeight="1" thickBot="1">
      <c r="AF152" s="444"/>
      <c r="AG152" s="1917" t="str">
        <f>'Вывод расчетов'!$CC$9</f>
        <v>Раздел 3</v>
      </c>
      <c r="AH152" s="1915"/>
      <c r="AI152" s="1915"/>
      <c r="AJ152" s="445"/>
      <c r="AK152" s="1917" t="str">
        <f>'Вывод расчетов'!$CF$9</f>
        <v>Расчет обмотки статора</v>
      </c>
      <c r="AL152" s="1915"/>
      <c r="AM152" s="1915"/>
      <c r="AN152" s="1915"/>
      <c r="AO152" s="1915"/>
      <c r="AP152" s="1915"/>
      <c r="AQ152" s="1915"/>
      <c r="AR152" s="1915"/>
      <c r="AS152" s="1915"/>
      <c r="AT152" s="1915"/>
      <c r="AU152" s="1915"/>
      <c r="AV152" s="1918"/>
      <c r="AW152" s="445"/>
      <c r="AX152" s="1917" t="s">
        <v>1502</v>
      </c>
      <c r="AY152" s="1915"/>
      <c r="AZ152" s="1918"/>
      <c r="BA152" s="445"/>
      <c r="BB152" s="1917">
        <v>11</v>
      </c>
      <c r="BC152" s="1918"/>
      <c r="BD152" s="446"/>
      <c r="BE152" s="444"/>
      <c r="BF152" s="1917" t="str">
        <f>'Вывод расчетов'!$CC$9</f>
        <v>Раздел 3</v>
      </c>
      <c r="BG152" s="1915"/>
      <c r="BH152" s="1915"/>
      <c r="BI152" s="445"/>
      <c r="BJ152" s="1917" t="str">
        <f>'Вывод расчетов'!$CF$9</f>
        <v>Расчет обмотки статора</v>
      </c>
      <c r="BK152" s="1915"/>
      <c r="BL152" s="1915"/>
      <c r="BM152" s="1915"/>
      <c r="BN152" s="1915"/>
      <c r="BO152" s="1915"/>
      <c r="BP152" s="1915"/>
      <c r="BQ152" s="1915"/>
      <c r="BR152" s="1915"/>
      <c r="BS152" s="1915"/>
      <c r="BT152" s="1915"/>
      <c r="BU152" s="1918"/>
      <c r="BV152" s="445"/>
      <c r="BW152" s="1917" t="s">
        <v>1502</v>
      </c>
      <c r="BX152" s="1915"/>
      <c r="BY152" s="1918"/>
      <c r="BZ152" s="445"/>
      <c r="CA152" s="1917">
        <v>11</v>
      </c>
      <c r="CB152" s="1918"/>
      <c r="CC152" s="446"/>
      <c r="CD152" s="444"/>
      <c r="CE152" s="1917" t="str">
        <f>'Вывод расчетов'!$CC$9</f>
        <v>Раздел 3</v>
      </c>
      <c r="CF152" s="1915"/>
      <c r="CG152" s="1915"/>
      <c r="CH152" s="445"/>
      <c r="CI152" s="1917" t="str">
        <f>'Вывод расчетов'!$CF$9</f>
        <v>Расчет обмотки статора</v>
      </c>
      <c r="CJ152" s="1915"/>
      <c r="CK152" s="1915"/>
      <c r="CL152" s="1915"/>
      <c r="CM152" s="1915"/>
      <c r="CN152" s="1915"/>
      <c r="CO152" s="1915"/>
      <c r="CP152" s="1915"/>
      <c r="CQ152" s="1915"/>
      <c r="CR152" s="1915"/>
      <c r="CS152" s="1915"/>
      <c r="CT152" s="1918"/>
      <c r="CU152" s="445"/>
      <c r="CV152" s="1917" t="s">
        <v>1502</v>
      </c>
      <c r="CW152" s="1915"/>
      <c r="CX152" s="1918"/>
      <c r="CY152" s="445"/>
      <c r="CZ152" s="1917">
        <v>11</v>
      </c>
      <c r="DA152" s="1918"/>
      <c r="DB152" s="446"/>
      <c r="DC152" s="444"/>
      <c r="DD152" s="1917" t="str">
        <f>'Вывод расчетов'!$CC$9</f>
        <v>Раздел 3</v>
      </c>
      <c r="DE152" s="1915"/>
      <c r="DF152" s="1915"/>
      <c r="DG152" s="445"/>
      <c r="DH152" s="1917" t="str">
        <f>'Вывод расчетов'!$CF$9</f>
        <v>Расчет обмотки статора</v>
      </c>
      <c r="DI152" s="1915"/>
      <c r="DJ152" s="1915"/>
      <c r="DK152" s="1915"/>
      <c r="DL152" s="1915"/>
      <c r="DM152" s="1915"/>
      <c r="DN152" s="1915"/>
      <c r="DO152" s="1915"/>
      <c r="DP152" s="1915"/>
      <c r="DQ152" s="1915"/>
      <c r="DR152" s="1915"/>
      <c r="DS152" s="1918"/>
      <c r="DT152" s="445"/>
      <c r="DU152" s="1917" t="s">
        <v>1502</v>
      </c>
      <c r="DV152" s="1915"/>
      <c r="DW152" s="1918"/>
      <c r="DX152" s="445"/>
      <c r="DY152" s="1917">
        <v>11</v>
      </c>
      <c r="DZ152" s="1918"/>
      <c r="EA152" s="446"/>
      <c r="EB152" s="444"/>
      <c r="EC152" s="1917" t="str">
        <f>'Вывод расчетов'!$CC$9</f>
        <v>Раздел 3</v>
      </c>
      <c r="ED152" s="1915"/>
      <c r="EE152" s="1915"/>
      <c r="EF152" s="445"/>
      <c r="EG152" s="1917" t="str">
        <f>'Вывод расчетов'!$CF$9</f>
        <v>Расчет обмотки статора</v>
      </c>
      <c r="EH152" s="1915"/>
      <c r="EI152" s="1915"/>
      <c r="EJ152" s="1915"/>
      <c r="EK152" s="1915"/>
      <c r="EL152" s="1915"/>
      <c r="EM152" s="1915"/>
      <c r="EN152" s="1915"/>
      <c r="EO152" s="1915"/>
      <c r="EP152" s="1915"/>
      <c r="EQ152" s="1915"/>
      <c r="ER152" s="1918"/>
      <c r="ES152" s="445"/>
      <c r="ET152" s="1917" t="s">
        <v>1502</v>
      </c>
      <c r="EU152" s="1915"/>
      <c r="EV152" s="1918"/>
      <c r="EW152" s="445"/>
      <c r="EX152" s="1917">
        <v>11</v>
      </c>
      <c r="EY152" s="1918"/>
      <c r="EZ152" s="446"/>
      <c r="FZ152" s="444"/>
      <c r="GA152" s="1917" t="str">
        <f>'Вывод расчетов'!$CC$9</f>
        <v>Раздел 3</v>
      </c>
      <c r="GB152" s="1915"/>
      <c r="GC152" s="1915"/>
      <c r="GD152" s="445"/>
      <c r="GE152" s="1917" t="str">
        <f>'Вывод расчетов'!$CF$9</f>
        <v>Расчет обмотки статора</v>
      </c>
      <c r="GF152" s="1915"/>
      <c r="GG152" s="1915"/>
      <c r="GH152" s="1915"/>
      <c r="GI152" s="1915"/>
      <c r="GJ152" s="1915"/>
      <c r="GK152" s="1915"/>
      <c r="GL152" s="1915"/>
      <c r="GM152" s="1915"/>
      <c r="GN152" s="1915"/>
      <c r="GO152" s="1915"/>
      <c r="GP152" s="1918"/>
      <c r="GQ152" s="445"/>
      <c r="GR152" s="1917" t="s">
        <v>1502</v>
      </c>
      <c r="GS152" s="1915"/>
      <c r="GT152" s="1918"/>
      <c r="GU152" s="445"/>
      <c r="GV152" s="1917">
        <v>11</v>
      </c>
      <c r="GW152" s="1918"/>
      <c r="GX152" s="446"/>
      <c r="GY152" s="444"/>
      <c r="GZ152" s="1917" t="str">
        <f>'Вывод расчетов'!$CC$9</f>
        <v>Раздел 3</v>
      </c>
      <c r="HA152" s="1915"/>
      <c r="HB152" s="1915"/>
      <c r="HC152" s="445"/>
      <c r="HD152" s="1917" t="str">
        <f>'Вывод расчетов'!$CF$9</f>
        <v>Расчет обмотки статора</v>
      </c>
      <c r="HE152" s="1915"/>
      <c r="HF152" s="1915"/>
      <c r="HG152" s="1915"/>
      <c r="HH152" s="1915"/>
      <c r="HI152" s="1915"/>
      <c r="HJ152" s="1915"/>
      <c r="HK152" s="1915"/>
      <c r="HL152" s="1915"/>
      <c r="HM152" s="1915"/>
      <c r="HN152" s="1915"/>
      <c r="HO152" s="1918"/>
      <c r="HP152" s="445"/>
      <c r="HQ152" s="1917" t="s">
        <v>1502</v>
      </c>
      <c r="HR152" s="1915"/>
      <c r="HS152" s="1918"/>
      <c r="HT152" s="445"/>
      <c r="HU152" s="1917">
        <v>11</v>
      </c>
      <c r="HV152" s="1918"/>
      <c r="HW152" s="446"/>
    </row>
    <row r="153" spans="32:231" ht="24" customHeight="1" thickBot="1">
      <c r="BE153" s="1914" t="s">
        <v>1230</v>
      </c>
      <c r="BF153" s="1915"/>
      <c r="BG153" s="1915"/>
      <c r="BH153" s="1915"/>
      <c r="BI153" s="1915"/>
      <c r="BJ153" s="1915"/>
      <c r="BK153" s="1915"/>
      <c r="BL153" s="1915"/>
      <c r="BM153" s="1915"/>
      <c r="BN153" s="1915"/>
      <c r="BO153" s="1915"/>
      <c r="BP153" s="1915"/>
      <c r="BQ153" s="1915"/>
      <c r="BR153" s="1915"/>
      <c r="BS153" s="1915"/>
      <c r="BT153" s="1915"/>
      <c r="BU153" s="1915"/>
      <c r="BV153" s="1915"/>
      <c r="BW153" s="1915"/>
      <c r="BX153" s="1915"/>
      <c r="BY153" s="1915"/>
      <c r="BZ153" s="1915"/>
      <c r="CA153" s="1915"/>
      <c r="CB153" s="1915"/>
      <c r="CC153" s="1916"/>
      <c r="DC153" s="1914" t="s">
        <v>1230</v>
      </c>
      <c r="DD153" s="1915"/>
      <c r="DE153" s="1915"/>
      <c r="DF153" s="1915"/>
      <c r="DG153" s="1915"/>
      <c r="DH153" s="1915"/>
      <c r="DI153" s="1915"/>
      <c r="DJ153" s="1915"/>
      <c r="DK153" s="1915"/>
      <c r="DL153" s="1915"/>
      <c r="DM153" s="1915"/>
      <c r="DN153" s="1915"/>
      <c r="DO153" s="1915"/>
      <c r="DP153" s="1915"/>
      <c r="DQ153" s="1915"/>
      <c r="DR153" s="1915"/>
      <c r="DS153" s="1915"/>
      <c r="DT153" s="1915"/>
      <c r="DU153" s="1915"/>
      <c r="DV153" s="1915"/>
      <c r="DW153" s="1915"/>
      <c r="DX153" s="1915"/>
      <c r="DY153" s="1915"/>
      <c r="DZ153" s="1915"/>
      <c r="EA153" s="1916"/>
      <c r="EB153" s="1914" t="s">
        <v>1230</v>
      </c>
      <c r="EC153" s="1915"/>
      <c r="ED153" s="1915"/>
      <c r="EE153" s="1915"/>
      <c r="EF153" s="1915"/>
      <c r="EG153" s="1915"/>
      <c r="EH153" s="1915"/>
      <c r="EI153" s="1915"/>
      <c r="EJ153" s="1915"/>
      <c r="EK153" s="1915"/>
      <c r="EL153" s="1915"/>
      <c r="EM153" s="1915"/>
      <c r="EN153" s="1915"/>
      <c r="EO153" s="1915"/>
      <c r="EP153" s="1915"/>
      <c r="EQ153" s="1915"/>
      <c r="ER153" s="1915"/>
      <c r="ES153" s="1915"/>
      <c r="ET153" s="1915"/>
      <c r="EU153" s="1915"/>
      <c r="EV153" s="1915"/>
      <c r="EW153" s="1915"/>
      <c r="EX153" s="1915"/>
      <c r="EY153" s="1915"/>
      <c r="EZ153" s="1916"/>
      <c r="FZ153" s="1914" t="s">
        <v>1230</v>
      </c>
      <c r="GA153" s="1915"/>
      <c r="GB153" s="1915"/>
      <c r="GC153" s="1915"/>
      <c r="GD153" s="1915"/>
      <c r="GE153" s="1915"/>
      <c r="GF153" s="1915"/>
      <c r="GG153" s="1915"/>
      <c r="GH153" s="1915"/>
      <c r="GI153" s="1915"/>
      <c r="GJ153" s="1915"/>
      <c r="GK153" s="1915"/>
      <c r="GL153" s="1915"/>
      <c r="GM153" s="1915"/>
      <c r="GN153" s="1915"/>
      <c r="GO153" s="1915"/>
      <c r="GP153" s="1915"/>
      <c r="GQ153" s="1915"/>
      <c r="GR153" s="1915"/>
      <c r="GS153" s="1915"/>
      <c r="GT153" s="1915"/>
      <c r="GU153" s="1915"/>
      <c r="GV153" s="1915"/>
      <c r="GW153" s="1915"/>
      <c r="GX153" s="1916"/>
      <c r="GY153" s="1914" t="s">
        <v>1230</v>
      </c>
      <c r="GZ153" s="1915"/>
      <c r="HA153" s="1915"/>
      <c r="HB153" s="1915"/>
      <c r="HC153" s="1915"/>
      <c r="HD153" s="1915"/>
      <c r="HE153" s="1915"/>
      <c r="HF153" s="1915"/>
      <c r="HG153" s="1915"/>
      <c r="HH153" s="1915"/>
      <c r="HI153" s="1915"/>
      <c r="HJ153" s="1915"/>
      <c r="HK153" s="1915"/>
      <c r="HL153" s="1915"/>
      <c r="HM153" s="1915"/>
      <c r="HN153" s="1915"/>
      <c r="HO153" s="1915"/>
      <c r="HP153" s="1915"/>
      <c r="HQ153" s="1915"/>
      <c r="HR153" s="1915"/>
      <c r="HS153" s="1915"/>
      <c r="HT153" s="1915"/>
      <c r="HU153" s="1915"/>
      <c r="HV153" s="1915"/>
      <c r="HW153" s="1916"/>
    </row>
    <row r="154" spans="32:231" ht="24" customHeight="1">
      <c r="BE154" s="437"/>
      <c r="BF154" s="438"/>
      <c r="BG154" s="438"/>
      <c r="BH154" s="438"/>
      <c r="BI154" s="438"/>
      <c r="BJ154" s="438"/>
      <c r="BK154" s="438"/>
      <c r="BL154" s="438"/>
      <c r="BM154" s="438"/>
      <c r="BN154" s="438"/>
      <c r="BO154" s="438"/>
      <c r="BP154" s="438"/>
      <c r="BQ154" s="438"/>
      <c r="BR154" s="438"/>
      <c r="BS154" s="438"/>
      <c r="BT154" s="438"/>
      <c r="BU154" s="438"/>
      <c r="BV154" s="438"/>
      <c r="BW154" s="438"/>
      <c r="BX154" s="438"/>
      <c r="BY154" s="438"/>
      <c r="BZ154" s="438"/>
      <c r="CA154" s="438"/>
      <c r="CB154" s="438"/>
      <c r="CC154" s="447"/>
      <c r="DC154" s="437"/>
      <c r="DD154" s="438"/>
      <c r="DE154" s="438"/>
      <c r="DF154" s="438"/>
      <c r="DG154" s="438"/>
      <c r="DH154" s="438"/>
      <c r="DI154" s="438"/>
      <c r="DJ154" s="438"/>
      <c r="DK154" s="438"/>
      <c r="DL154" s="438"/>
      <c r="DM154" s="438"/>
      <c r="DN154" s="438"/>
      <c r="DO154" s="438"/>
      <c r="DP154" s="438"/>
      <c r="DQ154" s="438"/>
      <c r="DR154" s="438"/>
      <c r="DS154" s="438"/>
      <c r="DT154" s="438"/>
      <c r="DU154" s="438"/>
      <c r="DV154" s="438"/>
      <c r="DW154" s="438"/>
      <c r="DX154" s="438"/>
      <c r="DY154" s="438"/>
      <c r="DZ154" s="438"/>
      <c r="EA154" s="447"/>
      <c r="EB154" s="437"/>
      <c r="EC154" s="438"/>
      <c r="ED154" s="438"/>
      <c r="EE154" s="438"/>
      <c r="EF154" s="438"/>
      <c r="EG154" s="438"/>
      <c r="EH154" s="438"/>
      <c r="EI154" s="438"/>
      <c r="EJ154" s="438"/>
      <c r="EK154" s="438"/>
      <c r="EL154" s="438"/>
      <c r="EM154" s="438"/>
      <c r="EN154" s="438"/>
      <c r="EO154" s="438"/>
      <c r="EP154" s="438"/>
      <c r="EQ154" s="438"/>
      <c r="ER154" s="438"/>
      <c r="ES154" s="438"/>
      <c r="ET154" s="438"/>
      <c r="EU154" s="438"/>
      <c r="EV154" s="438"/>
      <c r="EW154" s="438"/>
      <c r="EX154" s="438"/>
      <c r="EY154" s="438"/>
      <c r="EZ154" s="447"/>
      <c r="FZ154" s="437"/>
      <c r="GA154" s="438"/>
      <c r="GB154" s="438"/>
      <c r="GC154" s="438"/>
      <c r="GD154" s="438"/>
      <c r="GE154" s="438"/>
      <c r="GF154" s="438"/>
      <c r="GG154" s="438"/>
      <c r="GH154" s="438"/>
      <c r="GI154" s="438"/>
      <c r="GJ154" s="438"/>
      <c r="GK154" s="438"/>
      <c r="GL154" s="438"/>
      <c r="GM154" s="438"/>
      <c r="GN154" s="438"/>
      <c r="GO154" s="438"/>
      <c r="GP154" s="438"/>
      <c r="GQ154" s="438"/>
      <c r="GR154" s="438"/>
      <c r="GS154" s="438"/>
      <c r="GT154" s="438"/>
      <c r="GU154" s="438"/>
      <c r="GV154" s="438"/>
      <c r="GW154" s="438"/>
      <c r="GX154" s="447"/>
      <c r="GY154" s="437"/>
      <c r="GZ154" s="438"/>
      <c r="HA154" s="438"/>
      <c r="HB154" s="438"/>
      <c r="HC154" s="438"/>
      <c r="HD154" s="438"/>
      <c r="HE154" s="438"/>
      <c r="HF154" s="438"/>
      <c r="HG154" s="438"/>
      <c r="HH154" s="438"/>
      <c r="HI154" s="438"/>
      <c r="HJ154" s="438"/>
      <c r="HK154" s="438"/>
      <c r="HL154" s="438"/>
      <c r="HM154" s="438"/>
      <c r="HN154" s="438"/>
      <c r="HO154" s="438"/>
      <c r="HP154" s="438"/>
      <c r="HQ154" s="438"/>
      <c r="HR154" s="438"/>
      <c r="HS154" s="438"/>
      <c r="HT154" s="438"/>
      <c r="HU154" s="438"/>
      <c r="HV154" s="438"/>
      <c r="HW154" s="447"/>
    </row>
    <row r="155" spans="32:231" ht="24" customHeight="1">
      <c r="BE155" s="439"/>
      <c r="BF155" s="436"/>
      <c r="BG155" s="436"/>
      <c r="BH155" s="436"/>
      <c r="BI155" s="436"/>
      <c r="BJ155" s="436"/>
      <c r="BK155" s="436"/>
      <c r="BL155" s="436"/>
      <c r="BM155" s="436"/>
      <c r="BN155" s="436"/>
      <c r="BO155" s="436"/>
      <c r="BP155" s="436"/>
      <c r="BQ155" s="436"/>
      <c r="BR155" s="436"/>
      <c r="BS155" s="436"/>
      <c r="BT155" s="436"/>
      <c r="BU155" s="436"/>
      <c r="BV155" s="436"/>
      <c r="BW155" s="436"/>
      <c r="BX155" s="436"/>
      <c r="BY155" s="436"/>
      <c r="BZ155" s="436"/>
      <c r="CA155" s="436"/>
      <c r="CB155" s="436"/>
      <c r="CC155" s="440"/>
      <c r="DC155" s="439"/>
      <c r="DD155" s="436"/>
      <c r="DE155" s="436"/>
      <c r="DF155" s="436"/>
      <c r="DG155" s="436"/>
      <c r="DH155" s="436"/>
      <c r="DI155" s="436"/>
      <c r="DJ155" s="436"/>
      <c r="DK155" s="436"/>
      <c r="DL155" s="436"/>
      <c r="DM155" s="436"/>
      <c r="DN155" s="436"/>
      <c r="DO155" s="436"/>
      <c r="DP155" s="436"/>
      <c r="DQ155" s="436"/>
      <c r="DR155" s="436"/>
      <c r="DS155" s="436"/>
      <c r="DT155" s="436"/>
      <c r="DU155" s="436"/>
      <c r="DV155" s="436"/>
      <c r="DW155" s="436"/>
      <c r="DX155" s="436"/>
      <c r="DY155" s="436"/>
      <c r="DZ155" s="436"/>
      <c r="EA155" s="440"/>
      <c r="EB155" s="439"/>
      <c r="EC155" s="436"/>
      <c r="ED155" s="436"/>
      <c r="EE155" s="436"/>
      <c r="EF155" s="436"/>
      <c r="EG155" s="436"/>
      <c r="EH155" s="436"/>
      <c r="EI155" s="436"/>
      <c r="EJ155" s="436"/>
      <c r="EK155" s="436"/>
      <c r="EL155" s="436"/>
      <c r="EM155" s="436"/>
      <c r="EN155" s="436"/>
      <c r="EO155" s="436"/>
      <c r="EP155" s="436"/>
      <c r="EQ155" s="436"/>
      <c r="ER155" s="436"/>
      <c r="ES155" s="436"/>
      <c r="ET155" s="436"/>
      <c r="EU155" s="436"/>
      <c r="EV155" s="436"/>
      <c r="EW155" s="436"/>
      <c r="EX155" s="436"/>
      <c r="EY155" s="436"/>
      <c r="EZ155" s="440"/>
      <c r="FZ155" s="439"/>
      <c r="GA155" s="436"/>
      <c r="GB155" s="436"/>
      <c r="GC155" s="436"/>
      <c r="GD155" s="436"/>
      <c r="GE155" s="436"/>
      <c r="GF155" s="436"/>
      <c r="GG155" s="436"/>
      <c r="GH155" s="436"/>
      <c r="GI155" s="436"/>
      <c r="GJ155" s="436"/>
      <c r="GK155" s="436"/>
      <c r="GL155" s="436"/>
      <c r="GM155" s="436"/>
      <c r="GN155" s="436"/>
      <c r="GO155" s="436"/>
      <c r="GP155" s="436"/>
      <c r="GQ155" s="436"/>
      <c r="GR155" s="436"/>
      <c r="GS155" s="436"/>
      <c r="GT155" s="436"/>
      <c r="GU155" s="436"/>
      <c r="GV155" s="436"/>
      <c r="GW155" s="436"/>
      <c r="GX155" s="440"/>
      <c r="GY155" s="439"/>
      <c r="GZ155" s="436"/>
      <c r="HA155" s="436"/>
      <c r="HB155" s="436"/>
      <c r="HC155" s="436"/>
      <c r="HD155" s="436"/>
      <c r="HE155" s="436"/>
      <c r="HF155" s="436"/>
      <c r="HG155" s="436"/>
      <c r="HH155" s="436"/>
      <c r="HI155" s="436"/>
      <c r="HJ155" s="436"/>
      <c r="HK155" s="436"/>
      <c r="HL155" s="436"/>
      <c r="HM155" s="436"/>
      <c r="HN155" s="436"/>
      <c r="HO155" s="436"/>
      <c r="HP155" s="436"/>
      <c r="HQ155" s="436"/>
      <c r="HR155" s="436"/>
      <c r="HS155" s="436"/>
      <c r="HT155" s="436"/>
      <c r="HU155" s="436"/>
      <c r="HV155" s="436"/>
      <c r="HW155" s="440"/>
    </row>
    <row r="156" spans="32:231" ht="24" customHeight="1">
      <c r="BE156" s="439"/>
      <c r="BF156" s="436"/>
      <c r="BG156" s="436"/>
      <c r="BH156" s="436"/>
      <c r="BI156" s="436"/>
      <c r="BJ156" s="436"/>
      <c r="BK156" s="436"/>
      <c r="BL156" s="436"/>
      <c r="BM156" s="436"/>
      <c r="BN156" s="436"/>
      <c r="BO156" s="436"/>
      <c r="BP156" s="436"/>
      <c r="BQ156" s="436"/>
      <c r="BR156" s="436"/>
      <c r="BS156" s="436"/>
      <c r="BT156" s="436"/>
      <c r="BU156" s="436"/>
      <c r="BV156" s="436"/>
      <c r="BW156" s="436"/>
      <c r="BX156" s="436"/>
      <c r="BY156" s="436"/>
      <c r="BZ156" s="436"/>
      <c r="CA156" s="436"/>
      <c r="CB156" s="436"/>
      <c r="CC156" s="440"/>
      <c r="DC156" s="439"/>
      <c r="DD156" s="436"/>
      <c r="DE156" s="436"/>
      <c r="DF156" s="436"/>
      <c r="DG156" s="436"/>
      <c r="DH156" s="436"/>
      <c r="DI156" s="436"/>
      <c r="DJ156" s="436"/>
      <c r="DK156" s="436"/>
      <c r="DL156" s="436"/>
      <c r="DM156" s="436"/>
      <c r="DN156" s="436"/>
      <c r="DO156" s="436"/>
      <c r="DP156" s="436"/>
      <c r="DQ156" s="436"/>
      <c r="DR156" s="436"/>
      <c r="DS156" s="436"/>
      <c r="DT156" s="436"/>
      <c r="DU156" s="436"/>
      <c r="DV156" s="436"/>
      <c r="DW156" s="436"/>
      <c r="DX156" s="436"/>
      <c r="DY156" s="436"/>
      <c r="DZ156" s="436"/>
      <c r="EA156" s="440"/>
      <c r="EB156" s="439"/>
      <c r="EC156" s="436"/>
      <c r="ED156" s="436"/>
      <c r="EE156" s="436"/>
      <c r="EF156" s="436"/>
      <c r="EG156" s="436"/>
      <c r="EH156" s="436"/>
      <c r="EI156" s="436"/>
      <c r="EJ156" s="436"/>
      <c r="EK156" s="436"/>
      <c r="EL156" s="436"/>
      <c r="EM156" s="436"/>
      <c r="EN156" s="436"/>
      <c r="EO156" s="436"/>
      <c r="EP156" s="436"/>
      <c r="EQ156" s="436"/>
      <c r="ER156" s="436"/>
      <c r="ES156" s="436"/>
      <c r="ET156" s="436"/>
      <c r="EU156" s="436"/>
      <c r="EV156" s="436"/>
      <c r="EW156" s="436"/>
      <c r="EX156" s="436"/>
      <c r="EY156" s="436"/>
      <c r="EZ156" s="440"/>
      <c r="FZ156" s="439"/>
      <c r="GA156" s="436"/>
      <c r="GB156" s="436"/>
      <c r="GC156" s="436"/>
      <c r="GD156" s="436"/>
      <c r="GE156" s="436"/>
      <c r="GF156" s="436"/>
      <c r="GG156" s="436"/>
      <c r="GH156" s="436"/>
      <c r="GI156" s="436"/>
      <c r="GJ156" s="436"/>
      <c r="GK156" s="436"/>
      <c r="GL156" s="436"/>
      <c r="GM156" s="436"/>
      <c r="GN156" s="436"/>
      <c r="GO156" s="436"/>
      <c r="GP156" s="436"/>
      <c r="GQ156" s="436"/>
      <c r="GR156" s="436"/>
      <c r="GS156" s="436"/>
      <c r="GT156" s="436"/>
      <c r="GU156" s="436"/>
      <c r="GV156" s="436"/>
      <c r="GW156" s="436"/>
      <c r="GX156" s="440"/>
      <c r="GY156" s="439"/>
      <c r="GZ156" s="436"/>
      <c r="HA156" s="436"/>
      <c r="HB156" s="436"/>
      <c r="HC156" s="436"/>
      <c r="HD156" s="436"/>
      <c r="HE156" s="436"/>
      <c r="HF156" s="436"/>
      <c r="HG156" s="436"/>
      <c r="HH156" s="436"/>
      <c r="HI156" s="436"/>
      <c r="HJ156" s="436"/>
      <c r="HK156" s="436"/>
      <c r="HL156" s="436"/>
      <c r="HM156" s="436"/>
      <c r="HN156" s="436"/>
      <c r="HO156" s="436"/>
      <c r="HP156" s="436"/>
      <c r="HQ156" s="436"/>
      <c r="HR156" s="436"/>
      <c r="HS156" s="436"/>
      <c r="HT156" s="436"/>
      <c r="HU156" s="436"/>
      <c r="HV156" s="436"/>
      <c r="HW156" s="440"/>
    </row>
    <row r="157" spans="32:231" ht="24" customHeight="1">
      <c r="BE157" s="439"/>
      <c r="BF157" s="436"/>
      <c r="BG157" s="436"/>
      <c r="BH157" s="436"/>
      <c r="BI157" s="436"/>
      <c r="BJ157" s="436"/>
      <c r="BK157" s="436"/>
      <c r="BL157" s="436"/>
      <c r="BM157" s="436"/>
      <c r="BN157" s="436"/>
      <c r="BO157" s="436"/>
      <c r="BP157" s="436"/>
      <c r="BQ157" s="436"/>
      <c r="BR157" s="436"/>
      <c r="BS157" s="436"/>
      <c r="BT157" s="436"/>
      <c r="BU157" s="436"/>
      <c r="BV157" s="436"/>
      <c r="BW157" s="436"/>
      <c r="BX157" s="436"/>
      <c r="BY157" s="436"/>
      <c r="BZ157" s="436"/>
      <c r="CA157" s="436"/>
      <c r="CB157" s="436"/>
      <c r="CC157" s="440"/>
      <c r="DC157" s="439"/>
      <c r="DD157" s="436"/>
      <c r="DE157" s="436"/>
      <c r="DF157" s="436"/>
      <c r="DG157" s="436"/>
      <c r="DH157" s="436"/>
      <c r="DI157" s="436"/>
      <c r="DJ157" s="436"/>
      <c r="DK157" s="436"/>
      <c r="DL157" s="436"/>
      <c r="DM157" s="436"/>
      <c r="DN157" s="436"/>
      <c r="DO157" s="436"/>
      <c r="DP157" s="436"/>
      <c r="DQ157" s="436"/>
      <c r="DR157" s="436"/>
      <c r="DS157" s="436"/>
      <c r="DT157" s="436"/>
      <c r="DU157" s="436"/>
      <c r="DV157" s="436"/>
      <c r="DW157" s="436"/>
      <c r="DX157" s="436"/>
      <c r="DY157" s="436"/>
      <c r="DZ157" s="436"/>
      <c r="EA157" s="440"/>
      <c r="EB157" s="439"/>
      <c r="EC157" s="436"/>
      <c r="ED157" s="436"/>
      <c r="EE157" s="436"/>
      <c r="EF157" s="436"/>
      <c r="EG157" s="436"/>
      <c r="EH157" s="436"/>
      <c r="EI157" s="436"/>
      <c r="EJ157" s="436"/>
      <c r="EK157" s="436"/>
      <c r="EL157" s="436"/>
      <c r="EM157" s="436"/>
      <c r="EN157" s="436"/>
      <c r="EO157" s="436"/>
      <c r="EP157" s="436"/>
      <c r="EQ157" s="436"/>
      <c r="ER157" s="436"/>
      <c r="ES157" s="436"/>
      <c r="ET157" s="436"/>
      <c r="EU157" s="436"/>
      <c r="EV157" s="436"/>
      <c r="EW157" s="436"/>
      <c r="EX157" s="436"/>
      <c r="EY157" s="436"/>
      <c r="EZ157" s="440"/>
      <c r="FZ157" s="439"/>
      <c r="GA157" s="436"/>
      <c r="GB157" s="436"/>
      <c r="GC157" s="436"/>
      <c r="GD157" s="436"/>
      <c r="GE157" s="436"/>
      <c r="GF157" s="436"/>
      <c r="GG157" s="436"/>
      <c r="GH157" s="436"/>
      <c r="GI157" s="436"/>
      <c r="GJ157" s="436"/>
      <c r="GK157" s="436"/>
      <c r="GL157" s="436"/>
      <c r="GM157" s="436"/>
      <c r="GN157" s="436"/>
      <c r="GO157" s="436"/>
      <c r="GP157" s="436"/>
      <c r="GQ157" s="436"/>
      <c r="GR157" s="436"/>
      <c r="GS157" s="436"/>
      <c r="GT157" s="436"/>
      <c r="GU157" s="436"/>
      <c r="GV157" s="436"/>
      <c r="GW157" s="436"/>
      <c r="GX157" s="440"/>
      <c r="GY157" s="439"/>
      <c r="GZ157" s="436"/>
      <c r="HA157" s="436"/>
      <c r="HB157" s="436"/>
      <c r="HC157" s="436"/>
      <c r="HD157" s="436"/>
      <c r="HE157" s="436"/>
      <c r="HF157" s="436"/>
      <c r="HG157" s="436"/>
      <c r="HH157" s="436"/>
      <c r="HI157" s="436"/>
      <c r="HJ157" s="436"/>
      <c r="HK157" s="436"/>
      <c r="HL157" s="436"/>
      <c r="HM157" s="436"/>
      <c r="HN157" s="436"/>
      <c r="HO157" s="436"/>
      <c r="HP157" s="436"/>
      <c r="HQ157" s="436"/>
      <c r="HR157" s="436"/>
      <c r="HS157" s="436"/>
      <c r="HT157" s="436"/>
      <c r="HU157" s="436"/>
      <c r="HV157" s="436"/>
      <c r="HW157" s="440"/>
    </row>
    <row r="158" spans="32:231" ht="24" customHeight="1">
      <c r="BE158" s="439"/>
      <c r="BF158" s="436"/>
      <c r="BG158" s="436"/>
      <c r="BH158" s="436"/>
      <c r="BI158" s="436"/>
      <c r="BJ158" s="436"/>
      <c r="BK158" s="436"/>
      <c r="BL158" s="436"/>
      <c r="BM158" s="436"/>
      <c r="BN158" s="436"/>
      <c r="BO158" s="436"/>
      <c r="BP158" s="436"/>
      <c r="BQ158" s="436"/>
      <c r="BR158" s="436"/>
      <c r="BS158" s="436"/>
      <c r="BT158" s="436"/>
      <c r="BU158" s="436"/>
      <c r="BV158" s="436"/>
      <c r="BW158" s="436"/>
      <c r="BX158" s="436"/>
      <c r="BY158" s="436"/>
      <c r="BZ158" s="436"/>
      <c r="CA158" s="436"/>
      <c r="CB158" s="436"/>
      <c r="CC158" s="440"/>
      <c r="DC158" s="439"/>
      <c r="DD158" s="436"/>
      <c r="DE158" s="436"/>
      <c r="DF158" s="436"/>
      <c r="DG158" s="436"/>
      <c r="DH158" s="436"/>
      <c r="DI158" s="436"/>
      <c r="DJ158" s="436"/>
      <c r="DK158" s="436"/>
      <c r="DL158" s="436"/>
      <c r="DM158" s="436"/>
      <c r="DN158" s="436"/>
      <c r="DO158" s="436"/>
      <c r="DP158" s="436"/>
      <c r="DQ158" s="436"/>
      <c r="DR158" s="436"/>
      <c r="DS158" s="436"/>
      <c r="DT158" s="436"/>
      <c r="DU158" s="436"/>
      <c r="DV158" s="436"/>
      <c r="DW158" s="436"/>
      <c r="DX158" s="436"/>
      <c r="DY158" s="436"/>
      <c r="DZ158" s="436"/>
      <c r="EA158" s="440"/>
      <c r="EB158" s="439"/>
      <c r="EC158" s="436"/>
      <c r="ED158" s="436"/>
      <c r="EE158" s="436"/>
      <c r="EF158" s="436"/>
      <c r="EG158" s="436"/>
      <c r="EH158" s="436"/>
      <c r="EI158" s="436"/>
      <c r="EJ158" s="436"/>
      <c r="EK158" s="436"/>
      <c r="EL158" s="436"/>
      <c r="EM158" s="436"/>
      <c r="EN158" s="436"/>
      <c r="EO158" s="436"/>
      <c r="EP158" s="436"/>
      <c r="EQ158" s="436"/>
      <c r="ER158" s="436"/>
      <c r="ES158" s="436"/>
      <c r="ET158" s="436"/>
      <c r="EU158" s="436"/>
      <c r="EV158" s="436"/>
      <c r="EW158" s="436"/>
      <c r="EX158" s="436"/>
      <c r="EY158" s="436"/>
      <c r="EZ158" s="440"/>
      <c r="FZ158" s="439"/>
      <c r="GA158" s="436"/>
      <c r="GB158" s="436"/>
      <c r="GC158" s="436"/>
      <c r="GD158" s="436"/>
      <c r="GE158" s="436"/>
      <c r="GF158" s="436"/>
      <c r="GG158" s="436"/>
      <c r="GH158" s="436"/>
      <c r="GI158" s="436"/>
      <c r="GJ158" s="436"/>
      <c r="GK158" s="436"/>
      <c r="GL158" s="436"/>
      <c r="GM158" s="436"/>
      <c r="GN158" s="436"/>
      <c r="GO158" s="436"/>
      <c r="GP158" s="436"/>
      <c r="GQ158" s="436"/>
      <c r="GR158" s="436"/>
      <c r="GS158" s="436"/>
      <c r="GT158" s="436"/>
      <c r="GU158" s="436"/>
      <c r="GV158" s="436"/>
      <c r="GW158" s="436"/>
      <c r="GX158" s="440"/>
      <c r="GY158" s="439"/>
      <c r="GZ158" s="436"/>
      <c r="HA158" s="436"/>
      <c r="HB158" s="436"/>
      <c r="HC158" s="436"/>
      <c r="HD158" s="436"/>
      <c r="HE158" s="436"/>
      <c r="HF158" s="436"/>
      <c r="HG158" s="436"/>
      <c r="HH158" s="436"/>
      <c r="HI158" s="436"/>
      <c r="HJ158" s="436"/>
      <c r="HK158" s="436"/>
      <c r="HL158" s="436"/>
      <c r="HM158" s="436"/>
      <c r="HN158" s="436"/>
      <c r="HO158" s="436"/>
      <c r="HP158" s="436"/>
      <c r="HQ158" s="436"/>
      <c r="HR158" s="436"/>
      <c r="HS158" s="436"/>
      <c r="HT158" s="436"/>
      <c r="HU158" s="436"/>
      <c r="HV158" s="436"/>
      <c r="HW158" s="440"/>
    </row>
    <row r="159" spans="32:231" ht="24" customHeight="1">
      <c r="BE159" s="439"/>
      <c r="BF159" s="436"/>
      <c r="BG159" s="436"/>
      <c r="BH159" s="436"/>
      <c r="BI159" s="436"/>
      <c r="BJ159" s="436"/>
      <c r="BK159" s="436"/>
      <c r="BL159" s="436"/>
      <c r="BM159" s="436"/>
      <c r="BN159" s="436"/>
      <c r="BO159" s="436"/>
      <c r="BP159" s="436"/>
      <c r="BQ159" s="436"/>
      <c r="BR159" s="436"/>
      <c r="BS159" s="436"/>
      <c r="BT159" s="436"/>
      <c r="BU159" s="436"/>
      <c r="BV159" s="436"/>
      <c r="BW159" s="436"/>
      <c r="BX159" s="436"/>
      <c r="BY159" s="436"/>
      <c r="BZ159" s="436"/>
      <c r="CA159" s="436"/>
      <c r="CB159" s="436"/>
      <c r="CC159" s="440"/>
      <c r="DC159" s="439"/>
      <c r="DD159" s="436"/>
      <c r="DE159" s="436"/>
      <c r="DF159" s="436"/>
      <c r="DG159" s="436"/>
      <c r="DH159" s="436"/>
      <c r="DI159" s="436"/>
      <c r="DJ159" s="436"/>
      <c r="DK159" s="436"/>
      <c r="DL159" s="436"/>
      <c r="DM159" s="436"/>
      <c r="DN159" s="436"/>
      <c r="DO159" s="436"/>
      <c r="DP159" s="436"/>
      <c r="DQ159" s="436"/>
      <c r="DR159" s="436"/>
      <c r="DS159" s="436"/>
      <c r="DT159" s="436"/>
      <c r="DU159" s="436"/>
      <c r="DV159" s="436"/>
      <c r="DW159" s="436"/>
      <c r="DX159" s="436"/>
      <c r="DY159" s="436"/>
      <c r="DZ159" s="436"/>
      <c r="EA159" s="440"/>
      <c r="EB159" s="439"/>
      <c r="EC159" s="436"/>
      <c r="ED159" s="436"/>
      <c r="EE159" s="436"/>
      <c r="EF159" s="436"/>
      <c r="EG159" s="436"/>
      <c r="EH159" s="436"/>
      <c r="EI159" s="436"/>
      <c r="EJ159" s="436"/>
      <c r="EK159" s="436"/>
      <c r="EL159" s="436"/>
      <c r="EM159" s="436"/>
      <c r="EN159" s="436"/>
      <c r="EO159" s="436"/>
      <c r="EP159" s="436"/>
      <c r="EQ159" s="436"/>
      <c r="ER159" s="436"/>
      <c r="ES159" s="436"/>
      <c r="ET159" s="436"/>
      <c r="EU159" s="436"/>
      <c r="EV159" s="436"/>
      <c r="EW159" s="436"/>
      <c r="EX159" s="436"/>
      <c r="EY159" s="436"/>
      <c r="EZ159" s="440"/>
      <c r="FZ159" s="439"/>
      <c r="GA159" s="436"/>
      <c r="GB159" s="436"/>
      <c r="GC159" s="436"/>
      <c r="GD159" s="436"/>
      <c r="GE159" s="436"/>
      <c r="GF159" s="436"/>
      <c r="GG159" s="436"/>
      <c r="GH159" s="436"/>
      <c r="GI159" s="436"/>
      <c r="GJ159" s="436"/>
      <c r="GK159" s="436"/>
      <c r="GL159" s="436"/>
      <c r="GM159" s="436"/>
      <c r="GN159" s="436"/>
      <c r="GO159" s="436"/>
      <c r="GP159" s="436"/>
      <c r="GQ159" s="436"/>
      <c r="GR159" s="436"/>
      <c r="GS159" s="436"/>
      <c r="GT159" s="436"/>
      <c r="GU159" s="436"/>
      <c r="GV159" s="436"/>
      <c r="GW159" s="436"/>
      <c r="GX159" s="440"/>
      <c r="GY159" s="439"/>
      <c r="GZ159" s="436"/>
      <c r="HA159" s="436"/>
      <c r="HB159" s="436"/>
      <c r="HC159" s="436"/>
      <c r="HD159" s="436"/>
      <c r="HE159" s="436"/>
      <c r="HF159" s="436"/>
      <c r="HG159" s="436"/>
      <c r="HH159" s="436"/>
      <c r="HI159" s="436"/>
      <c r="HJ159" s="436"/>
      <c r="HK159" s="436"/>
      <c r="HL159" s="436"/>
      <c r="HM159" s="436"/>
      <c r="HN159" s="436"/>
      <c r="HO159" s="436"/>
      <c r="HP159" s="436"/>
      <c r="HQ159" s="436"/>
      <c r="HR159" s="436"/>
      <c r="HS159" s="436"/>
      <c r="HT159" s="436"/>
      <c r="HU159" s="436"/>
      <c r="HV159" s="436"/>
      <c r="HW159" s="440"/>
    </row>
    <row r="160" spans="32:231" ht="24" customHeight="1">
      <c r="BE160" s="439"/>
      <c r="BF160" s="436"/>
      <c r="BG160" s="436"/>
      <c r="BH160" s="436"/>
      <c r="BI160" s="436"/>
      <c r="BJ160" s="436"/>
      <c r="BK160" s="436"/>
      <c r="BL160" s="436"/>
      <c r="BM160" s="436"/>
      <c r="BN160" s="436"/>
      <c r="BO160" s="436"/>
      <c r="BP160" s="436"/>
      <c r="BQ160" s="436"/>
      <c r="BR160" s="436"/>
      <c r="BS160" s="436"/>
      <c r="BT160" s="436"/>
      <c r="BU160" s="436"/>
      <c r="BV160" s="436"/>
      <c r="BW160" s="436"/>
      <c r="BX160" s="436"/>
      <c r="BY160" s="436"/>
      <c r="BZ160" s="436"/>
      <c r="CA160" s="436"/>
      <c r="CB160" s="436"/>
      <c r="CC160" s="440"/>
      <c r="DC160" s="439"/>
      <c r="DD160" s="436"/>
      <c r="DE160" s="436"/>
      <c r="DF160" s="436"/>
      <c r="DG160" s="436"/>
      <c r="DH160" s="436"/>
      <c r="DI160" s="436"/>
      <c r="DJ160" s="436"/>
      <c r="DK160" s="436"/>
      <c r="DL160" s="436"/>
      <c r="DM160" s="436"/>
      <c r="DN160" s="436"/>
      <c r="DO160" s="436"/>
      <c r="DP160" s="436"/>
      <c r="DQ160" s="436"/>
      <c r="DR160" s="436"/>
      <c r="DS160" s="436"/>
      <c r="DT160" s="436"/>
      <c r="DU160" s="436"/>
      <c r="DV160" s="436"/>
      <c r="DW160" s="436"/>
      <c r="DX160" s="436"/>
      <c r="DY160" s="436"/>
      <c r="DZ160" s="436"/>
      <c r="EA160" s="440"/>
      <c r="EB160" s="439"/>
      <c r="EC160" s="436"/>
      <c r="ED160" s="436"/>
      <c r="EE160" s="436"/>
      <c r="EF160" s="436"/>
      <c r="EG160" s="436"/>
      <c r="EH160" s="436"/>
      <c r="EI160" s="436"/>
      <c r="EJ160" s="436"/>
      <c r="EK160" s="436"/>
      <c r="EL160" s="436"/>
      <c r="EM160" s="436"/>
      <c r="EN160" s="436"/>
      <c r="EO160" s="436"/>
      <c r="EP160" s="436"/>
      <c r="EQ160" s="436"/>
      <c r="ER160" s="436"/>
      <c r="ES160" s="436"/>
      <c r="ET160" s="436"/>
      <c r="EU160" s="436"/>
      <c r="EV160" s="436"/>
      <c r="EW160" s="436"/>
      <c r="EX160" s="436"/>
      <c r="EY160" s="436"/>
      <c r="EZ160" s="440"/>
      <c r="FZ160" s="439"/>
      <c r="GA160" s="436"/>
      <c r="GB160" s="436"/>
      <c r="GC160" s="436"/>
      <c r="GD160" s="436"/>
      <c r="GE160" s="436"/>
      <c r="GF160" s="436"/>
      <c r="GG160" s="436"/>
      <c r="GH160" s="436"/>
      <c r="GI160" s="436"/>
      <c r="GJ160" s="436"/>
      <c r="GK160" s="436"/>
      <c r="GL160" s="436"/>
      <c r="GM160" s="436"/>
      <c r="GN160" s="436"/>
      <c r="GO160" s="436"/>
      <c r="GP160" s="436"/>
      <c r="GQ160" s="436"/>
      <c r="GR160" s="436"/>
      <c r="GS160" s="436"/>
      <c r="GT160" s="436"/>
      <c r="GU160" s="436"/>
      <c r="GV160" s="436"/>
      <c r="GW160" s="436"/>
      <c r="GX160" s="440"/>
      <c r="GY160" s="439"/>
      <c r="GZ160" s="436"/>
      <c r="HA160" s="436"/>
      <c r="HB160" s="436"/>
      <c r="HC160" s="436"/>
      <c r="HD160" s="436"/>
      <c r="HE160" s="436"/>
      <c r="HF160" s="436"/>
      <c r="HG160" s="436"/>
      <c r="HH160" s="436"/>
      <c r="HI160" s="436"/>
      <c r="HJ160" s="436"/>
      <c r="HK160" s="436"/>
      <c r="HL160" s="436"/>
      <c r="HM160" s="436"/>
      <c r="HN160" s="436"/>
      <c r="HO160" s="436"/>
      <c r="HP160" s="436"/>
      <c r="HQ160" s="436"/>
      <c r="HR160" s="436"/>
      <c r="HS160" s="436"/>
      <c r="HT160" s="436"/>
      <c r="HU160" s="436"/>
      <c r="HV160" s="436"/>
      <c r="HW160" s="440"/>
    </row>
    <row r="161" spans="57:231" ht="24" customHeight="1">
      <c r="BE161" s="439"/>
      <c r="BF161" s="436"/>
      <c r="BG161" s="436"/>
      <c r="BH161" s="436"/>
      <c r="BI161" s="436"/>
      <c r="BJ161" s="436"/>
      <c r="BK161" s="436"/>
      <c r="BL161" s="436"/>
      <c r="BM161" s="436"/>
      <c r="BN161" s="436"/>
      <c r="BO161" s="436"/>
      <c r="BP161" s="436"/>
      <c r="BQ161" s="436"/>
      <c r="BR161" s="436"/>
      <c r="BS161" s="436"/>
      <c r="BT161" s="436"/>
      <c r="BU161" s="436"/>
      <c r="BV161" s="436"/>
      <c r="BW161" s="436"/>
      <c r="BX161" s="436"/>
      <c r="BY161" s="436"/>
      <c r="BZ161" s="436"/>
      <c r="CA161" s="436"/>
      <c r="CB161" s="436"/>
      <c r="CC161" s="440"/>
      <c r="DC161" s="439"/>
      <c r="DD161" s="436"/>
      <c r="DE161" s="436"/>
      <c r="DF161" s="436"/>
      <c r="DG161" s="436"/>
      <c r="DH161" s="436"/>
      <c r="DI161" s="436"/>
      <c r="DJ161" s="436"/>
      <c r="DK161" s="436"/>
      <c r="DL161" s="436"/>
      <c r="DM161" s="436"/>
      <c r="DN161" s="436"/>
      <c r="DO161" s="436"/>
      <c r="DP161" s="436"/>
      <c r="DQ161" s="436"/>
      <c r="DR161" s="436"/>
      <c r="DS161" s="436"/>
      <c r="DT161" s="436"/>
      <c r="DU161" s="436"/>
      <c r="DV161" s="436"/>
      <c r="DW161" s="436"/>
      <c r="DX161" s="436"/>
      <c r="DY161" s="436"/>
      <c r="DZ161" s="436"/>
      <c r="EA161" s="440"/>
      <c r="EB161" s="439"/>
      <c r="EC161" s="436"/>
      <c r="ED161" s="436"/>
      <c r="EE161" s="436"/>
      <c r="EF161" s="436"/>
      <c r="EG161" s="436"/>
      <c r="EH161" s="436"/>
      <c r="EI161" s="436"/>
      <c r="EJ161" s="436"/>
      <c r="EK161" s="436"/>
      <c r="EL161" s="436"/>
      <c r="EM161" s="436"/>
      <c r="EN161" s="436"/>
      <c r="EO161" s="436"/>
      <c r="EP161" s="436"/>
      <c r="EQ161" s="436"/>
      <c r="ER161" s="436"/>
      <c r="ES161" s="436"/>
      <c r="ET161" s="436"/>
      <c r="EU161" s="436"/>
      <c r="EV161" s="436"/>
      <c r="EW161" s="436"/>
      <c r="EX161" s="436"/>
      <c r="EY161" s="436"/>
      <c r="EZ161" s="440"/>
      <c r="FZ161" s="439"/>
      <c r="GA161" s="436"/>
      <c r="GB161" s="436"/>
      <c r="GC161" s="436"/>
      <c r="GD161" s="436"/>
      <c r="GE161" s="436"/>
      <c r="GF161" s="436"/>
      <c r="GG161" s="436"/>
      <c r="GH161" s="436"/>
      <c r="GI161" s="436"/>
      <c r="GJ161" s="436"/>
      <c r="GK161" s="436"/>
      <c r="GL161" s="436"/>
      <c r="GM161" s="436"/>
      <c r="GN161" s="436"/>
      <c r="GO161" s="436"/>
      <c r="GP161" s="436"/>
      <c r="GQ161" s="436"/>
      <c r="GR161" s="436"/>
      <c r="GS161" s="436"/>
      <c r="GT161" s="436"/>
      <c r="GU161" s="436"/>
      <c r="GV161" s="436"/>
      <c r="GW161" s="436"/>
      <c r="GX161" s="440"/>
      <c r="GY161" s="439"/>
      <c r="GZ161" s="436"/>
      <c r="HA161" s="436"/>
      <c r="HB161" s="436"/>
      <c r="HC161" s="436"/>
      <c r="HD161" s="436"/>
      <c r="HE161" s="436"/>
      <c r="HF161" s="436"/>
      <c r="HG161" s="436"/>
      <c r="HH161" s="436"/>
      <c r="HI161" s="436"/>
      <c r="HJ161" s="436"/>
      <c r="HK161" s="436"/>
      <c r="HL161" s="436"/>
      <c r="HM161" s="436"/>
      <c r="HN161" s="436"/>
      <c r="HO161" s="436"/>
      <c r="HP161" s="436"/>
      <c r="HQ161" s="436"/>
      <c r="HR161" s="436"/>
      <c r="HS161" s="436"/>
      <c r="HT161" s="436"/>
      <c r="HU161" s="436"/>
      <c r="HV161" s="436"/>
      <c r="HW161" s="440"/>
    </row>
    <row r="162" spans="57:231" ht="24" customHeight="1">
      <c r="BE162" s="439"/>
      <c r="BF162" s="436"/>
      <c r="BG162" s="436"/>
      <c r="BH162" s="436"/>
      <c r="BI162" s="436"/>
      <c r="BJ162" s="436"/>
      <c r="BK162" s="436"/>
      <c r="BL162" s="436"/>
      <c r="BM162" s="436"/>
      <c r="BN162" s="436"/>
      <c r="BO162" s="436"/>
      <c r="BP162" s="436"/>
      <c r="BQ162" s="436"/>
      <c r="BR162" s="436"/>
      <c r="BS162" s="436"/>
      <c r="BT162" s="436"/>
      <c r="BU162" s="436"/>
      <c r="BV162" s="436"/>
      <c r="BW162" s="436"/>
      <c r="BX162" s="436"/>
      <c r="BY162" s="436"/>
      <c r="BZ162" s="436"/>
      <c r="CA162" s="436"/>
      <c r="CB162" s="436"/>
      <c r="CC162" s="440"/>
      <c r="DC162" s="439"/>
      <c r="DD162" s="436"/>
      <c r="DE162" s="436"/>
      <c r="DF162" s="436"/>
      <c r="DG162" s="436"/>
      <c r="DH162" s="436"/>
      <c r="DI162" s="436"/>
      <c r="DJ162" s="436"/>
      <c r="DK162" s="436"/>
      <c r="DL162" s="436"/>
      <c r="DM162" s="436"/>
      <c r="DN162" s="436"/>
      <c r="DO162" s="436"/>
      <c r="DP162" s="436"/>
      <c r="DQ162" s="436"/>
      <c r="DR162" s="436"/>
      <c r="DS162" s="436"/>
      <c r="DT162" s="436"/>
      <c r="DU162" s="436"/>
      <c r="DV162" s="436"/>
      <c r="DW162" s="436"/>
      <c r="DX162" s="436"/>
      <c r="DY162" s="436"/>
      <c r="DZ162" s="436"/>
      <c r="EA162" s="440"/>
      <c r="EB162" s="439"/>
      <c r="EC162" s="436"/>
      <c r="ED162" s="436"/>
      <c r="EE162" s="436"/>
      <c r="EF162" s="436"/>
      <c r="EG162" s="436"/>
      <c r="EH162" s="436"/>
      <c r="EI162" s="436"/>
      <c r="EJ162" s="436"/>
      <c r="EK162" s="436"/>
      <c r="EL162" s="436"/>
      <c r="EM162" s="436"/>
      <c r="EN162" s="436"/>
      <c r="EO162" s="436"/>
      <c r="EP162" s="436"/>
      <c r="EQ162" s="436"/>
      <c r="ER162" s="436"/>
      <c r="ES162" s="436"/>
      <c r="ET162" s="436"/>
      <c r="EU162" s="436"/>
      <c r="EV162" s="436"/>
      <c r="EW162" s="436"/>
      <c r="EX162" s="436"/>
      <c r="EY162" s="436"/>
      <c r="EZ162" s="440"/>
      <c r="FZ162" s="439"/>
      <c r="GA162" s="436"/>
      <c r="GB162" s="436"/>
      <c r="GC162" s="436"/>
      <c r="GD162" s="436"/>
      <c r="GE162" s="436"/>
      <c r="GF162" s="436"/>
      <c r="GG162" s="436"/>
      <c r="GH162" s="436"/>
      <c r="GI162" s="436"/>
      <c r="GJ162" s="436"/>
      <c r="GK162" s="436"/>
      <c r="GL162" s="436"/>
      <c r="GM162" s="436"/>
      <c r="GN162" s="436"/>
      <c r="GO162" s="436"/>
      <c r="GP162" s="436"/>
      <c r="GQ162" s="436"/>
      <c r="GR162" s="436"/>
      <c r="GS162" s="436"/>
      <c r="GT162" s="436"/>
      <c r="GU162" s="436"/>
      <c r="GV162" s="436"/>
      <c r="GW162" s="436"/>
      <c r="GX162" s="440"/>
      <c r="GY162" s="439"/>
      <c r="GZ162" s="436"/>
      <c r="HA162" s="436"/>
      <c r="HB162" s="436"/>
      <c r="HC162" s="436"/>
      <c r="HD162" s="436"/>
      <c r="HE162" s="436"/>
      <c r="HF162" s="436"/>
      <c r="HG162" s="436"/>
      <c r="HH162" s="436"/>
      <c r="HI162" s="436"/>
      <c r="HJ162" s="436"/>
      <c r="HK162" s="436"/>
      <c r="HL162" s="436"/>
      <c r="HM162" s="436"/>
      <c r="HN162" s="436"/>
      <c r="HO162" s="436"/>
      <c r="HP162" s="436"/>
      <c r="HQ162" s="436"/>
      <c r="HR162" s="436"/>
      <c r="HS162" s="436"/>
      <c r="HT162" s="436"/>
      <c r="HU162" s="436"/>
      <c r="HV162" s="436"/>
      <c r="HW162" s="440"/>
    </row>
    <row r="163" spans="57:231" ht="24" customHeight="1">
      <c r="BE163" s="439"/>
      <c r="BF163" s="436"/>
      <c r="BG163" s="436"/>
      <c r="BH163" s="436"/>
      <c r="BI163" s="436"/>
      <c r="BJ163" s="436"/>
      <c r="BK163" s="436"/>
      <c r="BL163" s="436"/>
      <c r="BM163" s="436"/>
      <c r="BN163" s="436"/>
      <c r="BO163" s="436"/>
      <c r="BP163" s="436"/>
      <c r="BQ163" s="436"/>
      <c r="BR163" s="436"/>
      <c r="BS163" s="436"/>
      <c r="BT163" s="436"/>
      <c r="BU163" s="436"/>
      <c r="BV163" s="436"/>
      <c r="BW163" s="436"/>
      <c r="BX163" s="436"/>
      <c r="BY163" s="436"/>
      <c r="BZ163" s="436"/>
      <c r="CA163" s="436"/>
      <c r="CB163" s="436"/>
      <c r="CC163" s="440"/>
      <c r="DC163" s="439"/>
      <c r="DD163" s="436"/>
      <c r="DE163" s="436"/>
      <c r="DF163" s="436"/>
      <c r="DG163" s="436"/>
      <c r="DH163" s="436"/>
      <c r="DI163" s="436"/>
      <c r="DJ163" s="436"/>
      <c r="DK163" s="436"/>
      <c r="DL163" s="436"/>
      <c r="DM163" s="436"/>
      <c r="DN163" s="436"/>
      <c r="DO163" s="436"/>
      <c r="DP163" s="436"/>
      <c r="DQ163" s="436"/>
      <c r="DR163" s="436"/>
      <c r="DS163" s="436"/>
      <c r="DT163" s="436"/>
      <c r="DU163" s="436"/>
      <c r="DV163" s="436"/>
      <c r="DW163" s="436"/>
      <c r="DX163" s="436"/>
      <c r="DY163" s="436"/>
      <c r="DZ163" s="436"/>
      <c r="EA163" s="440"/>
      <c r="EB163" s="439"/>
      <c r="EC163" s="436"/>
      <c r="ED163" s="436"/>
      <c r="EE163" s="436"/>
      <c r="EF163" s="436"/>
      <c r="EG163" s="436"/>
      <c r="EH163" s="436"/>
      <c r="EI163" s="436"/>
      <c r="EJ163" s="436"/>
      <c r="EK163" s="436"/>
      <c r="EL163" s="436"/>
      <c r="EM163" s="436"/>
      <c r="EN163" s="436"/>
      <c r="EO163" s="436"/>
      <c r="EP163" s="436"/>
      <c r="EQ163" s="436"/>
      <c r="ER163" s="436"/>
      <c r="ES163" s="436"/>
      <c r="ET163" s="436"/>
      <c r="EU163" s="436"/>
      <c r="EV163" s="436"/>
      <c r="EW163" s="436"/>
      <c r="EX163" s="436"/>
      <c r="EY163" s="436"/>
      <c r="EZ163" s="440"/>
      <c r="FZ163" s="439"/>
      <c r="GA163" s="436"/>
      <c r="GB163" s="436"/>
      <c r="GC163" s="436"/>
      <c r="GD163" s="436"/>
      <c r="GE163" s="436"/>
      <c r="GF163" s="436"/>
      <c r="GG163" s="436"/>
      <c r="GH163" s="436"/>
      <c r="GI163" s="436"/>
      <c r="GJ163" s="436"/>
      <c r="GK163" s="436"/>
      <c r="GL163" s="436"/>
      <c r="GM163" s="436"/>
      <c r="GN163" s="436"/>
      <c r="GO163" s="436"/>
      <c r="GP163" s="436"/>
      <c r="GQ163" s="436"/>
      <c r="GR163" s="436"/>
      <c r="GS163" s="436"/>
      <c r="GT163" s="436"/>
      <c r="GU163" s="436"/>
      <c r="GV163" s="436"/>
      <c r="GW163" s="436"/>
      <c r="GX163" s="440"/>
      <c r="GY163" s="439"/>
      <c r="GZ163" s="436"/>
      <c r="HA163" s="436"/>
      <c r="HB163" s="436"/>
      <c r="HC163" s="436"/>
      <c r="HD163" s="436"/>
      <c r="HE163" s="436"/>
      <c r="HF163" s="436"/>
      <c r="HG163" s="436"/>
      <c r="HH163" s="436"/>
      <c r="HI163" s="436"/>
      <c r="HJ163" s="436"/>
      <c r="HK163" s="436"/>
      <c r="HL163" s="436"/>
      <c r="HM163" s="436"/>
      <c r="HN163" s="436"/>
      <c r="HO163" s="436"/>
      <c r="HP163" s="436"/>
      <c r="HQ163" s="436"/>
      <c r="HR163" s="436"/>
      <c r="HS163" s="436"/>
      <c r="HT163" s="436"/>
      <c r="HU163" s="436"/>
      <c r="HV163" s="436"/>
      <c r="HW163" s="440"/>
    </row>
    <row r="164" spans="57:231" ht="24" customHeight="1">
      <c r="BE164" s="439"/>
      <c r="BF164" s="436"/>
      <c r="BG164" s="436"/>
      <c r="BH164" s="436"/>
      <c r="BI164" s="436"/>
      <c r="BJ164" s="436"/>
      <c r="BK164" s="436"/>
      <c r="BL164" s="436"/>
      <c r="BM164" s="436"/>
      <c r="BN164" s="436"/>
      <c r="BO164" s="436"/>
      <c r="BP164" s="436"/>
      <c r="BQ164" s="436"/>
      <c r="BR164" s="436"/>
      <c r="BS164" s="436"/>
      <c r="BT164" s="436"/>
      <c r="BU164" s="436"/>
      <c r="BV164" s="436"/>
      <c r="BW164" s="436"/>
      <c r="BX164" s="436"/>
      <c r="BY164" s="436"/>
      <c r="BZ164" s="436"/>
      <c r="CA164" s="436"/>
      <c r="CB164" s="436"/>
      <c r="CC164" s="440"/>
      <c r="DC164" s="439"/>
      <c r="DD164" s="436"/>
      <c r="DE164" s="436"/>
      <c r="DF164" s="436"/>
      <c r="DG164" s="436"/>
      <c r="DH164" s="436"/>
      <c r="DI164" s="436"/>
      <c r="DJ164" s="436"/>
      <c r="DK164" s="436"/>
      <c r="DL164" s="436"/>
      <c r="DM164" s="436"/>
      <c r="DN164" s="436"/>
      <c r="DO164" s="436"/>
      <c r="DP164" s="436"/>
      <c r="DQ164" s="436"/>
      <c r="DR164" s="436"/>
      <c r="DS164" s="436"/>
      <c r="DT164" s="436"/>
      <c r="DU164" s="436"/>
      <c r="DV164" s="436"/>
      <c r="DW164" s="436"/>
      <c r="DX164" s="436"/>
      <c r="DY164" s="436"/>
      <c r="DZ164" s="436"/>
      <c r="EA164" s="440"/>
      <c r="EB164" s="439"/>
      <c r="EC164" s="436"/>
      <c r="ED164" s="436"/>
      <c r="EE164" s="436"/>
      <c r="EF164" s="436"/>
      <c r="EG164" s="436"/>
      <c r="EH164" s="436"/>
      <c r="EI164" s="436"/>
      <c r="EJ164" s="436"/>
      <c r="EK164" s="436"/>
      <c r="EL164" s="436"/>
      <c r="EM164" s="436"/>
      <c r="EN164" s="436"/>
      <c r="EO164" s="436"/>
      <c r="EP164" s="436"/>
      <c r="EQ164" s="436"/>
      <c r="ER164" s="436"/>
      <c r="ES164" s="436"/>
      <c r="ET164" s="436"/>
      <c r="EU164" s="436"/>
      <c r="EV164" s="436"/>
      <c r="EW164" s="436"/>
      <c r="EX164" s="436"/>
      <c r="EY164" s="436"/>
      <c r="EZ164" s="440"/>
      <c r="FZ164" s="439"/>
      <c r="GA164" s="436"/>
      <c r="GB164" s="436"/>
      <c r="GC164" s="436"/>
      <c r="GD164" s="436"/>
      <c r="GE164" s="436"/>
      <c r="GF164" s="436"/>
      <c r="GG164" s="436"/>
      <c r="GH164" s="436"/>
      <c r="GI164" s="436"/>
      <c r="GJ164" s="436"/>
      <c r="GK164" s="436"/>
      <c r="GL164" s="436"/>
      <c r="GM164" s="436"/>
      <c r="GN164" s="436"/>
      <c r="GO164" s="436"/>
      <c r="GP164" s="436"/>
      <c r="GQ164" s="436"/>
      <c r="GR164" s="436"/>
      <c r="GS164" s="436"/>
      <c r="GT164" s="436"/>
      <c r="GU164" s="436"/>
      <c r="GV164" s="436"/>
      <c r="GW164" s="436"/>
      <c r="GX164" s="440"/>
      <c r="GY164" s="439"/>
      <c r="GZ164" s="436"/>
      <c r="HA164" s="436"/>
      <c r="HB164" s="436"/>
      <c r="HC164" s="436"/>
      <c r="HD164" s="436"/>
      <c r="HE164" s="436"/>
      <c r="HF164" s="436"/>
      <c r="HG164" s="436"/>
      <c r="HH164" s="436"/>
      <c r="HI164" s="436"/>
      <c r="HJ164" s="436"/>
      <c r="HK164" s="436"/>
      <c r="HL164" s="436"/>
      <c r="HM164" s="436"/>
      <c r="HN164" s="436"/>
      <c r="HO164" s="436"/>
      <c r="HP164" s="436"/>
      <c r="HQ164" s="436"/>
      <c r="HR164" s="436"/>
      <c r="HS164" s="436"/>
      <c r="HT164" s="436"/>
      <c r="HU164" s="436"/>
      <c r="HV164" s="436"/>
      <c r="HW164" s="440"/>
    </row>
    <row r="165" spans="57:231" ht="24" customHeight="1">
      <c r="BE165" s="439"/>
      <c r="BF165" s="436"/>
      <c r="BG165" s="436"/>
      <c r="BH165" s="436"/>
      <c r="BI165" s="436"/>
      <c r="BJ165" s="436"/>
      <c r="BK165" s="436"/>
      <c r="BL165" s="436"/>
      <c r="BM165" s="436"/>
      <c r="BN165" s="436"/>
      <c r="BO165" s="436"/>
      <c r="BP165" s="436"/>
      <c r="BQ165" s="436"/>
      <c r="BR165" s="436"/>
      <c r="BS165" s="436"/>
      <c r="BT165" s="436"/>
      <c r="BU165" s="436"/>
      <c r="BV165" s="436"/>
      <c r="BW165" s="436"/>
      <c r="BX165" s="436"/>
      <c r="BY165" s="436"/>
      <c r="BZ165" s="436"/>
      <c r="CA165" s="436"/>
      <c r="CB165" s="436"/>
      <c r="CC165" s="440"/>
      <c r="DC165" s="439"/>
      <c r="DD165" s="436"/>
      <c r="DE165" s="436"/>
      <c r="DF165" s="436"/>
      <c r="DG165" s="436"/>
      <c r="DH165" s="436"/>
      <c r="DI165" s="436"/>
      <c r="DJ165" s="436"/>
      <c r="DK165" s="436"/>
      <c r="DL165" s="436"/>
      <c r="DM165" s="436"/>
      <c r="DN165" s="436"/>
      <c r="DO165" s="436"/>
      <c r="DP165" s="436"/>
      <c r="DQ165" s="436"/>
      <c r="DR165" s="436"/>
      <c r="DS165" s="436"/>
      <c r="DT165" s="436"/>
      <c r="DU165" s="436"/>
      <c r="DV165" s="436"/>
      <c r="DW165" s="436"/>
      <c r="DX165" s="436"/>
      <c r="DY165" s="436"/>
      <c r="DZ165" s="436"/>
      <c r="EA165" s="440"/>
      <c r="EB165" s="439"/>
      <c r="EC165" s="436"/>
      <c r="ED165" s="436"/>
      <c r="EE165" s="436"/>
      <c r="EF165" s="436"/>
      <c r="EG165" s="436"/>
      <c r="EH165" s="436"/>
      <c r="EI165" s="436"/>
      <c r="EJ165" s="436"/>
      <c r="EK165" s="436"/>
      <c r="EL165" s="436"/>
      <c r="EM165" s="436"/>
      <c r="EN165" s="436"/>
      <c r="EO165" s="436"/>
      <c r="EP165" s="436"/>
      <c r="EQ165" s="436"/>
      <c r="ER165" s="436"/>
      <c r="ES165" s="436"/>
      <c r="ET165" s="436"/>
      <c r="EU165" s="436"/>
      <c r="EV165" s="436"/>
      <c r="EW165" s="436"/>
      <c r="EX165" s="436"/>
      <c r="EY165" s="436"/>
      <c r="EZ165" s="440"/>
      <c r="FZ165" s="439"/>
      <c r="GA165" s="436"/>
      <c r="GB165" s="436"/>
      <c r="GC165" s="436"/>
      <c r="GD165" s="436"/>
      <c r="GE165" s="436"/>
      <c r="GF165" s="436"/>
      <c r="GG165" s="436"/>
      <c r="GH165" s="436"/>
      <c r="GI165" s="436"/>
      <c r="GJ165" s="436"/>
      <c r="GK165" s="436"/>
      <c r="GL165" s="436"/>
      <c r="GM165" s="436"/>
      <c r="GN165" s="436"/>
      <c r="GO165" s="436"/>
      <c r="GP165" s="436"/>
      <c r="GQ165" s="436"/>
      <c r="GR165" s="436"/>
      <c r="GS165" s="436"/>
      <c r="GT165" s="436"/>
      <c r="GU165" s="436"/>
      <c r="GV165" s="436"/>
      <c r="GW165" s="436"/>
      <c r="GX165" s="440"/>
      <c r="GY165" s="439"/>
      <c r="GZ165" s="436"/>
      <c r="HA165" s="436"/>
      <c r="HB165" s="436"/>
      <c r="HC165" s="436"/>
      <c r="HD165" s="436"/>
      <c r="HE165" s="436"/>
      <c r="HF165" s="436"/>
      <c r="HG165" s="436"/>
      <c r="HH165" s="436"/>
      <c r="HI165" s="436"/>
      <c r="HJ165" s="436"/>
      <c r="HK165" s="436"/>
      <c r="HL165" s="436"/>
      <c r="HM165" s="436"/>
      <c r="HN165" s="436"/>
      <c r="HO165" s="436"/>
      <c r="HP165" s="436"/>
      <c r="HQ165" s="436"/>
      <c r="HR165" s="436"/>
      <c r="HS165" s="436"/>
      <c r="HT165" s="436"/>
      <c r="HU165" s="436"/>
      <c r="HV165" s="436"/>
      <c r="HW165" s="440"/>
    </row>
    <row r="166" spans="57:231" ht="24" customHeight="1">
      <c r="BE166" s="439"/>
      <c r="BF166" s="436"/>
      <c r="BG166" s="436"/>
      <c r="BH166" s="436"/>
      <c r="BI166" s="436"/>
      <c r="BJ166" s="436"/>
      <c r="BK166" s="436"/>
      <c r="BL166" s="436"/>
      <c r="BM166" s="436"/>
      <c r="BN166" s="436"/>
      <c r="BO166" s="436"/>
      <c r="BP166" s="436"/>
      <c r="BQ166" s="436"/>
      <c r="BR166" s="436"/>
      <c r="BS166" s="436"/>
      <c r="BT166" s="436"/>
      <c r="BU166" s="436"/>
      <c r="BV166" s="436"/>
      <c r="BW166" s="436"/>
      <c r="BX166" s="436"/>
      <c r="BY166" s="436"/>
      <c r="BZ166" s="436"/>
      <c r="CA166" s="436"/>
      <c r="CB166" s="436"/>
      <c r="CC166" s="440"/>
      <c r="DC166" s="439"/>
      <c r="DD166" s="436"/>
      <c r="DE166" s="436"/>
      <c r="DF166" s="436"/>
      <c r="DG166" s="436"/>
      <c r="DH166" s="436"/>
      <c r="DI166" s="436"/>
      <c r="DJ166" s="436"/>
      <c r="DK166" s="436"/>
      <c r="DL166" s="436"/>
      <c r="DM166" s="436"/>
      <c r="DN166" s="436"/>
      <c r="DO166" s="436"/>
      <c r="DP166" s="436"/>
      <c r="DQ166" s="436"/>
      <c r="DR166" s="436"/>
      <c r="DS166" s="436"/>
      <c r="DT166" s="436"/>
      <c r="DU166" s="436"/>
      <c r="DV166" s="436"/>
      <c r="DW166" s="436"/>
      <c r="DX166" s="436"/>
      <c r="DY166" s="436"/>
      <c r="DZ166" s="436"/>
      <c r="EA166" s="440"/>
      <c r="EB166" s="439"/>
      <c r="EC166" s="436"/>
      <c r="ED166" s="436"/>
      <c r="EE166" s="436"/>
      <c r="EF166" s="436"/>
      <c r="EG166" s="436"/>
      <c r="EH166" s="436"/>
      <c r="EI166" s="436"/>
      <c r="EJ166" s="436"/>
      <c r="EK166" s="436"/>
      <c r="EL166" s="436"/>
      <c r="EM166" s="436"/>
      <c r="EN166" s="436"/>
      <c r="EO166" s="436"/>
      <c r="EP166" s="436"/>
      <c r="EQ166" s="436"/>
      <c r="ER166" s="436"/>
      <c r="ES166" s="436"/>
      <c r="ET166" s="436"/>
      <c r="EU166" s="436"/>
      <c r="EV166" s="436"/>
      <c r="EW166" s="436"/>
      <c r="EX166" s="436"/>
      <c r="EY166" s="436"/>
      <c r="EZ166" s="440"/>
      <c r="FZ166" s="439"/>
      <c r="GA166" s="436"/>
      <c r="GB166" s="436"/>
      <c r="GC166" s="436"/>
      <c r="GD166" s="436"/>
      <c r="GE166" s="436"/>
      <c r="GF166" s="436"/>
      <c r="GG166" s="436"/>
      <c r="GH166" s="436"/>
      <c r="GI166" s="436"/>
      <c r="GJ166" s="436"/>
      <c r="GK166" s="436"/>
      <c r="GL166" s="436"/>
      <c r="GM166" s="436"/>
      <c r="GN166" s="436"/>
      <c r="GO166" s="436"/>
      <c r="GP166" s="436"/>
      <c r="GQ166" s="436"/>
      <c r="GR166" s="436"/>
      <c r="GS166" s="436"/>
      <c r="GT166" s="436"/>
      <c r="GU166" s="436"/>
      <c r="GV166" s="436"/>
      <c r="GW166" s="436"/>
      <c r="GX166" s="440"/>
      <c r="GY166" s="439"/>
      <c r="GZ166" s="436"/>
      <c r="HA166" s="436"/>
      <c r="HB166" s="436"/>
      <c r="HC166" s="436"/>
      <c r="HD166" s="436"/>
      <c r="HE166" s="436"/>
      <c r="HF166" s="436"/>
      <c r="HG166" s="436"/>
      <c r="HH166" s="436"/>
      <c r="HI166" s="436"/>
      <c r="HJ166" s="436"/>
      <c r="HK166" s="436"/>
      <c r="HL166" s="436"/>
      <c r="HM166" s="436"/>
      <c r="HN166" s="436"/>
      <c r="HO166" s="436"/>
      <c r="HP166" s="436"/>
      <c r="HQ166" s="436"/>
      <c r="HR166" s="436"/>
      <c r="HS166" s="436"/>
      <c r="HT166" s="436"/>
      <c r="HU166" s="436"/>
      <c r="HV166" s="436"/>
      <c r="HW166" s="440"/>
    </row>
    <row r="167" spans="57:231" ht="24" customHeight="1">
      <c r="BE167" s="439"/>
      <c r="BF167" s="436"/>
      <c r="BG167" s="436"/>
      <c r="BH167" s="436"/>
      <c r="BI167" s="436"/>
      <c r="BJ167" s="436"/>
      <c r="BK167" s="436"/>
      <c r="BL167" s="436"/>
      <c r="BM167" s="436"/>
      <c r="BN167" s="436"/>
      <c r="BO167" s="436"/>
      <c r="BP167" s="436"/>
      <c r="BQ167" s="436"/>
      <c r="BR167" s="436"/>
      <c r="BS167" s="436"/>
      <c r="BT167" s="436"/>
      <c r="BU167" s="436"/>
      <c r="BV167" s="436"/>
      <c r="BW167" s="436"/>
      <c r="BX167" s="436"/>
      <c r="BY167" s="436"/>
      <c r="BZ167" s="436"/>
      <c r="CA167" s="436"/>
      <c r="CB167" s="436"/>
      <c r="CC167" s="440"/>
      <c r="DC167" s="439"/>
      <c r="DD167" s="436"/>
      <c r="DE167" s="436"/>
      <c r="DF167" s="436"/>
      <c r="DG167" s="436"/>
      <c r="DH167" s="436"/>
      <c r="DI167" s="436"/>
      <c r="DJ167" s="436"/>
      <c r="DK167" s="436"/>
      <c r="DL167" s="436"/>
      <c r="DM167" s="436"/>
      <c r="DN167" s="436"/>
      <c r="DO167" s="436"/>
      <c r="DP167" s="436"/>
      <c r="DQ167" s="436"/>
      <c r="DR167" s="436"/>
      <c r="DS167" s="436"/>
      <c r="DT167" s="436"/>
      <c r="DU167" s="436"/>
      <c r="DV167" s="436"/>
      <c r="DW167" s="436"/>
      <c r="DX167" s="436"/>
      <c r="DY167" s="436"/>
      <c r="DZ167" s="436"/>
      <c r="EA167" s="440"/>
      <c r="EB167" s="439"/>
      <c r="EC167" s="436"/>
      <c r="ED167" s="436"/>
      <c r="EE167" s="436"/>
      <c r="EF167" s="436"/>
      <c r="EG167" s="436"/>
      <c r="EH167" s="436"/>
      <c r="EI167" s="436"/>
      <c r="EJ167" s="436"/>
      <c r="EK167" s="436"/>
      <c r="EL167" s="436"/>
      <c r="EM167" s="436"/>
      <c r="EN167" s="436"/>
      <c r="EO167" s="436"/>
      <c r="EP167" s="436"/>
      <c r="EQ167" s="436"/>
      <c r="ER167" s="436"/>
      <c r="ES167" s="436"/>
      <c r="ET167" s="436"/>
      <c r="EU167" s="436"/>
      <c r="EV167" s="436"/>
      <c r="EW167" s="436"/>
      <c r="EX167" s="436"/>
      <c r="EY167" s="436"/>
      <c r="EZ167" s="440"/>
      <c r="FZ167" s="439"/>
      <c r="GA167" s="436"/>
      <c r="GB167" s="436"/>
      <c r="GC167" s="436"/>
      <c r="GD167" s="436"/>
      <c r="GE167" s="436"/>
      <c r="GF167" s="436"/>
      <c r="GG167" s="436"/>
      <c r="GH167" s="436"/>
      <c r="GI167" s="436"/>
      <c r="GJ167" s="436"/>
      <c r="GK167" s="436"/>
      <c r="GL167" s="436"/>
      <c r="GM167" s="436"/>
      <c r="GN167" s="436"/>
      <c r="GO167" s="436"/>
      <c r="GP167" s="436"/>
      <c r="GQ167" s="436"/>
      <c r="GR167" s="436"/>
      <c r="GS167" s="436"/>
      <c r="GT167" s="436"/>
      <c r="GU167" s="436"/>
      <c r="GV167" s="436"/>
      <c r="GW167" s="436"/>
      <c r="GX167" s="440"/>
      <c r="GY167" s="439"/>
      <c r="GZ167" s="436"/>
      <c r="HA167" s="436"/>
      <c r="HB167" s="436"/>
      <c r="HC167" s="436"/>
      <c r="HD167" s="436"/>
      <c r="HE167" s="436"/>
      <c r="HF167" s="436"/>
      <c r="HG167" s="436"/>
      <c r="HH167" s="436"/>
      <c r="HI167" s="436"/>
      <c r="HJ167" s="436"/>
      <c r="HK167" s="436"/>
      <c r="HL167" s="436"/>
      <c r="HM167" s="436"/>
      <c r="HN167" s="436"/>
      <c r="HO167" s="436"/>
      <c r="HP167" s="436"/>
      <c r="HQ167" s="436"/>
      <c r="HR167" s="436"/>
      <c r="HS167" s="436"/>
      <c r="HT167" s="436"/>
      <c r="HU167" s="436"/>
      <c r="HV167" s="436"/>
      <c r="HW167" s="440"/>
    </row>
    <row r="168" spans="57:231" ht="24" customHeight="1">
      <c r="BE168" s="439"/>
      <c r="BF168" s="436"/>
      <c r="BG168" s="436"/>
      <c r="BH168" s="436"/>
      <c r="BI168" s="436"/>
      <c r="BJ168" s="436"/>
      <c r="BK168" s="436"/>
      <c r="BL168" s="436"/>
      <c r="BM168" s="436"/>
      <c r="BN168" s="436"/>
      <c r="BO168" s="436"/>
      <c r="BP168" s="436"/>
      <c r="BQ168" s="436"/>
      <c r="BR168" s="436"/>
      <c r="BS168" s="436"/>
      <c r="BT168" s="436"/>
      <c r="BU168" s="436"/>
      <c r="BV168" s="436"/>
      <c r="BW168" s="436"/>
      <c r="BX168" s="436"/>
      <c r="BY168" s="436"/>
      <c r="BZ168" s="436"/>
      <c r="CA168" s="436"/>
      <c r="CB168" s="436"/>
      <c r="CC168" s="440"/>
      <c r="DC168" s="439"/>
      <c r="DD168" s="436"/>
      <c r="DE168" s="436"/>
      <c r="DF168" s="436"/>
      <c r="DG168" s="436"/>
      <c r="DH168" s="436"/>
      <c r="DI168" s="436"/>
      <c r="DJ168" s="436"/>
      <c r="DK168" s="436"/>
      <c r="DL168" s="436"/>
      <c r="DM168" s="436"/>
      <c r="DN168" s="436"/>
      <c r="DO168" s="436"/>
      <c r="DP168" s="436"/>
      <c r="DQ168" s="436"/>
      <c r="DR168" s="436"/>
      <c r="DS168" s="436"/>
      <c r="DT168" s="436"/>
      <c r="DU168" s="436"/>
      <c r="DV168" s="436"/>
      <c r="DW168" s="436"/>
      <c r="DX168" s="436"/>
      <c r="DY168" s="436"/>
      <c r="DZ168" s="436"/>
      <c r="EA168" s="440"/>
      <c r="EB168" s="439"/>
      <c r="EC168" s="436"/>
      <c r="ED168" s="436"/>
      <c r="EE168" s="436"/>
      <c r="EF168" s="436"/>
      <c r="EG168" s="436"/>
      <c r="EH168" s="436"/>
      <c r="EI168" s="436"/>
      <c r="EJ168" s="436"/>
      <c r="EK168" s="436"/>
      <c r="EL168" s="436"/>
      <c r="EM168" s="436"/>
      <c r="EN168" s="436"/>
      <c r="EO168" s="436"/>
      <c r="EP168" s="436"/>
      <c r="EQ168" s="436"/>
      <c r="ER168" s="436"/>
      <c r="ES168" s="436"/>
      <c r="ET168" s="436"/>
      <c r="EU168" s="436"/>
      <c r="EV168" s="436"/>
      <c r="EW168" s="436"/>
      <c r="EX168" s="436"/>
      <c r="EY168" s="436"/>
      <c r="EZ168" s="440"/>
      <c r="FZ168" s="439"/>
      <c r="GA168" s="436"/>
      <c r="GB168" s="436"/>
      <c r="GC168" s="436"/>
      <c r="GD168" s="436"/>
      <c r="GE168" s="436"/>
      <c r="GF168" s="436"/>
      <c r="GG168" s="436"/>
      <c r="GH168" s="436"/>
      <c r="GI168" s="436"/>
      <c r="GJ168" s="436"/>
      <c r="GK168" s="436"/>
      <c r="GL168" s="436"/>
      <c r="GM168" s="436"/>
      <c r="GN168" s="436"/>
      <c r="GO168" s="436"/>
      <c r="GP168" s="436"/>
      <c r="GQ168" s="436"/>
      <c r="GR168" s="436"/>
      <c r="GS168" s="436"/>
      <c r="GT168" s="436"/>
      <c r="GU168" s="436"/>
      <c r="GV168" s="436"/>
      <c r="GW168" s="436"/>
      <c r="GX168" s="440"/>
      <c r="GY168" s="439"/>
      <c r="GZ168" s="436"/>
      <c r="HA168" s="436"/>
      <c r="HB168" s="436"/>
      <c r="HC168" s="436"/>
      <c r="HD168" s="436"/>
      <c r="HE168" s="436"/>
      <c r="HF168" s="436"/>
      <c r="HG168" s="436"/>
      <c r="HH168" s="436"/>
      <c r="HI168" s="436"/>
      <c r="HJ168" s="436"/>
      <c r="HK168" s="436"/>
      <c r="HL168" s="436"/>
      <c r="HM168" s="436"/>
      <c r="HN168" s="436"/>
      <c r="HO168" s="436"/>
      <c r="HP168" s="436"/>
      <c r="HQ168" s="436"/>
      <c r="HR168" s="436"/>
      <c r="HS168" s="436"/>
      <c r="HT168" s="436"/>
      <c r="HU168" s="436"/>
      <c r="HV168" s="436"/>
      <c r="HW168" s="440"/>
    </row>
    <row r="169" spans="57:231" ht="24" customHeight="1">
      <c r="BE169" s="439"/>
      <c r="BF169" s="436"/>
      <c r="BG169" s="436"/>
      <c r="BH169" s="436"/>
      <c r="BI169" s="436"/>
      <c r="BJ169" s="436"/>
      <c r="BK169" s="436"/>
      <c r="BL169" s="436"/>
      <c r="BM169" s="436"/>
      <c r="BN169" s="436"/>
      <c r="BO169" s="436"/>
      <c r="BP169" s="436"/>
      <c r="BQ169" s="436"/>
      <c r="BR169" s="436"/>
      <c r="BS169" s="436"/>
      <c r="BT169" s="436"/>
      <c r="BU169" s="436"/>
      <c r="BV169" s="436"/>
      <c r="BW169" s="436"/>
      <c r="BX169" s="436"/>
      <c r="BY169" s="436"/>
      <c r="BZ169" s="436"/>
      <c r="CA169" s="436"/>
      <c r="CB169" s="436"/>
      <c r="CC169" s="440"/>
      <c r="DC169" s="439"/>
      <c r="DD169" s="436"/>
      <c r="DE169" s="436"/>
      <c r="DF169" s="436"/>
      <c r="DG169" s="436"/>
      <c r="DH169" s="436"/>
      <c r="DI169" s="436"/>
      <c r="DJ169" s="436"/>
      <c r="DK169" s="436"/>
      <c r="DL169" s="436"/>
      <c r="DM169" s="436"/>
      <c r="DN169" s="436"/>
      <c r="DO169" s="436"/>
      <c r="DP169" s="436"/>
      <c r="DQ169" s="436"/>
      <c r="DR169" s="436"/>
      <c r="DS169" s="436"/>
      <c r="DT169" s="436"/>
      <c r="DU169" s="436"/>
      <c r="DV169" s="436"/>
      <c r="DW169" s="436"/>
      <c r="DX169" s="436"/>
      <c r="DY169" s="436"/>
      <c r="DZ169" s="436"/>
      <c r="EA169" s="440"/>
      <c r="EB169" s="439"/>
      <c r="EC169" s="436"/>
      <c r="ED169" s="436"/>
      <c r="EE169" s="436"/>
      <c r="EF169" s="436"/>
      <c r="EG169" s="436"/>
      <c r="EH169" s="436"/>
      <c r="EI169" s="436"/>
      <c r="EJ169" s="436"/>
      <c r="EK169" s="436"/>
      <c r="EL169" s="436"/>
      <c r="EM169" s="436"/>
      <c r="EN169" s="436"/>
      <c r="EO169" s="436"/>
      <c r="EP169" s="436"/>
      <c r="EQ169" s="436"/>
      <c r="ER169" s="436"/>
      <c r="ES169" s="436"/>
      <c r="ET169" s="436"/>
      <c r="EU169" s="436"/>
      <c r="EV169" s="436"/>
      <c r="EW169" s="436"/>
      <c r="EX169" s="436"/>
      <c r="EY169" s="436"/>
      <c r="EZ169" s="440"/>
      <c r="FZ169" s="439"/>
      <c r="GA169" s="436"/>
      <c r="GB169" s="436"/>
      <c r="GC169" s="436"/>
      <c r="GD169" s="436"/>
      <c r="GE169" s="436"/>
      <c r="GF169" s="436"/>
      <c r="GG169" s="436"/>
      <c r="GH169" s="436"/>
      <c r="GI169" s="436"/>
      <c r="GJ169" s="436"/>
      <c r="GK169" s="436"/>
      <c r="GL169" s="436"/>
      <c r="GM169" s="436"/>
      <c r="GN169" s="436"/>
      <c r="GO169" s="436"/>
      <c r="GP169" s="436"/>
      <c r="GQ169" s="436"/>
      <c r="GR169" s="436"/>
      <c r="GS169" s="436"/>
      <c r="GT169" s="436"/>
      <c r="GU169" s="436"/>
      <c r="GV169" s="436"/>
      <c r="GW169" s="436"/>
      <c r="GX169" s="440"/>
      <c r="GY169" s="439"/>
      <c r="GZ169" s="436"/>
      <c r="HA169" s="436"/>
      <c r="HB169" s="436"/>
      <c r="HC169" s="436"/>
      <c r="HD169" s="436"/>
      <c r="HE169" s="436"/>
      <c r="HF169" s="436"/>
      <c r="HG169" s="436"/>
      <c r="HH169" s="436"/>
      <c r="HI169" s="436"/>
      <c r="HJ169" s="436"/>
      <c r="HK169" s="436"/>
      <c r="HL169" s="436"/>
      <c r="HM169" s="436"/>
      <c r="HN169" s="436"/>
      <c r="HO169" s="436"/>
      <c r="HP169" s="436"/>
      <c r="HQ169" s="436"/>
      <c r="HR169" s="436"/>
      <c r="HS169" s="436"/>
      <c r="HT169" s="436"/>
      <c r="HU169" s="436"/>
      <c r="HV169" s="436"/>
      <c r="HW169" s="440"/>
    </row>
    <row r="170" spans="57:231" ht="24" customHeight="1" thickBot="1">
      <c r="BE170" s="439"/>
      <c r="BF170" s="441"/>
      <c r="BG170" s="441"/>
      <c r="BH170" s="441"/>
      <c r="BI170" s="436"/>
      <c r="BJ170" s="436"/>
      <c r="BK170" s="436"/>
      <c r="BL170" s="436"/>
      <c r="BM170" s="436"/>
      <c r="BN170" s="436"/>
      <c r="BO170" s="436"/>
      <c r="BP170" s="436"/>
      <c r="BQ170" s="436"/>
      <c r="BR170" s="436"/>
      <c r="BS170" s="436"/>
      <c r="BT170" s="436"/>
      <c r="BU170" s="436"/>
      <c r="BV170" s="436"/>
      <c r="BW170" s="436"/>
      <c r="BX170" s="436"/>
      <c r="BY170" s="436"/>
      <c r="BZ170" s="436"/>
      <c r="CA170" s="436"/>
      <c r="CB170" s="436"/>
      <c r="CC170" s="440"/>
      <c r="DC170" s="439"/>
      <c r="DD170" s="441"/>
      <c r="DE170" s="441"/>
      <c r="DF170" s="441"/>
      <c r="DG170" s="436"/>
      <c r="DH170" s="436"/>
      <c r="DI170" s="436"/>
      <c r="DJ170" s="436"/>
      <c r="DK170" s="436"/>
      <c r="DL170" s="436"/>
      <c r="DM170" s="436"/>
      <c r="DN170" s="436"/>
      <c r="DO170" s="436"/>
      <c r="DP170" s="436"/>
      <c r="DQ170" s="436"/>
      <c r="DR170" s="436"/>
      <c r="DS170" s="436"/>
      <c r="DT170" s="436"/>
      <c r="DU170" s="436"/>
      <c r="DV170" s="436"/>
      <c r="DW170" s="436"/>
      <c r="DX170" s="436"/>
      <c r="DY170" s="436"/>
      <c r="DZ170" s="436"/>
      <c r="EA170" s="440"/>
      <c r="EB170" s="439"/>
      <c r="EC170" s="441"/>
      <c r="ED170" s="441"/>
      <c r="EE170" s="441"/>
      <c r="EF170" s="436"/>
      <c r="EG170" s="436"/>
      <c r="EH170" s="436"/>
      <c r="EI170" s="436"/>
      <c r="EJ170" s="436"/>
      <c r="EK170" s="436"/>
      <c r="EL170" s="436"/>
      <c r="EM170" s="436"/>
      <c r="EN170" s="436"/>
      <c r="EO170" s="436"/>
      <c r="EP170" s="436"/>
      <c r="EQ170" s="436"/>
      <c r="ER170" s="436"/>
      <c r="ES170" s="436"/>
      <c r="ET170" s="436"/>
      <c r="EU170" s="436"/>
      <c r="EV170" s="436"/>
      <c r="EW170" s="436"/>
      <c r="EX170" s="436"/>
      <c r="EY170" s="436"/>
      <c r="EZ170" s="440"/>
      <c r="FZ170" s="439"/>
      <c r="GA170" s="441"/>
      <c r="GB170" s="441"/>
      <c r="GC170" s="441"/>
      <c r="GD170" s="436"/>
      <c r="GE170" s="436"/>
      <c r="GF170" s="436"/>
      <c r="GG170" s="436"/>
      <c r="GH170" s="436"/>
      <c r="GI170" s="436"/>
      <c r="GJ170" s="436"/>
      <c r="GK170" s="436"/>
      <c r="GL170" s="436"/>
      <c r="GM170" s="436"/>
      <c r="GN170" s="436"/>
      <c r="GO170" s="436"/>
      <c r="GP170" s="436"/>
      <c r="GQ170" s="436"/>
      <c r="GR170" s="436"/>
      <c r="GS170" s="436"/>
      <c r="GT170" s="436"/>
      <c r="GU170" s="436"/>
      <c r="GV170" s="436"/>
      <c r="GW170" s="436"/>
      <c r="GX170" s="440"/>
      <c r="GY170" s="439"/>
      <c r="GZ170" s="441"/>
      <c r="HA170" s="441"/>
      <c r="HB170" s="441"/>
      <c r="HC170" s="436"/>
      <c r="HD170" s="436"/>
      <c r="HE170" s="436"/>
      <c r="HF170" s="436"/>
      <c r="HG170" s="436"/>
      <c r="HH170" s="436"/>
      <c r="HI170" s="436"/>
      <c r="HJ170" s="436"/>
      <c r="HK170" s="436"/>
      <c r="HL170" s="436"/>
      <c r="HM170" s="436"/>
      <c r="HN170" s="436"/>
      <c r="HO170" s="436"/>
      <c r="HP170" s="436"/>
      <c r="HQ170" s="436"/>
      <c r="HR170" s="436"/>
      <c r="HS170" s="436"/>
      <c r="HT170" s="436"/>
      <c r="HU170" s="436"/>
      <c r="HV170" s="436"/>
      <c r="HW170" s="440"/>
    </row>
    <row r="171" spans="57:231" ht="24" customHeight="1" thickBot="1">
      <c r="BE171" s="444"/>
      <c r="BF171" s="1917" t="str">
        <f>'Вывод расчетов'!$CC$9</f>
        <v>Раздел 3</v>
      </c>
      <c r="BG171" s="1915"/>
      <c r="BH171" s="1915"/>
      <c r="BI171" s="445"/>
      <c r="BJ171" s="1917" t="str">
        <f>'Вывод расчетов'!$CF$9</f>
        <v>Расчет обмотки статора</v>
      </c>
      <c r="BK171" s="1915"/>
      <c r="BL171" s="1915"/>
      <c r="BM171" s="1915"/>
      <c r="BN171" s="1915"/>
      <c r="BO171" s="1915"/>
      <c r="BP171" s="1915"/>
      <c r="BQ171" s="1915"/>
      <c r="BR171" s="1915"/>
      <c r="BS171" s="1915"/>
      <c r="BT171" s="1915"/>
      <c r="BU171" s="1918"/>
      <c r="BV171" s="445"/>
      <c r="BW171" s="1917" t="s">
        <v>1502</v>
      </c>
      <c r="BX171" s="1915"/>
      <c r="BY171" s="1918"/>
      <c r="BZ171" s="445"/>
      <c r="CA171" s="1917">
        <v>11</v>
      </c>
      <c r="CB171" s="1918"/>
      <c r="CC171" s="446"/>
      <c r="DC171" s="444"/>
      <c r="DD171" s="1917" t="str">
        <f>'Вывод расчетов'!$CC$9</f>
        <v>Раздел 3</v>
      </c>
      <c r="DE171" s="1915"/>
      <c r="DF171" s="1915"/>
      <c r="DG171" s="445"/>
      <c r="DH171" s="1917" t="str">
        <f>'Вывод расчетов'!$CF$9</f>
        <v>Расчет обмотки статора</v>
      </c>
      <c r="DI171" s="1915"/>
      <c r="DJ171" s="1915"/>
      <c r="DK171" s="1915"/>
      <c r="DL171" s="1915"/>
      <c r="DM171" s="1915"/>
      <c r="DN171" s="1915"/>
      <c r="DO171" s="1915"/>
      <c r="DP171" s="1915"/>
      <c r="DQ171" s="1915"/>
      <c r="DR171" s="1915"/>
      <c r="DS171" s="1918"/>
      <c r="DT171" s="445"/>
      <c r="DU171" s="1917" t="s">
        <v>1502</v>
      </c>
      <c r="DV171" s="1915"/>
      <c r="DW171" s="1918"/>
      <c r="DX171" s="445"/>
      <c r="DY171" s="1917">
        <v>11</v>
      </c>
      <c r="DZ171" s="1918"/>
      <c r="EA171" s="446"/>
      <c r="EB171" s="444"/>
      <c r="EC171" s="1917" t="str">
        <f>'Вывод расчетов'!$CC$9</f>
        <v>Раздел 3</v>
      </c>
      <c r="ED171" s="1915"/>
      <c r="EE171" s="1915"/>
      <c r="EF171" s="445"/>
      <c r="EG171" s="1917" t="str">
        <f>'Вывод расчетов'!$CF$9</f>
        <v>Расчет обмотки статора</v>
      </c>
      <c r="EH171" s="1915"/>
      <c r="EI171" s="1915"/>
      <c r="EJ171" s="1915"/>
      <c r="EK171" s="1915"/>
      <c r="EL171" s="1915"/>
      <c r="EM171" s="1915"/>
      <c r="EN171" s="1915"/>
      <c r="EO171" s="1915"/>
      <c r="EP171" s="1915"/>
      <c r="EQ171" s="1915"/>
      <c r="ER171" s="1918"/>
      <c r="ES171" s="445"/>
      <c r="ET171" s="1917" t="s">
        <v>1502</v>
      </c>
      <c r="EU171" s="1915"/>
      <c r="EV171" s="1918"/>
      <c r="EW171" s="445"/>
      <c r="EX171" s="1917">
        <v>11</v>
      </c>
      <c r="EY171" s="1918"/>
      <c r="EZ171" s="446"/>
      <c r="FZ171" s="444"/>
      <c r="GA171" s="1917" t="str">
        <f>'Вывод расчетов'!$CC$9</f>
        <v>Раздел 3</v>
      </c>
      <c r="GB171" s="1915"/>
      <c r="GC171" s="1915"/>
      <c r="GD171" s="445"/>
      <c r="GE171" s="1917" t="str">
        <f>'Вывод расчетов'!$CF$9</f>
        <v>Расчет обмотки статора</v>
      </c>
      <c r="GF171" s="1915"/>
      <c r="GG171" s="1915"/>
      <c r="GH171" s="1915"/>
      <c r="GI171" s="1915"/>
      <c r="GJ171" s="1915"/>
      <c r="GK171" s="1915"/>
      <c r="GL171" s="1915"/>
      <c r="GM171" s="1915"/>
      <c r="GN171" s="1915"/>
      <c r="GO171" s="1915"/>
      <c r="GP171" s="1918"/>
      <c r="GQ171" s="445"/>
      <c r="GR171" s="1917" t="s">
        <v>1502</v>
      </c>
      <c r="GS171" s="1915"/>
      <c r="GT171" s="1918"/>
      <c r="GU171" s="445"/>
      <c r="GV171" s="1917">
        <v>11</v>
      </c>
      <c r="GW171" s="1918"/>
      <c r="GX171" s="446"/>
      <c r="GY171" s="444"/>
      <c r="GZ171" s="1917" t="str">
        <f>'Вывод расчетов'!$CC$9</f>
        <v>Раздел 3</v>
      </c>
      <c r="HA171" s="1915"/>
      <c r="HB171" s="1915"/>
      <c r="HC171" s="445"/>
      <c r="HD171" s="1917" t="str">
        <f>'Вывод расчетов'!$CF$9</f>
        <v>Расчет обмотки статора</v>
      </c>
      <c r="HE171" s="1915"/>
      <c r="HF171" s="1915"/>
      <c r="HG171" s="1915"/>
      <c r="HH171" s="1915"/>
      <c r="HI171" s="1915"/>
      <c r="HJ171" s="1915"/>
      <c r="HK171" s="1915"/>
      <c r="HL171" s="1915"/>
      <c r="HM171" s="1915"/>
      <c r="HN171" s="1915"/>
      <c r="HO171" s="1918"/>
      <c r="HP171" s="445"/>
      <c r="HQ171" s="1917" t="s">
        <v>1502</v>
      </c>
      <c r="HR171" s="1915"/>
      <c r="HS171" s="1918"/>
      <c r="HT171" s="445"/>
      <c r="HU171" s="1917">
        <v>11</v>
      </c>
      <c r="HV171" s="1918"/>
      <c r="HW171" s="446"/>
    </row>
    <row r="172" spans="57:231" ht="24" customHeight="1" thickBot="1">
      <c r="DC172" s="1914" t="s">
        <v>1230</v>
      </c>
      <c r="DD172" s="1915"/>
      <c r="DE172" s="1915"/>
      <c r="DF172" s="1915"/>
      <c r="DG172" s="1915"/>
      <c r="DH172" s="1915"/>
      <c r="DI172" s="1915"/>
      <c r="DJ172" s="1915"/>
      <c r="DK172" s="1915"/>
      <c r="DL172" s="1915"/>
      <c r="DM172" s="1915"/>
      <c r="DN172" s="1915"/>
      <c r="DO172" s="1915"/>
      <c r="DP172" s="1915"/>
      <c r="DQ172" s="1915"/>
      <c r="DR172" s="1915"/>
      <c r="DS172" s="1915"/>
      <c r="DT172" s="1915"/>
      <c r="DU172" s="1915"/>
      <c r="DV172" s="1915"/>
      <c r="DW172" s="1915"/>
      <c r="DX172" s="1915"/>
      <c r="DY172" s="1915"/>
      <c r="DZ172" s="1915"/>
      <c r="EA172" s="1916"/>
      <c r="EB172" s="1914" t="s">
        <v>1230</v>
      </c>
      <c r="EC172" s="1915"/>
      <c r="ED172" s="1915"/>
      <c r="EE172" s="1915"/>
      <c r="EF172" s="1915"/>
      <c r="EG172" s="1915"/>
      <c r="EH172" s="1915"/>
      <c r="EI172" s="1915"/>
      <c r="EJ172" s="1915"/>
      <c r="EK172" s="1915"/>
      <c r="EL172" s="1915"/>
      <c r="EM172" s="1915"/>
      <c r="EN172" s="1915"/>
      <c r="EO172" s="1915"/>
      <c r="EP172" s="1915"/>
      <c r="EQ172" s="1915"/>
      <c r="ER172" s="1915"/>
      <c r="ES172" s="1915"/>
      <c r="ET172" s="1915"/>
      <c r="EU172" s="1915"/>
      <c r="EV172" s="1915"/>
      <c r="EW172" s="1915"/>
      <c r="EX172" s="1915"/>
      <c r="EY172" s="1915"/>
      <c r="EZ172" s="1916"/>
      <c r="FZ172" s="1914" t="s">
        <v>1230</v>
      </c>
      <c r="GA172" s="1915"/>
      <c r="GB172" s="1915"/>
      <c r="GC172" s="1915"/>
      <c r="GD172" s="1915"/>
      <c r="GE172" s="1915"/>
      <c r="GF172" s="1915"/>
      <c r="GG172" s="1915"/>
      <c r="GH172" s="1915"/>
      <c r="GI172" s="1915"/>
      <c r="GJ172" s="1915"/>
      <c r="GK172" s="1915"/>
      <c r="GL172" s="1915"/>
      <c r="GM172" s="1915"/>
      <c r="GN172" s="1915"/>
      <c r="GO172" s="1915"/>
      <c r="GP172" s="1915"/>
      <c r="GQ172" s="1915"/>
      <c r="GR172" s="1915"/>
      <c r="GS172" s="1915"/>
      <c r="GT172" s="1915"/>
      <c r="GU172" s="1915"/>
      <c r="GV172" s="1915"/>
      <c r="GW172" s="1915"/>
      <c r="GX172" s="1916"/>
      <c r="GY172" s="1914" t="s">
        <v>1230</v>
      </c>
      <c r="GZ172" s="1915"/>
      <c r="HA172" s="1915"/>
      <c r="HB172" s="1915"/>
      <c r="HC172" s="1915"/>
      <c r="HD172" s="1915"/>
      <c r="HE172" s="1915"/>
      <c r="HF172" s="1915"/>
      <c r="HG172" s="1915"/>
      <c r="HH172" s="1915"/>
      <c r="HI172" s="1915"/>
      <c r="HJ172" s="1915"/>
      <c r="HK172" s="1915"/>
      <c r="HL172" s="1915"/>
      <c r="HM172" s="1915"/>
      <c r="HN172" s="1915"/>
      <c r="HO172" s="1915"/>
      <c r="HP172" s="1915"/>
      <c r="HQ172" s="1915"/>
      <c r="HR172" s="1915"/>
      <c r="HS172" s="1915"/>
      <c r="HT172" s="1915"/>
      <c r="HU172" s="1915"/>
      <c r="HV172" s="1915"/>
      <c r="HW172" s="1916"/>
    </row>
    <row r="173" spans="57:231" ht="24" customHeight="1">
      <c r="DC173" s="437"/>
      <c r="DD173" s="438"/>
      <c r="DE173" s="438"/>
      <c r="DF173" s="438"/>
      <c r="DG173" s="438"/>
      <c r="DH173" s="438"/>
      <c r="DI173" s="438"/>
      <c r="DJ173" s="438"/>
      <c r="DK173" s="438"/>
      <c r="DL173" s="438"/>
      <c r="DM173" s="438"/>
      <c r="DN173" s="438"/>
      <c r="DO173" s="438"/>
      <c r="DP173" s="438"/>
      <c r="DQ173" s="438"/>
      <c r="DR173" s="438"/>
      <c r="DS173" s="438"/>
      <c r="DT173" s="438"/>
      <c r="DU173" s="438"/>
      <c r="DV173" s="438"/>
      <c r="DW173" s="438"/>
      <c r="DX173" s="438"/>
      <c r="DY173" s="438"/>
      <c r="DZ173" s="438"/>
      <c r="EA173" s="447"/>
      <c r="EB173" s="437"/>
      <c r="EC173" s="438"/>
      <c r="ED173" s="438"/>
      <c r="EE173" s="438"/>
      <c r="EF173" s="438"/>
      <c r="EG173" s="438"/>
      <c r="EH173" s="438"/>
      <c r="EI173" s="438"/>
      <c r="EJ173" s="438"/>
      <c r="EK173" s="438"/>
      <c r="EL173" s="438"/>
      <c r="EM173" s="438"/>
      <c r="EN173" s="438"/>
      <c r="EO173" s="438"/>
      <c r="EP173" s="438"/>
      <c r="EQ173" s="438"/>
      <c r="ER173" s="438"/>
      <c r="ES173" s="438"/>
      <c r="ET173" s="438"/>
      <c r="EU173" s="438"/>
      <c r="EV173" s="438"/>
      <c r="EW173" s="438"/>
      <c r="EX173" s="438"/>
      <c r="EY173" s="438"/>
      <c r="EZ173" s="447"/>
      <c r="FZ173" s="437"/>
      <c r="GA173" s="438"/>
      <c r="GB173" s="438"/>
      <c r="GC173" s="438"/>
      <c r="GD173" s="438"/>
      <c r="GE173" s="438"/>
      <c r="GF173" s="438"/>
      <c r="GG173" s="438"/>
      <c r="GH173" s="438"/>
      <c r="GI173" s="438"/>
      <c r="GJ173" s="438"/>
      <c r="GK173" s="438"/>
      <c r="GL173" s="438"/>
      <c r="GM173" s="438"/>
      <c r="GN173" s="438"/>
      <c r="GO173" s="438"/>
      <c r="GP173" s="438"/>
      <c r="GQ173" s="438"/>
      <c r="GR173" s="438"/>
      <c r="GS173" s="438"/>
      <c r="GT173" s="438"/>
      <c r="GU173" s="438"/>
      <c r="GV173" s="438"/>
      <c r="GW173" s="438"/>
      <c r="GX173" s="447"/>
      <c r="GY173" s="437"/>
      <c r="GZ173" s="438"/>
      <c r="HA173" s="438"/>
      <c r="HB173" s="438"/>
      <c r="HC173" s="438"/>
      <c r="HD173" s="438"/>
      <c r="HE173" s="438"/>
      <c r="HF173" s="438"/>
      <c r="HG173" s="438"/>
      <c r="HH173" s="438"/>
      <c r="HI173" s="438"/>
      <c r="HJ173" s="438"/>
      <c r="HK173" s="438"/>
      <c r="HL173" s="438"/>
      <c r="HM173" s="438"/>
      <c r="HN173" s="438"/>
      <c r="HO173" s="438"/>
      <c r="HP173" s="438"/>
      <c r="HQ173" s="438"/>
      <c r="HR173" s="438"/>
      <c r="HS173" s="438"/>
      <c r="HT173" s="438"/>
      <c r="HU173" s="438"/>
      <c r="HV173" s="438"/>
      <c r="HW173" s="447"/>
    </row>
    <row r="174" spans="57:231" ht="24" customHeight="1">
      <c r="DC174" s="439"/>
      <c r="DD174" s="436"/>
      <c r="DE174" s="436"/>
      <c r="DF174" s="436"/>
      <c r="DG174" s="436"/>
      <c r="DH174" s="436"/>
      <c r="DI174" s="436"/>
      <c r="DJ174" s="436"/>
      <c r="DK174" s="436"/>
      <c r="DL174" s="436"/>
      <c r="DM174" s="436"/>
      <c r="DN174" s="436"/>
      <c r="DO174" s="436"/>
      <c r="DP174" s="436"/>
      <c r="DQ174" s="436"/>
      <c r="DR174" s="436"/>
      <c r="DS174" s="436"/>
      <c r="DT174" s="436"/>
      <c r="DU174" s="436"/>
      <c r="DV174" s="436"/>
      <c r="DW174" s="436"/>
      <c r="DX174" s="436"/>
      <c r="DY174" s="436"/>
      <c r="DZ174" s="436"/>
      <c r="EA174" s="440"/>
      <c r="EB174" s="439"/>
      <c r="EC174" s="436"/>
      <c r="ED174" s="436"/>
      <c r="EE174" s="436"/>
      <c r="EF174" s="436"/>
      <c r="EG174" s="436"/>
      <c r="EH174" s="436"/>
      <c r="EI174" s="436"/>
      <c r="EJ174" s="436"/>
      <c r="EK174" s="436"/>
      <c r="EL174" s="436"/>
      <c r="EM174" s="436"/>
      <c r="EN174" s="436"/>
      <c r="EO174" s="436"/>
      <c r="EP174" s="436"/>
      <c r="EQ174" s="436"/>
      <c r="ER174" s="436"/>
      <c r="ES174" s="436"/>
      <c r="ET174" s="436"/>
      <c r="EU174" s="436"/>
      <c r="EV174" s="436"/>
      <c r="EW174" s="436"/>
      <c r="EX174" s="436"/>
      <c r="EY174" s="436"/>
      <c r="EZ174" s="440"/>
      <c r="FZ174" s="439"/>
      <c r="GA174" s="436"/>
      <c r="GB174" s="436"/>
      <c r="GC174" s="436"/>
      <c r="GD174" s="436"/>
      <c r="GE174" s="436"/>
      <c r="GF174" s="436"/>
      <c r="GG174" s="436"/>
      <c r="GH174" s="436"/>
      <c r="GI174" s="436"/>
      <c r="GJ174" s="436"/>
      <c r="GK174" s="436"/>
      <c r="GL174" s="436"/>
      <c r="GM174" s="436"/>
      <c r="GN174" s="436"/>
      <c r="GO174" s="436"/>
      <c r="GP174" s="436"/>
      <c r="GQ174" s="436"/>
      <c r="GR174" s="436"/>
      <c r="GS174" s="436"/>
      <c r="GT174" s="436"/>
      <c r="GU174" s="436"/>
      <c r="GV174" s="436"/>
      <c r="GW174" s="436"/>
      <c r="GX174" s="440"/>
      <c r="GY174" s="439"/>
      <c r="GZ174" s="436"/>
      <c r="HA174" s="436"/>
      <c r="HB174" s="436"/>
      <c r="HC174" s="436"/>
      <c r="HD174" s="436"/>
      <c r="HE174" s="436"/>
      <c r="HF174" s="436"/>
      <c r="HG174" s="436"/>
      <c r="HH174" s="436"/>
      <c r="HI174" s="436"/>
      <c r="HJ174" s="436"/>
      <c r="HK174" s="436"/>
      <c r="HL174" s="436"/>
      <c r="HM174" s="436"/>
      <c r="HN174" s="436"/>
      <c r="HO174" s="436"/>
      <c r="HP174" s="436"/>
      <c r="HQ174" s="436"/>
      <c r="HR174" s="436"/>
      <c r="HS174" s="436"/>
      <c r="HT174" s="436"/>
      <c r="HU174" s="436"/>
      <c r="HV174" s="436"/>
      <c r="HW174" s="440"/>
    </row>
    <row r="175" spans="57:231" ht="24" customHeight="1">
      <c r="DC175" s="439"/>
      <c r="DD175" s="436"/>
      <c r="DE175" s="436"/>
      <c r="DF175" s="436"/>
      <c r="DG175" s="436"/>
      <c r="DH175" s="436"/>
      <c r="DI175" s="436"/>
      <c r="DJ175" s="436"/>
      <c r="DK175" s="436"/>
      <c r="DL175" s="436"/>
      <c r="DM175" s="436"/>
      <c r="DN175" s="436"/>
      <c r="DO175" s="436"/>
      <c r="DP175" s="436"/>
      <c r="DQ175" s="436"/>
      <c r="DR175" s="436"/>
      <c r="DS175" s="436"/>
      <c r="DT175" s="436"/>
      <c r="DU175" s="436"/>
      <c r="DV175" s="436"/>
      <c r="DW175" s="436"/>
      <c r="DX175" s="436"/>
      <c r="DY175" s="436"/>
      <c r="DZ175" s="436"/>
      <c r="EA175" s="440"/>
      <c r="EB175" s="439"/>
      <c r="EC175" s="436"/>
      <c r="ED175" s="436"/>
      <c r="EE175" s="436"/>
      <c r="EF175" s="436"/>
      <c r="EG175" s="436"/>
      <c r="EH175" s="436"/>
      <c r="EI175" s="436"/>
      <c r="EJ175" s="436"/>
      <c r="EK175" s="436"/>
      <c r="EL175" s="436"/>
      <c r="EM175" s="436"/>
      <c r="EN175" s="436"/>
      <c r="EO175" s="436"/>
      <c r="EP175" s="436"/>
      <c r="EQ175" s="436"/>
      <c r="ER175" s="436"/>
      <c r="ES175" s="436"/>
      <c r="ET175" s="436"/>
      <c r="EU175" s="436"/>
      <c r="EV175" s="436"/>
      <c r="EW175" s="436"/>
      <c r="EX175" s="436"/>
      <c r="EY175" s="436"/>
      <c r="EZ175" s="440"/>
      <c r="FZ175" s="439"/>
      <c r="GA175" s="436"/>
      <c r="GB175" s="436"/>
      <c r="GC175" s="436"/>
      <c r="GD175" s="436"/>
      <c r="GE175" s="436"/>
      <c r="GF175" s="436"/>
      <c r="GG175" s="436"/>
      <c r="GH175" s="436"/>
      <c r="GI175" s="436"/>
      <c r="GJ175" s="436"/>
      <c r="GK175" s="436"/>
      <c r="GL175" s="436"/>
      <c r="GM175" s="436"/>
      <c r="GN175" s="436"/>
      <c r="GO175" s="436"/>
      <c r="GP175" s="436"/>
      <c r="GQ175" s="436"/>
      <c r="GR175" s="436"/>
      <c r="GS175" s="436"/>
      <c r="GT175" s="436"/>
      <c r="GU175" s="436"/>
      <c r="GV175" s="436"/>
      <c r="GW175" s="436"/>
      <c r="GX175" s="440"/>
      <c r="GY175" s="439"/>
      <c r="GZ175" s="436"/>
      <c r="HA175" s="436"/>
      <c r="HB175" s="436"/>
      <c r="HC175" s="436"/>
      <c r="HD175" s="436"/>
      <c r="HE175" s="436"/>
      <c r="HF175" s="436"/>
      <c r="HG175" s="436"/>
      <c r="HH175" s="436"/>
      <c r="HI175" s="436"/>
      <c r="HJ175" s="436"/>
      <c r="HK175" s="436"/>
      <c r="HL175" s="436"/>
      <c r="HM175" s="436"/>
      <c r="HN175" s="436"/>
      <c r="HO175" s="436"/>
      <c r="HP175" s="436"/>
      <c r="HQ175" s="436"/>
      <c r="HR175" s="436"/>
      <c r="HS175" s="436"/>
      <c r="HT175" s="436"/>
      <c r="HU175" s="436"/>
      <c r="HV175" s="436"/>
      <c r="HW175" s="440"/>
    </row>
    <row r="176" spans="57:231" ht="24" customHeight="1">
      <c r="DC176" s="439"/>
      <c r="DD176" s="436"/>
      <c r="DE176" s="436"/>
      <c r="DF176" s="436"/>
      <c r="DG176" s="436"/>
      <c r="DH176" s="436"/>
      <c r="DI176" s="436"/>
      <c r="DJ176" s="436"/>
      <c r="DK176" s="436"/>
      <c r="DL176" s="436"/>
      <c r="DM176" s="436"/>
      <c r="DN176" s="436"/>
      <c r="DO176" s="436"/>
      <c r="DP176" s="436"/>
      <c r="DQ176" s="436"/>
      <c r="DR176" s="436"/>
      <c r="DS176" s="436"/>
      <c r="DT176" s="436"/>
      <c r="DU176" s="436"/>
      <c r="DV176" s="436"/>
      <c r="DW176" s="436"/>
      <c r="DX176" s="436"/>
      <c r="DY176" s="436"/>
      <c r="DZ176" s="436"/>
      <c r="EA176" s="440"/>
      <c r="EB176" s="439"/>
      <c r="EC176" s="436"/>
      <c r="ED176" s="436"/>
      <c r="EE176" s="436"/>
      <c r="EF176" s="436"/>
      <c r="EG176" s="436"/>
      <c r="EH176" s="436"/>
      <c r="EI176" s="436"/>
      <c r="EJ176" s="436"/>
      <c r="EK176" s="436"/>
      <c r="EL176" s="436"/>
      <c r="EM176" s="436"/>
      <c r="EN176" s="436"/>
      <c r="EO176" s="436"/>
      <c r="EP176" s="436"/>
      <c r="EQ176" s="436"/>
      <c r="ER176" s="436"/>
      <c r="ES176" s="436"/>
      <c r="ET176" s="436"/>
      <c r="EU176" s="436"/>
      <c r="EV176" s="436"/>
      <c r="EW176" s="436"/>
      <c r="EX176" s="436"/>
      <c r="EY176" s="436"/>
      <c r="EZ176" s="440"/>
      <c r="FZ176" s="439"/>
      <c r="GA176" s="436"/>
      <c r="GB176" s="436"/>
      <c r="GC176" s="436"/>
      <c r="GD176" s="436"/>
      <c r="GE176" s="436"/>
      <c r="GF176" s="436"/>
      <c r="GG176" s="436"/>
      <c r="GH176" s="436"/>
      <c r="GI176" s="436"/>
      <c r="GJ176" s="436"/>
      <c r="GK176" s="436"/>
      <c r="GL176" s="436"/>
      <c r="GM176" s="436"/>
      <c r="GN176" s="436"/>
      <c r="GO176" s="436"/>
      <c r="GP176" s="436"/>
      <c r="GQ176" s="436"/>
      <c r="GR176" s="436"/>
      <c r="GS176" s="436"/>
      <c r="GT176" s="436"/>
      <c r="GU176" s="436"/>
      <c r="GV176" s="436"/>
      <c r="GW176" s="436"/>
      <c r="GX176" s="440"/>
      <c r="GY176" s="439"/>
      <c r="GZ176" s="436"/>
      <c r="HA176" s="436"/>
      <c r="HB176" s="436"/>
      <c r="HC176" s="436"/>
      <c r="HD176" s="436"/>
      <c r="HE176" s="436"/>
      <c r="HF176" s="436"/>
      <c r="HG176" s="436"/>
      <c r="HH176" s="436"/>
      <c r="HI176" s="436"/>
      <c r="HJ176" s="436"/>
      <c r="HK176" s="436"/>
      <c r="HL176" s="436"/>
      <c r="HM176" s="436"/>
      <c r="HN176" s="436"/>
      <c r="HO176" s="436"/>
      <c r="HP176" s="436"/>
      <c r="HQ176" s="436"/>
      <c r="HR176" s="436"/>
      <c r="HS176" s="436"/>
      <c r="HT176" s="436"/>
      <c r="HU176" s="436"/>
      <c r="HV176" s="436"/>
      <c r="HW176" s="440"/>
    </row>
    <row r="177" spans="107:231" ht="24" customHeight="1">
      <c r="DC177" s="439"/>
      <c r="DD177" s="436"/>
      <c r="DE177" s="436"/>
      <c r="DF177" s="436"/>
      <c r="DG177" s="436"/>
      <c r="DH177" s="436"/>
      <c r="DI177" s="436"/>
      <c r="DJ177" s="436"/>
      <c r="DK177" s="436"/>
      <c r="DL177" s="436"/>
      <c r="DM177" s="436"/>
      <c r="DN177" s="436"/>
      <c r="DO177" s="436"/>
      <c r="DP177" s="436"/>
      <c r="DQ177" s="436"/>
      <c r="DR177" s="436"/>
      <c r="DS177" s="436"/>
      <c r="DT177" s="436"/>
      <c r="DU177" s="436"/>
      <c r="DV177" s="436"/>
      <c r="DW177" s="436"/>
      <c r="DX177" s="436"/>
      <c r="DY177" s="436"/>
      <c r="DZ177" s="436"/>
      <c r="EA177" s="440"/>
      <c r="EB177" s="439"/>
      <c r="EC177" s="436"/>
      <c r="ED177" s="436"/>
      <c r="EE177" s="436"/>
      <c r="EF177" s="436"/>
      <c r="EG177" s="436"/>
      <c r="EH177" s="436"/>
      <c r="EI177" s="436"/>
      <c r="EJ177" s="436"/>
      <c r="EK177" s="436"/>
      <c r="EL177" s="436"/>
      <c r="EM177" s="436"/>
      <c r="EN177" s="436"/>
      <c r="EO177" s="436"/>
      <c r="EP177" s="436"/>
      <c r="EQ177" s="436"/>
      <c r="ER177" s="436"/>
      <c r="ES177" s="436"/>
      <c r="ET177" s="436"/>
      <c r="EU177" s="436"/>
      <c r="EV177" s="436"/>
      <c r="EW177" s="436"/>
      <c r="EX177" s="436"/>
      <c r="EY177" s="436"/>
      <c r="EZ177" s="440"/>
      <c r="FZ177" s="439"/>
      <c r="GA177" s="436"/>
      <c r="GB177" s="436"/>
      <c r="GC177" s="436"/>
      <c r="GD177" s="436"/>
      <c r="GE177" s="436"/>
      <c r="GF177" s="436"/>
      <c r="GG177" s="436"/>
      <c r="GH177" s="436"/>
      <c r="GI177" s="436"/>
      <c r="GJ177" s="436"/>
      <c r="GK177" s="436"/>
      <c r="GL177" s="436"/>
      <c r="GM177" s="436"/>
      <c r="GN177" s="436"/>
      <c r="GO177" s="436"/>
      <c r="GP177" s="436"/>
      <c r="GQ177" s="436"/>
      <c r="GR177" s="436"/>
      <c r="GS177" s="436"/>
      <c r="GT177" s="436"/>
      <c r="GU177" s="436"/>
      <c r="GV177" s="436"/>
      <c r="GW177" s="436"/>
      <c r="GX177" s="440"/>
      <c r="GY177" s="439"/>
      <c r="GZ177" s="436"/>
      <c r="HA177" s="436"/>
      <c r="HB177" s="436"/>
      <c r="HC177" s="436"/>
      <c r="HD177" s="436"/>
      <c r="HE177" s="436"/>
      <c r="HF177" s="436"/>
      <c r="HG177" s="436"/>
      <c r="HH177" s="436"/>
      <c r="HI177" s="436"/>
      <c r="HJ177" s="436"/>
      <c r="HK177" s="436"/>
      <c r="HL177" s="436"/>
      <c r="HM177" s="436"/>
      <c r="HN177" s="436"/>
      <c r="HO177" s="436"/>
      <c r="HP177" s="436"/>
      <c r="HQ177" s="436"/>
      <c r="HR177" s="436"/>
      <c r="HS177" s="436"/>
      <c r="HT177" s="436"/>
      <c r="HU177" s="436"/>
      <c r="HV177" s="436"/>
      <c r="HW177" s="440"/>
    </row>
    <row r="178" spans="107:231" ht="24" customHeight="1">
      <c r="DC178" s="439"/>
      <c r="DD178" s="436"/>
      <c r="DE178" s="436"/>
      <c r="DF178" s="436"/>
      <c r="DG178" s="436"/>
      <c r="DH178" s="436"/>
      <c r="DI178" s="436"/>
      <c r="DJ178" s="436"/>
      <c r="DK178" s="436"/>
      <c r="DL178" s="436"/>
      <c r="DM178" s="436"/>
      <c r="DN178" s="436"/>
      <c r="DO178" s="436"/>
      <c r="DP178" s="436"/>
      <c r="DQ178" s="436"/>
      <c r="DR178" s="436"/>
      <c r="DS178" s="436"/>
      <c r="DT178" s="436"/>
      <c r="DU178" s="436"/>
      <c r="DV178" s="436"/>
      <c r="DW178" s="436"/>
      <c r="DX178" s="436"/>
      <c r="DY178" s="436"/>
      <c r="DZ178" s="436"/>
      <c r="EA178" s="440"/>
      <c r="EB178" s="439"/>
      <c r="EC178" s="436"/>
      <c r="ED178" s="436"/>
      <c r="EE178" s="436"/>
      <c r="EF178" s="436"/>
      <c r="EG178" s="436"/>
      <c r="EH178" s="436"/>
      <c r="EI178" s="436"/>
      <c r="EJ178" s="436"/>
      <c r="EK178" s="436"/>
      <c r="EL178" s="436"/>
      <c r="EM178" s="436"/>
      <c r="EN178" s="436"/>
      <c r="EO178" s="436"/>
      <c r="EP178" s="436"/>
      <c r="EQ178" s="436"/>
      <c r="ER178" s="436"/>
      <c r="ES178" s="436"/>
      <c r="ET178" s="436"/>
      <c r="EU178" s="436"/>
      <c r="EV178" s="436"/>
      <c r="EW178" s="436"/>
      <c r="EX178" s="436"/>
      <c r="EY178" s="436"/>
      <c r="EZ178" s="440"/>
      <c r="FZ178" s="439"/>
      <c r="GA178" s="436"/>
      <c r="GB178" s="436"/>
      <c r="GC178" s="436"/>
      <c r="GD178" s="436"/>
      <c r="GE178" s="436"/>
      <c r="GF178" s="436"/>
      <c r="GG178" s="436"/>
      <c r="GH178" s="436"/>
      <c r="GI178" s="436"/>
      <c r="GJ178" s="436"/>
      <c r="GK178" s="436"/>
      <c r="GL178" s="436"/>
      <c r="GM178" s="436"/>
      <c r="GN178" s="436"/>
      <c r="GO178" s="436"/>
      <c r="GP178" s="436"/>
      <c r="GQ178" s="436"/>
      <c r="GR178" s="436"/>
      <c r="GS178" s="436"/>
      <c r="GT178" s="436"/>
      <c r="GU178" s="436"/>
      <c r="GV178" s="436"/>
      <c r="GW178" s="436"/>
      <c r="GX178" s="440"/>
      <c r="GY178" s="439"/>
      <c r="GZ178" s="436"/>
      <c r="HA178" s="436"/>
      <c r="HB178" s="436"/>
      <c r="HC178" s="436"/>
      <c r="HD178" s="436"/>
      <c r="HE178" s="436"/>
      <c r="HF178" s="436"/>
      <c r="HG178" s="436"/>
      <c r="HH178" s="436"/>
      <c r="HI178" s="436"/>
      <c r="HJ178" s="436"/>
      <c r="HK178" s="436"/>
      <c r="HL178" s="436"/>
      <c r="HM178" s="436"/>
      <c r="HN178" s="436"/>
      <c r="HO178" s="436"/>
      <c r="HP178" s="436"/>
      <c r="HQ178" s="436"/>
      <c r="HR178" s="436"/>
      <c r="HS178" s="436"/>
      <c r="HT178" s="436"/>
      <c r="HU178" s="436"/>
      <c r="HV178" s="436"/>
      <c r="HW178" s="440"/>
    </row>
    <row r="179" spans="107:231" ht="24" customHeight="1">
      <c r="DC179" s="439"/>
      <c r="DD179" s="436"/>
      <c r="DE179" s="436"/>
      <c r="DF179" s="436"/>
      <c r="DG179" s="436"/>
      <c r="DH179" s="436"/>
      <c r="DI179" s="436"/>
      <c r="DJ179" s="436"/>
      <c r="DK179" s="436"/>
      <c r="DL179" s="436"/>
      <c r="DM179" s="436"/>
      <c r="DN179" s="436"/>
      <c r="DO179" s="436"/>
      <c r="DP179" s="436"/>
      <c r="DQ179" s="436"/>
      <c r="DR179" s="436"/>
      <c r="DS179" s="436"/>
      <c r="DT179" s="436"/>
      <c r="DU179" s="436"/>
      <c r="DV179" s="436"/>
      <c r="DW179" s="436"/>
      <c r="DX179" s="436"/>
      <c r="DY179" s="436"/>
      <c r="DZ179" s="436"/>
      <c r="EA179" s="440"/>
      <c r="EB179" s="439"/>
      <c r="EC179" s="436"/>
      <c r="ED179" s="436"/>
      <c r="EE179" s="436"/>
      <c r="EF179" s="436"/>
      <c r="EG179" s="436"/>
      <c r="EH179" s="436"/>
      <c r="EI179" s="436"/>
      <c r="EJ179" s="436"/>
      <c r="EK179" s="436"/>
      <c r="EL179" s="436"/>
      <c r="EM179" s="436"/>
      <c r="EN179" s="436"/>
      <c r="EO179" s="436"/>
      <c r="EP179" s="436"/>
      <c r="EQ179" s="436"/>
      <c r="ER179" s="436"/>
      <c r="ES179" s="436"/>
      <c r="ET179" s="436"/>
      <c r="EU179" s="436"/>
      <c r="EV179" s="436"/>
      <c r="EW179" s="436"/>
      <c r="EX179" s="436"/>
      <c r="EY179" s="436"/>
      <c r="EZ179" s="440"/>
      <c r="FZ179" s="439"/>
      <c r="GA179" s="436"/>
      <c r="GB179" s="436"/>
      <c r="GC179" s="436"/>
      <c r="GD179" s="436"/>
      <c r="GE179" s="436"/>
      <c r="GF179" s="436"/>
      <c r="GG179" s="436"/>
      <c r="GH179" s="436"/>
      <c r="GI179" s="436"/>
      <c r="GJ179" s="436"/>
      <c r="GK179" s="436"/>
      <c r="GL179" s="436"/>
      <c r="GM179" s="436"/>
      <c r="GN179" s="436"/>
      <c r="GO179" s="436"/>
      <c r="GP179" s="436"/>
      <c r="GQ179" s="436"/>
      <c r="GR179" s="436"/>
      <c r="GS179" s="436"/>
      <c r="GT179" s="436"/>
      <c r="GU179" s="436"/>
      <c r="GV179" s="436"/>
      <c r="GW179" s="436"/>
      <c r="GX179" s="440"/>
      <c r="GY179" s="439"/>
      <c r="GZ179" s="436"/>
      <c r="HA179" s="436"/>
      <c r="HB179" s="436"/>
      <c r="HC179" s="436"/>
      <c r="HD179" s="436"/>
      <c r="HE179" s="436"/>
      <c r="HF179" s="436"/>
      <c r="HG179" s="436"/>
      <c r="HH179" s="436"/>
      <c r="HI179" s="436"/>
      <c r="HJ179" s="436"/>
      <c r="HK179" s="436"/>
      <c r="HL179" s="436"/>
      <c r="HM179" s="436"/>
      <c r="HN179" s="436"/>
      <c r="HO179" s="436"/>
      <c r="HP179" s="436"/>
      <c r="HQ179" s="436"/>
      <c r="HR179" s="436"/>
      <c r="HS179" s="436"/>
      <c r="HT179" s="436"/>
      <c r="HU179" s="436"/>
      <c r="HV179" s="436"/>
      <c r="HW179" s="440"/>
    </row>
    <row r="180" spans="107:231" ht="24" customHeight="1">
      <c r="DC180" s="439"/>
      <c r="DD180" s="436"/>
      <c r="DE180" s="436"/>
      <c r="DF180" s="436"/>
      <c r="DG180" s="436"/>
      <c r="DH180" s="436"/>
      <c r="DI180" s="436"/>
      <c r="DJ180" s="436"/>
      <c r="DK180" s="436"/>
      <c r="DL180" s="436"/>
      <c r="DM180" s="436"/>
      <c r="DN180" s="436"/>
      <c r="DO180" s="436"/>
      <c r="DP180" s="436"/>
      <c r="DQ180" s="436"/>
      <c r="DR180" s="436"/>
      <c r="DS180" s="436"/>
      <c r="DT180" s="436"/>
      <c r="DU180" s="436"/>
      <c r="DV180" s="436"/>
      <c r="DW180" s="436"/>
      <c r="DX180" s="436"/>
      <c r="DY180" s="436"/>
      <c r="DZ180" s="436"/>
      <c r="EA180" s="440"/>
      <c r="EB180" s="439"/>
      <c r="EC180" s="436"/>
      <c r="ED180" s="436"/>
      <c r="EE180" s="436"/>
      <c r="EF180" s="436"/>
      <c r="EG180" s="436"/>
      <c r="EH180" s="436"/>
      <c r="EI180" s="436"/>
      <c r="EJ180" s="436"/>
      <c r="EK180" s="436"/>
      <c r="EL180" s="436"/>
      <c r="EM180" s="436"/>
      <c r="EN180" s="436"/>
      <c r="EO180" s="436"/>
      <c r="EP180" s="436"/>
      <c r="EQ180" s="436"/>
      <c r="ER180" s="436"/>
      <c r="ES180" s="436"/>
      <c r="ET180" s="436"/>
      <c r="EU180" s="436"/>
      <c r="EV180" s="436"/>
      <c r="EW180" s="436"/>
      <c r="EX180" s="436"/>
      <c r="EY180" s="436"/>
      <c r="EZ180" s="440"/>
      <c r="FZ180" s="439"/>
      <c r="GA180" s="436"/>
      <c r="GB180" s="436"/>
      <c r="GC180" s="436"/>
      <c r="GD180" s="436"/>
      <c r="GE180" s="436"/>
      <c r="GF180" s="436"/>
      <c r="GG180" s="436"/>
      <c r="GH180" s="436"/>
      <c r="GI180" s="436"/>
      <c r="GJ180" s="436"/>
      <c r="GK180" s="436"/>
      <c r="GL180" s="436"/>
      <c r="GM180" s="436"/>
      <c r="GN180" s="436"/>
      <c r="GO180" s="436"/>
      <c r="GP180" s="436"/>
      <c r="GQ180" s="436"/>
      <c r="GR180" s="436"/>
      <c r="GS180" s="436"/>
      <c r="GT180" s="436"/>
      <c r="GU180" s="436"/>
      <c r="GV180" s="436"/>
      <c r="GW180" s="436"/>
      <c r="GX180" s="440"/>
      <c r="GY180" s="439"/>
      <c r="GZ180" s="436"/>
      <c r="HA180" s="436"/>
      <c r="HB180" s="436"/>
      <c r="HC180" s="436"/>
      <c r="HD180" s="436"/>
      <c r="HE180" s="436"/>
      <c r="HF180" s="436"/>
      <c r="HG180" s="436"/>
      <c r="HH180" s="436"/>
      <c r="HI180" s="436"/>
      <c r="HJ180" s="436"/>
      <c r="HK180" s="436"/>
      <c r="HL180" s="436"/>
      <c r="HM180" s="436"/>
      <c r="HN180" s="436"/>
      <c r="HO180" s="436"/>
      <c r="HP180" s="436"/>
      <c r="HQ180" s="436"/>
      <c r="HR180" s="436"/>
      <c r="HS180" s="436"/>
      <c r="HT180" s="436"/>
      <c r="HU180" s="436"/>
      <c r="HV180" s="436"/>
      <c r="HW180" s="440"/>
    </row>
    <row r="181" spans="107:231" ht="24" customHeight="1">
      <c r="DC181" s="439"/>
      <c r="DD181" s="436"/>
      <c r="DE181" s="436"/>
      <c r="DF181" s="436"/>
      <c r="DG181" s="436"/>
      <c r="DH181" s="436"/>
      <c r="DI181" s="436"/>
      <c r="DJ181" s="436"/>
      <c r="DK181" s="436"/>
      <c r="DL181" s="436"/>
      <c r="DM181" s="436"/>
      <c r="DN181" s="436"/>
      <c r="DO181" s="436"/>
      <c r="DP181" s="436"/>
      <c r="DQ181" s="436"/>
      <c r="DR181" s="436"/>
      <c r="DS181" s="436"/>
      <c r="DT181" s="436"/>
      <c r="DU181" s="436"/>
      <c r="DV181" s="436"/>
      <c r="DW181" s="436"/>
      <c r="DX181" s="436"/>
      <c r="DY181" s="436"/>
      <c r="DZ181" s="436"/>
      <c r="EA181" s="440"/>
      <c r="EB181" s="439"/>
      <c r="EC181" s="436"/>
      <c r="ED181" s="436"/>
      <c r="EE181" s="436"/>
      <c r="EF181" s="436"/>
      <c r="EG181" s="436"/>
      <c r="EH181" s="436"/>
      <c r="EI181" s="436"/>
      <c r="EJ181" s="436"/>
      <c r="EK181" s="436"/>
      <c r="EL181" s="436"/>
      <c r="EM181" s="436"/>
      <c r="EN181" s="436"/>
      <c r="EO181" s="436"/>
      <c r="EP181" s="436"/>
      <c r="EQ181" s="436"/>
      <c r="ER181" s="436"/>
      <c r="ES181" s="436"/>
      <c r="ET181" s="436"/>
      <c r="EU181" s="436"/>
      <c r="EV181" s="436"/>
      <c r="EW181" s="436"/>
      <c r="EX181" s="436"/>
      <c r="EY181" s="436"/>
      <c r="EZ181" s="440"/>
      <c r="FZ181" s="439"/>
      <c r="GA181" s="436"/>
      <c r="GB181" s="436"/>
      <c r="GC181" s="436"/>
      <c r="GD181" s="436"/>
      <c r="GE181" s="436"/>
      <c r="GF181" s="436"/>
      <c r="GG181" s="436"/>
      <c r="GH181" s="436"/>
      <c r="GI181" s="436"/>
      <c r="GJ181" s="436"/>
      <c r="GK181" s="436"/>
      <c r="GL181" s="436"/>
      <c r="GM181" s="436"/>
      <c r="GN181" s="436"/>
      <c r="GO181" s="436"/>
      <c r="GP181" s="436"/>
      <c r="GQ181" s="436"/>
      <c r="GR181" s="436"/>
      <c r="GS181" s="436"/>
      <c r="GT181" s="436"/>
      <c r="GU181" s="436"/>
      <c r="GV181" s="436"/>
      <c r="GW181" s="436"/>
      <c r="GX181" s="440"/>
      <c r="GY181" s="439"/>
      <c r="GZ181" s="436"/>
      <c r="HA181" s="436"/>
      <c r="HB181" s="436"/>
      <c r="HC181" s="436"/>
      <c r="HD181" s="436"/>
      <c r="HE181" s="436"/>
      <c r="HF181" s="436"/>
      <c r="HG181" s="436"/>
      <c r="HH181" s="436"/>
      <c r="HI181" s="436"/>
      <c r="HJ181" s="436"/>
      <c r="HK181" s="436"/>
      <c r="HL181" s="436"/>
      <c r="HM181" s="436"/>
      <c r="HN181" s="436"/>
      <c r="HO181" s="436"/>
      <c r="HP181" s="436"/>
      <c r="HQ181" s="436"/>
      <c r="HR181" s="436"/>
      <c r="HS181" s="436"/>
      <c r="HT181" s="436"/>
      <c r="HU181" s="436"/>
      <c r="HV181" s="436"/>
      <c r="HW181" s="440"/>
    </row>
    <row r="182" spans="107:231" ht="24" customHeight="1">
      <c r="DC182" s="439"/>
      <c r="DD182" s="436"/>
      <c r="DE182" s="436"/>
      <c r="DF182" s="436"/>
      <c r="DG182" s="436"/>
      <c r="DH182" s="436"/>
      <c r="DI182" s="436"/>
      <c r="DJ182" s="436"/>
      <c r="DK182" s="436"/>
      <c r="DL182" s="436"/>
      <c r="DM182" s="436"/>
      <c r="DN182" s="436"/>
      <c r="DO182" s="436"/>
      <c r="DP182" s="436"/>
      <c r="DQ182" s="436"/>
      <c r="DR182" s="436"/>
      <c r="DS182" s="436"/>
      <c r="DT182" s="436"/>
      <c r="DU182" s="436"/>
      <c r="DV182" s="436"/>
      <c r="DW182" s="436"/>
      <c r="DX182" s="436"/>
      <c r="DY182" s="436"/>
      <c r="DZ182" s="436"/>
      <c r="EA182" s="440"/>
      <c r="EB182" s="439"/>
      <c r="EC182" s="436"/>
      <c r="ED182" s="436"/>
      <c r="EE182" s="436"/>
      <c r="EF182" s="436"/>
      <c r="EG182" s="436"/>
      <c r="EH182" s="436"/>
      <c r="EI182" s="436"/>
      <c r="EJ182" s="436"/>
      <c r="EK182" s="436"/>
      <c r="EL182" s="436"/>
      <c r="EM182" s="436"/>
      <c r="EN182" s="436"/>
      <c r="EO182" s="436"/>
      <c r="EP182" s="436"/>
      <c r="EQ182" s="436"/>
      <c r="ER182" s="436"/>
      <c r="ES182" s="436"/>
      <c r="ET182" s="436"/>
      <c r="EU182" s="436"/>
      <c r="EV182" s="436"/>
      <c r="EW182" s="436"/>
      <c r="EX182" s="436"/>
      <c r="EY182" s="436"/>
      <c r="EZ182" s="440"/>
      <c r="FZ182" s="439"/>
      <c r="GA182" s="436"/>
      <c r="GB182" s="436"/>
      <c r="GC182" s="436"/>
      <c r="GD182" s="436"/>
      <c r="GE182" s="436"/>
      <c r="GF182" s="436"/>
      <c r="GG182" s="436"/>
      <c r="GH182" s="436"/>
      <c r="GI182" s="436"/>
      <c r="GJ182" s="436"/>
      <c r="GK182" s="436"/>
      <c r="GL182" s="436"/>
      <c r="GM182" s="436"/>
      <c r="GN182" s="436"/>
      <c r="GO182" s="436"/>
      <c r="GP182" s="436"/>
      <c r="GQ182" s="436"/>
      <c r="GR182" s="436"/>
      <c r="GS182" s="436"/>
      <c r="GT182" s="436"/>
      <c r="GU182" s="436"/>
      <c r="GV182" s="436"/>
      <c r="GW182" s="436"/>
      <c r="GX182" s="440"/>
      <c r="GY182" s="439"/>
      <c r="GZ182" s="436"/>
      <c r="HA182" s="436"/>
      <c r="HB182" s="436"/>
      <c r="HC182" s="436"/>
      <c r="HD182" s="436"/>
      <c r="HE182" s="436"/>
      <c r="HF182" s="436"/>
      <c r="HG182" s="436"/>
      <c r="HH182" s="436"/>
      <c r="HI182" s="436"/>
      <c r="HJ182" s="436"/>
      <c r="HK182" s="436"/>
      <c r="HL182" s="436"/>
      <c r="HM182" s="436"/>
      <c r="HN182" s="436"/>
      <c r="HO182" s="436"/>
      <c r="HP182" s="436"/>
      <c r="HQ182" s="436"/>
      <c r="HR182" s="436"/>
      <c r="HS182" s="436"/>
      <c r="HT182" s="436"/>
      <c r="HU182" s="436"/>
      <c r="HV182" s="436"/>
      <c r="HW182" s="440"/>
    </row>
    <row r="183" spans="107:231" ht="24" customHeight="1">
      <c r="DC183" s="439"/>
      <c r="DD183" s="436"/>
      <c r="DE183" s="436"/>
      <c r="DF183" s="436"/>
      <c r="DG183" s="436"/>
      <c r="DH183" s="436"/>
      <c r="DI183" s="436"/>
      <c r="DJ183" s="436"/>
      <c r="DK183" s="436"/>
      <c r="DL183" s="436"/>
      <c r="DM183" s="436"/>
      <c r="DN183" s="436"/>
      <c r="DO183" s="436"/>
      <c r="DP183" s="436"/>
      <c r="DQ183" s="436"/>
      <c r="DR183" s="436"/>
      <c r="DS183" s="436"/>
      <c r="DT183" s="436"/>
      <c r="DU183" s="436"/>
      <c r="DV183" s="436"/>
      <c r="DW183" s="436"/>
      <c r="DX183" s="436"/>
      <c r="DY183" s="436"/>
      <c r="DZ183" s="436"/>
      <c r="EA183" s="440"/>
      <c r="EB183" s="439"/>
      <c r="EC183" s="436"/>
      <c r="ED183" s="436"/>
      <c r="EE183" s="436"/>
      <c r="EF183" s="436"/>
      <c r="EG183" s="436"/>
      <c r="EH183" s="436"/>
      <c r="EI183" s="436"/>
      <c r="EJ183" s="436"/>
      <c r="EK183" s="436"/>
      <c r="EL183" s="436"/>
      <c r="EM183" s="436"/>
      <c r="EN183" s="436"/>
      <c r="EO183" s="436"/>
      <c r="EP183" s="436"/>
      <c r="EQ183" s="436"/>
      <c r="ER183" s="436"/>
      <c r="ES183" s="436"/>
      <c r="ET183" s="436"/>
      <c r="EU183" s="436"/>
      <c r="EV183" s="436"/>
      <c r="EW183" s="436"/>
      <c r="EX183" s="436"/>
      <c r="EY183" s="436"/>
      <c r="EZ183" s="440"/>
      <c r="FZ183" s="439"/>
      <c r="GA183" s="436"/>
      <c r="GB183" s="436"/>
      <c r="GC183" s="436"/>
      <c r="GD183" s="436"/>
      <c r="GE183" s="436"/>
      <c r="GF183" s="436"/>
      <c r="GG183" s="436"/>
      <c r="GH183" s="436"/>
      <c r="GI183" s="436"/>
      <c r="GJ183" s="436"/>
      <c r="GK183" s="436"/>
      <c r="GL183" s="436"/>
      <c r="GM183" s="436"/>
      <c r="GN183" s="436"/>
      <c r="GO183" s="436"/>
      <c r="GP183" s="436"/>
      <c r="GQ183" s="436"/>
      <c r="GR183" s="436"/>
      <c r="GS183" s="436"/>
      <c r="GT183" s="436"/>
      <c r="GU183" s="436"/>
      <c r="GV183" s="436"/>
      <c r="GW183" s="436"/>
      <c r="GX183" s="440"/>
      <c r="GY183" s="439"/>
      <c r="GZ183" s="436"/>
      <c r="HA183" s="436"/>
      <c r="HB183" s="436"/>
      <c r="HC183" s="436"/>
      <c r="HD183" s="436"/>
      <c r="HE183" s="436"/>
      <c r="HF183" s="436"/>
      <c r="HG183" s="436"/>
      <c r="HH183" s="436"/>
      <c r="HI183" s="436"/>
      <c r="HJ183" s="436"/>
      <c r="HK183" s="436"/>
      <c r="HL183" s="436"/>
      <c r="HM183" s="436"/>
      <c r="HN183" s="436"/>
      <c r="HO183" s="436"/>
      <c r="HP183" s="436"/>
      <c r="HQ183" s="436"/>
      <c r="HR183" s="436"/>
      <c r="HS183" s="436"/>
      <c r="HT183" s="436"/>
      <c r="HU183" s="436"/>
      <c r="HV183" s="436"/>
      <c r="HW183" s="440"/>
    </row>
    <row r="184" spans="107:231" ht="24" customHeight="1">
      <c r="DC184" s="439"/>
      <c r="DD184" s="436"/>
      <c r="DE184" s="436"/>
      <c r="DF184" s="436"/>
      <c r="DG184" s="436"/>
      <c r="DH184" s="436"/>
      <c r="DI184" s="436"/>
      <c r="DJ184" s="436"/>
      <c r="DK184" s="436"/>
      <c r="DL184" s="436"/>
      <c r="DM184" s="436"/>
      <c r="DN184" s="436"/>
      <c r="DO184" s="436"/>
      <c r="DP184" s="436"/>
      <c r="DQ184" s="436"/>
      <c r="DR184" s="436"/>
      <c r="DS184" s="436"/>
      <c r="DT184" s="436"/>
      <c r="DU184" s="436"/>
      <c r="DV184" s="436"/>
      <c r="DW184" s="436"/>
      <c r="DX184" s="436"/>
      <c r="DY184" s="436"/>
      <c r="DZ184" s="436"/>
      <c r="EA184" s="440"/>
      <c r="EB184" s="439"/>
      <c r="EC184" s="436"/>
      <c r="ED184" s="436"/>
      <c r="EE184" s="436"/>
      <c r="EF184" s="436"/>
      <c r="EG184" s="436"/>
      <c r="EH184" s="436"/>
      <c r="EI184" s="436"/>
      <c r="EJ184" s="436"/>
      <c r="EK184" s="436"/>
      <c r="EL184" s="436"/>
      <c r="EM184" s="436"/>
      <c r="EN184" s="436"/>
      <c r="EO184" s="436"/>
      <c r="EP184" s="436"/>
      <c r="EQ184" s="436"/>
      <c r="ER184" s="436"/>
      <c r="ES184" s="436"/>
      <c r="ET184" s="436"/>
      <c r="EU184" s="436"/>
      <c r="EV184" s="436"/>
      <c r="EW184" s="436"/>
      <c r="EX184" s="436"/>
      <c r="EY184" s="436"/>
      <c r="EZ184" s="440"/>
      <c r="FZ184" s="439"/>
      <c r="GA184" s="436"/>
      <c r="GB184" s="436"/>
      <c r="GC184" s="436"/>
      <c r="GD184" s="436"/>
      <c r="GE184" s="436"/>
      <c r="GF184" s="436"/>
      <c r="GG184" s="436"/>
      <c r="GH184" s="436"/>
      <c r="GI184" s="436"/>
      <c r="GJ184" s="436"/>
      <c r="GK184" s="436"/>
      <c r="GL184" s="436"/>
      <c r="GM184" s="436"/>
      <c r="GN184" s="436"/>
      <c r="GO184" s="436"/>
      <c r="GP184" s="436"/>
      <c r="GQ184" s="436"/>
      <c r="GR184" s="436"/>
      <c r="GS184" s="436"/>
      <c r="GT184" s="436"/>
      <c r="GU184" s="436"/>
      <c r="GV184" s="436"/>
      <c r="GW184" s="436"/>
      <c r="GX184" s="440"/>
      <c r="GY184" s="439"/>
      <c r="GZ184" s="436"/>
      <c r="HA184" s="436"/>
      <c r="HB184" s="436"/>
      <c r="HC184" s="436"/>
      <c r="HD184" s="436"/>
      <c r="HE184" s="436"/>
      <c r="HF184" s="436"/>
      <c r="HG184" s="436"/>
      <c r="HH184" s="436"/>
      <c r="HI184" s="436"/>
      <c r="HJ184" s="436"/>
      <c r="HK184" s="436"/>
      <c r="HL184" s="436"/>
      <c r="HM184" s="436"/>
      <c r="HN184" s="436"/>
      <c r="HO184" s="436"/>
      <c r="HP184" s="436"/>
      <c r="HQ184" s="436"/>
      <c r="HR184" s="436"/>
      <c r="HS184" s="436"/>
      <c r="HT184" s="436"/>
      <c r="HU184" s="436"/>
      <c r="HV184" s="436"/>
      <c r="HW184" s="440"/>
    </row>
    <row r="185" spans="107:231" ht="24" customHeight="1">
      <c r="DC185" s="439"/>
      <c r="DD185" s="436"/>
      <c r="DE185" s="436"/>
      <c r="DF185" s="436"/>
      <c r="DG185" s="436"/>
      <c r="DH185" s="436"/>
      <c r="DI185" s="436"/>
      <c r="DJ185" s="436"/>
      <c r="DK185" s="436"/>
      <c r="DL185" s="436"/>
      <c r="DM185" s="436"/>
      <c r="DN185" s="436"/>
      <c r="DO185" s="436"/>
      <c r="DP185" s="436"/>
      <c r="DQ185" s="436"/>
      <c r="DR185" s="436"/>
      <c r="DS185" s="436"/>
      <c r="DT185" s="436"/>
      <c r="DU185" s="436"/>
      <c r="DV185" s="436"/>
      <c r="DW185" s="436"/>
      <c r="DX185" s="436"/>
      <c r="DY185" s="436"/>
      <c r="DZ185" s="436"/>
      <c r="EA185" s="440"/>
      <c r="EB185" s="439"/>
      <c r="EC185" s="436"/>
      <c r="ED185" s="436"/>
      <c r="EE185" s="436"/>
      <c r="EF185" s="436"/>
      <c r="EG185" s="436"/>
      <c r="EH185" s="436"/>
      <c r="EI185" s="436"/>
      <c r="EJ185" s="436"/>
      <c r="EK185" s="436"/>
      <c r="EL185" s="436"/>
      <c r="EM185" s="436"/>
      <c r="EN185" s="436"/>
      <c r="EO185" s="436"/>
      <c r="EP185" s="436"/>
      <c r="EQ185" s="436"/>
      <c r="ER185" s="436"/>
      <c r="ES185" s="436"/>
      <c r="ET185" s="436"/>
      <c r="EU185" s="436"/>
      <c r="EV185" s="436"/>
      <c r="EW185" s="436"/>
      <c r="EX185" s="436"/>
      <c r="EY185" s="436"/>
      <c r="EZ185" s="440"/>
      <c r="FZ185" s="439"/>
      <c r="GA185" s="436"/>
      <c r="GB185" s="436"/>
      <c r="GC185" s="436"/>
      <c r="GD185" s="436"/>
      <c r="GE185" s="436"/>
      <c r="GF185" s="436"/>
      <c r="GG185" s="436"/>
      <c r="GH185" s="436"/>
      <c r="GI185" s="436"/>
      <c r="GJ185" s="436"/>
      <c r="GK185" s="436"/>
      <c r="GL185" s="436"/>
      <c r="GM185" s="436"/>
      <c r="GN185" s="436"/>
      <c r="GO185" s="436"/>
      <c r="GP185" s="436"/>
      <c r="GQ185" s="436"/>
      <c r="GR185" s="436"/>
      <c r="GS185" s="436"/>
      <c r="GT185" s="436"/>
      <c r="GU185" s="436"/>
      <c r="GV185" s="436"/>
      <c r="GW185" s="436"/>
      <c r="GX185" s="440"/>
      <c r="GY185" s="439"/>
      <c r="GZ185" s="436"/>
      <c r="HA185" s="436"/>
      <c r="HB185" s="436"/>
      <c r="HC185" s="436"/>
      <c r="HD185" s="436"/>
      <c r="HE185" s="436"/>
      <c r="HF185" s="436"/>
      <c r="HG185" s="436"/>
      <c r="HH185" s="436"/>
      <c r="HI185" s="436"/>
      <c r="HJ185" s="436"/>
      <c r="HK185" s="436"/>
      <c r="HL185" s="436"/>
      <c r="HM185" s="436"/>
      <c r="HN185" s="436"/>
      <c r="HO185" s="436"/>
      <c r="HP185" s="436"/>
      <c r="HQ185" s="436"/>
      <c r="HR185" s="436"/>
      <c r="HS185" s="436"/>
      <c r="HT185" s="436"/>
      <c r="HU185" s="436"/>
      <c r="HV185" s="436"/>
      <c r="HW185" s="440"/>
    </row>
    <row r="186" spans="107:231" ht="24" customHeight="1">
      <c r="DC186" s="439"/>
      <c r="DD186" s="436"/>
      <c r="DE186" s="436"/>
      <c r="DF186" s="436"/>
      <c r="DG186" s="436"/>
      <c r="DH186" s="436"/>
      <c r="DI186" s="436"/>
      <c r="DJ186" s="436"/>
      <c r="DK186" s="436"/>
      <c r="DL186" s="436"/>
      <c r="DM186" s="436"/>
      <c r="DN186" s="436"/>
      <c r="DO186" s="436"/>
      <c r="DP186" s="436"/>
      <c r="DQ186" s="436"/>
      <c r="DR186" s="436"/>
      <c r="DS186" s="436"/>
      <c r="DT186" s="436"/>
      <c r="DU186" s="436"/>
      <c r="DV186" s="436"/>
      <c r="DW186" s="436"/>
      <c r="DX186" s="436"/>
      <c r="DY186" s="436"/>
      <c r="DZ186" s="436"/>
      <c r="EA186" s="440"/>
      <c r="EB186" s="439"/>
      <c r="EC186" s="436"/>
      <c r="ED186" s="436"/>
      <c r="EE186" s="436"/>
      <c r="EF186" s="436"/>
      <c r="EG186" s="436"/>
      <c r="EH186" s="436"/>
      <c r="EI186" s="436"/>
      <c r="EJ186" s="436"/>
      <c r="EK186" s="436"/>
      <c r="EL186" s="436"/>
      <c r="EM186" s="436"/>
      <c r="EN186" s="436"/>
      <c r="EO186" s="436"/>
      <c r="EP186" s="436"/>
      <c r="EQ186" s="436"/>
      <c r="ER186" s="436"/>
      <c r="ES186" s="436"/>
      <c r="ET186" s="436"/>
      <c r="EU186" s="436"/>
      <c r="EV186" s="436"/>
      <c r="EW186" s="436"/>
      <c r="EX186" s="436"/>
      <c r="EY186" s="436"/>
      <c r="EZ186" s="440"/>
      <c r="FZ186" s="439"/>
      <c r="GA186" s="436"/>
      <c r="GB186" s="436"/>
      <c r="GC186" s="436"/>
      <c r="GD186" s="436"/>
      <c r="GE186" s="436"/>
      <c r="GF186" s="436"/>
      <c r="GG186" s="436"/>
      <c r="GH186" s="436"/>
      <c r="GI186" s="436"/>
      <c r="GJ186" s="436"/>
      <c r="GK186" s="436"/>
      <c r="GL186" s="436"/>
      <c r="GM186" s="436"/>
      <c r="GN186" s="436"/>
      <c r="GO186" s="436"/>
      <c r="GP186" s="436"/>
      <c r="GQ186" s="436"/>
      <c r="GR186" s="436"/>
      <c r="GS186" s="436"/>
      <c r="GT186" s="436"/>
      <c r="GU186" s="436"/>
      <c r="GV186" s="436"/>
      <c r="GW186" s="436"/>
      <c r="GX186" s="440"/>
      <c r="GY186" s="439"/>
      <c r="GZ186" s="436"/>
      <c r="HA186" s="436"/>
      <c r="HB186" s="436"/>
      <c r="HC186" s="436"/>
      <c r="HD186" s="436"/>
      <c r="HE186" s="436"/>
      <c r="HF186" s="436"/>
      <c r="HG186" s="436"/>
      <c r="HH186" s="436"/>
      <c r="HI186" s="436"/>
      <c r="HJ186" s="436"/>
      <c r="HK186" s="436"/>
      <c r="HL186" s="436"/>
      <c r="HM186" s="436"/>
      <c r="HN186" s="436"/>
      <c r="HO186" s="436"/>
      <c r="HP186" s="436"/>
      <c r="HQ186" s="436"/>
      <c r="HR186" s="436"/>
      <c r="HS186" s="436"/>
      <c r="HT186" s="436"/>
      <c r="HU186" s="436"/>
      <c r="HV186" s="436"/>
      <c r="HW186" s="440"/>
    </row>
    <row r="187" spans="107:231" ht="24" customHeight="1">
      <c r="DC187" s="439"/>
      <c r="DD187" s="436"/>
      <c r="DE187" s="436"/>
      <c r="DF187" s="436"/>
      <c r="DG187" s="436"/>
      <c r="DH187" s="436"/>
      <c r="DI187" s="436"/>
      <c r="DJ187" s="436"/>
      <c r="DK187" s="436"/>
      <c r="DL187" s="436"/>
      <c r="DM187" s="436"/>
      <c r="DN187" s="436"/>
      <c r="DO187" s="436"/>
      <c r="DP187" s="436"/>
      <c r="DQ187" s="436"/>
      <c r="DR187" s="436"/>
      <c r="DS187" s="436"/>
      <c r="DT187" s="436"/>
      <c r="DU187" s="436"/>
      <c r="DV187" s="436"/>
      <c r="DW187" s="436"/>
      <c r="DX187" s="436"/>
      <c r="DY187" s="436"/>
      <c r="DZ187" s="436"/>
      <c r="EA187" s="440"/>
      <c r="EB187" s="439"/>
      <c r="EC187" s="436"/>
      <c r="ED187" s="436"/>
      <c r="EE187" s="436"/>
      <c r="EF187" s="436"/>
      <c r="EG187" s="436"/>
      <c r="EH187" s="436"/>
      <c r="EI187" s="436"/>
      <c r="EJ187" s="436"/>
      <c r="EK187" s="436"/>
      <c r="EL187" s="436"/>
      <c r="EM187" s="436"/>
      <c r="EN187" s="436"/>
      <c r="EO187" s="436"/>
      <c r="EP187" s="436"/>
      <c r="EQ187" s="436"/>
      <c r="ER187" s="436"/>
      <c r="ES187" s="436"/>
      <c r="ET187" s="436"/>
      <c r="EU187" s="436"/>
      <c r="EV187" s="436"/>
      <c r="EW187" s="436"/>
      <c r="EX187" s="436"/>
      <c r="EY187" s="436"/>
      <c r="EZ187" s="440"/>
      <c r="FZ187" s="439"/>
      <c r="GA187" s="436"/>
      <c r="GB187" s="436"/>
      <c r="GC187" s="436"/>
      <c r="GD187" s="436"/>
      <c r="GE187" s="436"/>
      <c r="GF187" s="436"/>
      <c r="GG187" s="436"/>
      <c r="GH187" s="436"/>
      <c r="GI187" s="436"/>
      <c r="GJ187" s="436"/>
      <c r="GK187" s="436"/>
      <c r="GL187" s="436"/>
      <c r="GM187" s="436"/>
      <c r="GN187" s="436"/>
      <c r="GO187" s="436"/>
      <c r="GP187" s="436"/>
      <c r="GQ187" s="436"/>
      <c r="GR187" s="436"/>
      <c r="GS187" s="436"/>
      <c r="GT187" s="436"/>
      <c r="GU187" s="436"/>
      <c r="GV187" s="436"/>
      <c r="GW187" s="436"/>
      <c r="GX187" s="440"/>
      <c r="GY187" s="439"/>
      <c r="GZ187" s="436"/>
      <c r="HA187" s="436"/>
      <c r="HB187" s="436"/>
      <c r="HC187" s="436"/>
      <c r="HD187" s="436"/>
      <c r="HE187" s="436"/>
      <c r="HF187" s="436"/>
      <c r="HG187" s="436"/>
      <c r="HH187" s="436"/>
      <c r="HI187" s="436"/>
      <c r="HJ187" s="436"/>
      <c r="HK187" s="436"/>
      <c r="HL187" s="436"/>
      <c r="HM187" s="436"/>
      <c r="HN187" s="436"/>
      <c r="HO187" s="436"/>
      <c r="HP187" s="436"/>
      <c r="HQ187" s="436"/>
      <c r="HR187" s="436"/>
      <c r="HS187" s="436"/>
      <c r="HT187" s="436"/>
      <c r="HU187" s="436"/>
      <c r="HV187" s="436"/>
      <c r="HW187" s="440"/>
    </row>
    <row r="188" spans="107:231" ht="24" customHeight="1">
      <c r="DC188" s="439"/>
      <c r="DD188" s="436"/>
      <c r="DE188" s="436"/>
      <c r="DF188" s="436"/>
      <c r="DG188" s="436"/>
      <c r="DH188" s="436"/>
      <c r="DI188" s="436"/>
      <c r="DJ188" s="436"/>
      <c r="DK188" s="436"/>
      <c r="DL188" s="436"/>
      <c r="DM188" s="436"/>
      <c r="DN188" s="436"/>
      <c r="DO188" s="436"/>
      <c r="DP188" s="436"/>
      <c r="DQ188" s="436"/>
      <c r="DR188" s="436"/>
      <c r="DS188" s="436"/>
      <c r="DT188" s="436"/>
      <c r="DU188" s="436"/>
      <c r="DV188" s="436"/>
      <c r="DW188" s="436"/>
      <c r="DX188" s="436"/>
      <c r="DY188" s="436"/>
      <c r="DZ188" s="436"/>
      <c r="EA188" s="440"/>
      <c r="EB188" s="439"/>
      <c r="EC188" s="436"/>
      <c r="ED188" s="436"/>
      <c r="EE188" s="436"/>
      <c r="EF188" s="436"/>
      <c r="EG188" s="436"/>
      <c r="EH188" s="436"/>
      <c r="EI188" s="436"/>
      <c r="EJ188" s="436"/>
      <c r="EK188" s="436"/>
      <c r="EL188" s="436"/>
      <c r="EM188" s="436"/>
      <c r="EN188" s="436"/>
      <c r="EO188" s="436"/>
      <c r="EP188" s="436"/>
      <c r="EQ188" s="436"/>
      <c r="ER188" s="436"/>
      <c r="ES188" s="436"/>
      <c r="ET188" s="436"/>
      <c r="EU188" s="436"/>
      <c r="EV188" s="436"/>
      <c r="EW188" s="436"/>
      <c r="EX188" s="436"/>
      <c r="EY188" s="436"/>
      <c r="EZ188" s="440"/>
      <c r="FZ188" s="439"/>
      <c r="GA188" s="436"/>
      <c r="GB188" s="436"/>
      <c r="GC188" s="436"/>
      <c r="GD188" s="436"/>
      <c r="GE188" s="436"/>
      <c r="GF188" s="436"/>
      <c r="GG188" s="436"/>
      <c r="GH188" s="436"/>
      <c r="GI188" s="436"/>
      <c r="GJ188" s="436"/>
      <c r="GK188" s="436"/>
      <c r="GL188" s="436"/>
      <c r="GM188" s="436"/>
      <c r="GN188" s="436"/>
      <c r="GO188" s="436"/>
      <c r="GP188" s="436"/>
      <c r="GQ188" s="436"/>
      <c r="GR188" s="436"/>
      <c r="GS188" s="436"/>
      <c r="GT188" s="436"/>
      <c r="GU188" s="436"/>
      <c r="GV188" s="436"/>
      <c r="GW188" s="436"/>
      <c r="GX188" s="440"/>
      <c r="GY188" s="439"/>
      <c r="GZ188" s="436"/>
      <c r="HA188" s="436"/>
      <c r="HB188" s="436"/>
      <c r="HC188" s="436"/>
      <c r="HD188" s="436"/>
      <c r="HE188" s="436"/>
      <c r="HF188" s="436"/>
      <c r="HG188" s="436"/>
      <c r="HH188" s="436"/>
      <c r="HI188" s="436"/>
      <c r="HJ188" s="436"/>
      <c r="HK188" s="436"/>
      <c r="HL188" s="436"/>
      <c r="HM188" s="436"/>
      <c r="HN188" s="436"/>
      <c r="HO188" s="436"/>
      <c r="HP188" s="436"/>
      <c r="HQ188" s="436"/>
      <c r="HR188" s="436"/>
      <c r="HS188" s="436"/>
      <c r="HT188" s="436"/>
      <c r="HU188" s="436"/>
      <c r="HV188" s="436"/>
      <c r="HW188" s="440"/>
    </row>
    <row r="189" spans="107:231" ht="24" customHeight="1" thickBot="1">
      <c r="DC189" s="439"/>
      <c r="DD189" s="441"/>
      <c r="DE189" s="441"/>
      <c r="DF189" s="441"/>
      <c r="DG189" s="436"/>
      <c r="DH189" s="436"/>
      <c r="DI189" s="436"/>
      <c r="DJ189" s="436"/>
      <c r="DK189" s="436"/>
      <c r="DL189" s="436"/>
      <c r="DM189" s="436"/>
      <c r="DN189" s="436"/>
      <c r="DO189" s="436"/>
      <c r="DP189" s="436"/>
      <c r="DQ189" s="436"/>
      <c r="DR189" s="436"/>
      <c r="DS189" s="436"/>
      <c r="DT189" s="436"/>
      <c r="DU189" s="436"/>
      <c r="DV189" s="436"/>
      <c r="DW189" s="436"/>
      <c r="DX189" s="436"/>
      <c r="DY189" s="436"/>
      <c r="DZ189" s="436"/>
      <c r="EA189" s="440"/>
      <c r="EB189" s="439"/>
      <c r="EC189" s="441"/>
      <c r="ED189" s="441"/>
      <c r="EE189" s="441"/>
      <c r="EF189" s="436"/>
      <c r="EG189" s="436"/>
      <c r="EH189" s="436"/>
      <c r="EI189" s="436"/>
      <c r="EJ189" s="436"/>
      <c r="EK189" s="436"/>
      <c r="EL189" s="436"/>
      <c r="EM189" s="436"/>
      <c r="EN189" s="436"/>
      <c r="EO189" s="436"/>
      <c r="EP189" s="436"/>
      <c r="EQ189" s="436"/>
      <c r="ER189" s="436"/>
      <c r="ES189" s="436"/>
      <c r="ET189" s="436"/>
      <c r="EU189" s="436"/>
      <c r="EV189" s="436"/>
      <c r="EW189" s="436"/>
      <c r="EX189" s="436"/>
      <c r="EY189" s="436"/>
      <c r="EZ189" s="440"/>
      <c r="FZ189" s="439"/>
      <c r="GA189" s="441"/>
      <c r="GB189" s="441"/>
      <c r="GC189" s="441"/>
      <c r="GD189" s="436"/>
      <c r="GE189" s="436"/>
      <c r="GF189" s="436"/>
      <c r="GG189" s="436"/>
      <c r="GH189" s="436"/>
      <c r="GI189" s="436"/>
      <c r="GJ189" s="436"/>
      <c r="GK189" s="436"/>
      <c r="GL189" s="436"/>
      <c r="GM189" s="436"/>
      <c r="GN189" s="436"/>
      <c r="GO189" s="436"/>
      <c r="GP189" s="436"/>
      <c r="GQ189" s="436"/>
      <c r="GR189" s="436"/>
      <c r="GS189" s="436"/>
      <c r="GT189" s="436"/>
      <c r="GU189" s="436"/>
      <c r="GV189" s="436"/>
      <c r="GW189" s="436"/>
      <c r="GX189" s="440"/>
      <c r="GY189" s="439"/>
      <c r="GZ189" s="441"/>
      <c r="HA189" s="441"/>
      <c r="HB189" s="441"/>
      <c r="HC189" s="436"/>
      <c r="HD189" s="436"/>
      <c r="HE189" s="436"/>
      <c r="HF189" s="436"/>
      <c r="HG189" s="436"/>
      <c r="HH189" s="436"/>
      <c r="HI189" s="436"/>
      <c r="HJ189" s="436"/>
      <c r="HK189" s="436"/>
      <c r="HL189" s="436"/>
      <c r="HM189" s="436"/>
      <c r="HN189" s="436"/>
      <c r="HO189" s="436"/>
      <c r="HP189" s="436"/>
      <c r="HQ189" s="436"/>
      <c r="HR189" s="436"/>
      <c r="HS189" s="436"/>
      <c r="HT189" s="436"/>
      <c r="HU189" s="436"/>
      <c r="HV189" s="436"/>
      <c r="HW189" s="440"/>
    </row>
    <row r="190" spans="107:231" ht="24" customHeight="1" thickBot="1">
      <c r="DC190" s="444"/>
      <c r="DD190" s="1917" t="str">
        <f>'Вывод расчетов'!$CC$9</f>
        <v>Раздел 3</v>
      </c>
      <c r="DE190" s="1915"/>
      <c r="DF190" s="1915"/>
      <c r="DG190" s="445"/>
      <c r="DH190" s="1917" t="str">
        <f>'Вывод расчетов'!$CF$9</f>
        <v>Расчет обмотки статора</v>
      </c>
      <c r="DI190" s="1915"/>
      <c r="DJ190" s="1915"/>
      <c r="DK190" s="1915"/>
      <c r="DL190" s="1915"/>
      <c r="DM190" s="1915"/>
      <c r="DN190" s="1915"/>
      <c r="DO190" s="1915"/>
      <c r="DP190" s="1915"/>
      <c r="DQ190" s="1915"/>
      <c r="DR190" s="1915"/>
      <c r="DS190" s="1918"/>
      <c r="DT190" s="445"/>
      <c r="DU190" s="1917" t="s">
        <v>1502</v>
      </c>
      <c r="DV190" s="1915"/>
      <c r="DW190" s="1918"/>
      <c r="DX190" s="445"/>
      <c r="DY190" s="1917">
        <v>11</v>
      </c>
      <c r="DZ190" s="1918"/>
      <c r="EA190" s="446"/>
      <c r="EB190" s="444"/>
      <c r="EC190" s="1917" t="str">
        <f>'Вывод расчетов'!$CC$9</f>
        <v>Раздел 3</v>
      </c>
      <c r="ED190" s="1915"/>
      <c r="EE190" s="1915"/>
      <c r="EF190" s="445"/>
      <c r="EG190" s="1917" t="str">
        <f>'Вывод расчетов'!$CF$9</f>
        <v>Расчет обмотки статора</v>
      </c>
      <c r="EH190" s="1915"/>
      <c r="EI190" s="1915"/>
      <c r="EJ190" s="1915"/>
      <c r="EK190" s="1915"/>
      <c r="EL190" s="1915"/>
      <c r="EM190" s="1915"/>
      <c r="EN190" s="1915"/>
      <c r="EO190" s="1915"/>
      <c r="EP190" s="1915"/>
      <c r="EQ190" s="1915"/>
      <c r="ER190" s="1918"/>
      <c r="ES190" s="445"/>
      <c r="ET190" s="1917" t="s">
        <v>1502</v>
      </c>
      <c r="EU190" s="1915"/>
      <c r="EV190" s="1918"/>
      <c r="EW190" s="445"/>
      <c r="EX190" s="1917">
        <v>11</v>
      </c>
      <c r="EY190" s="1918"/>
      <c r="EZ190" s="446"/>
      <c r="FZ190" s="444"/>
      <c r="GA190" s="1917" t="str">
        <f>'Вывод расчетов'!$CC$9</f>
        <v>Раздел 3</v>
      </c>
      <c r="GB190" s="1915"/>
      <c r="GC190" s="1915"/>
      <c r="GD190" s="445"/>
      <c r="GE190" s="1917" t="str">
        <f>'Вывод расчетов'!$CF$9</f>
        <v>Расчет обмотки статора</v>
      </c>
      <c r="GF190" s="1915"/>
      <c r="GG190" s="1915"/>
      <c r="GH190" s="1915"/>
      <c r="GI190" s="1915"/>
      <c r="GJ190" s="1915"/>
      <c r="GK190" s="1915"/>
      <c r="GL190" s="1915"/>
      <c r="GM190" s="1915"/>
      <c r="GN190" s="1915"/>
      <c r="GO190" s="1915"/>
      <c r="GP190" s="1918"/>
      <c r="GQ190" s="445"/>
      <c r="GR190" s="1917" t="s">
        <v>1502</v>
      </c>
      <c r="GS190" s="1915"/>
      <c r="GT190" s="1918"/>
      <c r="GU190" s="445"/>
      <c r="GV190" s="1917">
        <v>11</v>
      </c>
      <c r="GW190" s="1918"/>
      <c r="GX190" s="446"/>
      <c r="GY190" s="444"/>
      <c r="GZ190" s="1917" t="str">
        <f>'Вывод расчетов'!$CC$9</f>
        <v>Раздел 3</v>
      </c>
      <c r="HA190" s="1915"/>
      <c r="HB190" s="1915"/>
      <c r="HC190" s="445"/>
      <c r="HD190" s="1917" t="str">
        <f>'Вывод расчетов'!$CF$9</f>
        <v>Расчет обмотки статора</v>
      </c>
      <c r="HE190" s="1915"/>
      <c r="HF190" s="1915"/>
      <c r="HG190" s="1915"/>
      <c r="HH190" s="1915"/>
      <c r="HI190" s="1915"/>
      <c r="HJ190" s="1915"/>
      <c r="HK190" s="1915"/>
      <c r="HL190" s="1915"/>
      <c r="HM190" s="1915"/>
      <c r="HN190" s="1915"/>
      <c r="HO190" s="1918"/>
      <c r="HP190" s="445"/>
      <c r="HQ190" s="1917" t="s">
        <v>1502</v>
      </c>
      <c r="HR190" s="1915"/>
      <c r="HS190" s="1918"/>
      <c r="HT190" s="445"/>
      <c r="HU190" s="1917">
        <v>11</v>
      </c>
      <c r="HV190" s="1918"/>
      <c r="HW190" s="446"/>
    </row>
    <row r="191" spans="107:231" ht="24" customHeight="1" thickBot="1">
      <c r="DC191" s="1914" t="s">
        <v>1230</v>
      </c>
      <c r="DD191" s="1915"/>
      <c r="DE191" s="1915"/>
      <c r="DF191" s="1915"/>
      <c r="DG191" s="1915"/>
      <c r="DH191" s="1915"/>
      <c r="DI191" s="1915"/>
      <c r="DJ191" s="1915"/>
      <c r="DK191" s="1915"/>
      <c r="DL191" s="1915"/>
      <c r="DM191" s="1915"/>
      <c r="DN191" s="1915"/>
      <c r="DO191" s="1915"/>
      <c r="DP191" s="1915"/>
      <c r="DQ191" s="1915"/>
      <c r="DR191" s="1915"/>
      <c r="DS191" s="1915"/>
      <c r="DT191" s="1915"/>
      <c r="DU191" s="1915"/>
      <c r="DV191" s="1915"/>
      <c r="DW191" s="1915"/>
      <c r="DX191" s="1915"/>
      <c r="DY191" s="1915"/>
      <c r="DZ191" s="1915"/>
      <c r="EA191" s="1916"/>
      <c r="EB191" s="1914" t="s">
        <v>1230</v>
      </c>
      <c r="EC191" s="1915"/>
      <c r="ED191" s="1915"/>
      <c r="EE191" s="1915"/>
      <c r="EF191" s="1915"/>
      <c r="EG191" s="1915"/>
      <c r="EH191" s="1915"/>
      <c r="EI191" s="1915"/>
      <c r="EJ191" s="1915"/>
      <c r="EK191" s="1915"/>
      <c r="EL191" s="1915"/>
      <c r="EM191" s="1915"/>
      <c r="EN191" s="1915"/>
      <c r="EO191" s="1915"/>
      <c r="EP191" s="1915"/>
      <c r="EQ191" s="1915"/>
      <c r="ER191" s="1915"/>
      <c r="ES191" s="1915"/>
      <c r="ET191" s="1915"/>
      <c r="EU191" s="1915"/>
      <c r="EV191" s="1915"/>
      <c r="EW191" s="1915"/>
      <c r="EX191" s="1915"/>
      <c r="EY191" s="1915"/>
      <c r="EZ191" s="1916"/>
      <c r="FZ191" s="1914" t="s">
        <v>1230</v>
      </c>
      <c r="GA191" s="1915"/>
      <c r="GB191" s="1915"/>
      <c r="GC191" s="1915"/>
      <c r="GD191" s="1915"/>
      <c r="GE191" s="1915"/>
      <c r="GF191" s="1915"/>
      <c r="GG191" s="1915"/>
      <c r="GH191" s="1915"/>
      <c r="GI191" s="1915"/>
      <c r="GJ191" s="1915"/>
      <c r="GK191" s="1915"/>
      <c r="GL191" s="1915"/>
      <c r="GM191" s="1915"/>
      <c r="GN191" s="1915"/>
      <c r="GO191" s="1915"/>
      <c r="GP191" s="1915"/>
      <c r="GQ191" s="1915"/>
      <c r="GR191" s="1915"/>
      <c r="GS191" s="1915"/>
      <c r="GT191" s="1915"/>
      <c r="GU191" s="1915"/>
      <c r="GV191" s="1915"/>
      <c r="GW191" s="1915"/>
      <c r="GX191" s="1916"/>
      <c r="GY191" s="1914" t="s">
        <v>1230</v>
      </c>
      <c r="GZ191" s="1915"/>
      <c r="HA191" s="1915"/>
      <c r="HB191" s="1915"/>
      <c r="HC191" s="1915"/>
      <c r="HD191" s="1915"/>
      <c r="HE191" s="1915"/>
      <c r="HF191" s="1915"/>
      <c r="HG191" s="1915"/>
      <c r="HH191" s="1915"/>
      <c r="HI191" s="1915"/>
      <c r="HJ191" s="1915"/>
      <c r="HK191" s="1915"/>
      <c r="HL191" s="1915"/>
      <c r="HM191" s="1915"/>
      <c r="HN191" s="1915"/>
      <c r="HO191" s="1915"/>
      <c r="HP191" s="1915"/>
      <c r="HQ191" s="1915"/>
      <c r="HR191" s="1915"/>
      <c r="HS191" s="1915"/>
      <c r="HT191" s="1915"/>
      <c r="HU191" s="1915"/>
      <c r="HV191" s="1915"/>
      <c r="HW191" s="1916"/>
    </row>
    <row r="192" spans="107:231" ht="24" customHeight="1">
      <c r="DC192" s="437"/>
      <c r="DD192" s="438"/>
      <c r="DE192" s="438"/>
      <c r="DF192" s="438"/>
      <c r="DG192" s="438"/>
      <c r="DH192" s="438"/>
      <c r="DI192" s="438"/>
      <c r="DJ192" s="438"/>
      <c r="DK192" s="438"/>
      <c r="DL192" s="438"/>
      <c r="DM192" s="438"/>
      <c r="DN192" s="438"/>
      <c r="DO192" s="438"/>
      <c r="DP192" s="438"/>
      <c r="DQ192" s="438"/>
      <c r="DR192" s="438"/>
      <c r="DS192" s="438"/>
      <c r="DT192" s="438"/>
      <c r="DU192" s="438"/>
      <c r="DV192" s="438"/>
      <c r="DW192" s="438"/>
      <c r="DX192" s="438"/>
      <c r="DY192" s="438"/>
      <c r="DZ192" s="438"/>
      <c r="EA192" s="447"/>
      <c r="EB192" s="437"/>
      <c r="EC192" s="438"/>
      <c r="ED192" s="438"/>
      <c r="EE192" s="438"/>
      <c r="EF192" s="438"/>
      <c r="EG192" s="438"/>
      <c r="EH192" s="438"/>
      <c r="EI192" s="438"/>
      <c r="EJ192" s="438"/>
      <c r="EK192" s="438"/>
      <c r="EL192" s="438"/>
      <c r="EM192" s="438"/>
      <c r="EN192" s="438"/>
      <c r="EO192" s="438"/>
      <c r="EP192" s="438"/>
      <c r="EQ192" s="438"/>
      <c r="ER192" s="438"/>
      <c r="ES192" s="438"/>
      <c r="ET192" s="438"/>
      <c r="EU192" s="438"/>
      <c r="EV192" s="438"/>
      <c r="EW192" s="438"/>
      <c r="EX192" s="438"/>
      <c r="EY192" s="438"/>
      <c r="EZ192" s="447"/>
      <c r="FZ192" s="437"/>
      <c r="GA192" s="438"/>
      <c r="GB192" s="438"/>
      <c r="GC192" s="438"/>
      <c r="GD192" s="438"/>
      <c r="GE192" s="438"/>
      <c r="GF192" s="438"/>
      <c r="GG192" s="438"/>
      <c r="GH192" s="438"/>
      <c r="GI192" s="438"/>
      <c r="GJ192" s="438"/>
      <c r="GK192" s="438"/>
      <c r="GL192" s="438"/>
      <c r="GM192" s="438"/>
      <c r="GN192" s="438"/>
      <c r="GO192" s="438"/>
      <c r="GP192" s="438"/>
      <c r="GQ192" s="438"/>
      <c r="GR192" s="438"/>
      <c r="GS192" s="438"/>
      <c r="GT192" s="438"/>
      <c r="GU192" s="438"/>
      <c r="GV192" s="438"/>
      <c r="GW192" s="438"/>
      <c r="GX192" s="447"/>
      <c r="GY192" s="437"/>
      <c r="GZ192" s="438"/>
      <c r="HA192" s="438"/>
      <c r="HB192" s="438"/>
      <c r="HC192" s="438"/>
      <c r="HD192" s="438"/>
      <c r="HE192" s="438"/>
      <c r="HF192" s="438"/>
      <c r="HG192" s="438"/>
      <c r="HH192" s="438"/>
      <c r="HI192" s="438"/>
      <c r="HJ192" s="438"/>
      <c r="HK192" s="438"/>
      <c r="HL192" s="438"/>
      <c r="HM192" s="438"/>
      <c r="HN192" s="438"/>
      <c r="HO192" s="438"/>
      <c r="HP192" s="438"/>
      <c r="HQ192" s="438"/>
      <c r="HR192" s="438"/>
      <c r="HS192" s="438"/>
      <c r="HT192" s="438"/>
      <c r="HU192" s="438"/>
      <c r="HV192" s="438"/>
      <c r="HW192" s="447"/>
    </row>
    <row r="193" spans="107:231" ht="24" customHeight="1">
      <c r="DC193" s="439"/>
      <c r="DD193" s="436"/>
      <c r="DE193" s="436"/>
      <c r="DF193" s="436"/>
      <c r="DG193" s="436"/>
      <c r="DH193" s="436"/>
      <c r="DI193" s="436"/>
      <c r="DJ193" s="436"/>
      <c r="DK193" s="436"/>
      <c r="DL193" s="436"/>
      <c r="DM193" s="436"/>
      <c r="DN193" s="436"/>
      <c r="DO193" s="436"/>
      <c r="DP193" s="436"/>
      <c r="DQ193" s="436"/>
      <c r="DR193" s="436"/>
      <c r="DS193" s="436"/>
      <c r="DT193" s="436"/>
      <c r="DU193" s="436"/>
      <c r="DV193" s="436"/>
      <c r="DW193" s="436"/>
      <c r="DX193" s="436"/>
      <c r="DY193" s="436"/>
      <c r="DZ193" s="436"/>
      <c r="EA193" s="440"/>
      <c r="EB193" s="439"/>
      <c r="EC193" s="436"/>
      <c r="ED193" s="436"/>
      <c r="EE193" s="436"/>
      <c r="EF193" s="436"/>
      <c r="EG193" s="436"/>
      <c r="EH193" s="436"/>
      <c r="EI193" s="436"/>
      <c r="EJ193" s="436"/>
      <c r="EK193" s="436"/>
      <c r="EL193" s="436"/>
      <c r="EM193" s="436"/>
      <c r="EN193" s="436"/>
      <c r="EO193" s="436"/>
      <c r="EP193" s="436"/>
      <c r="EQ193" s="436"/>
      <c r="ER193" s="436"/>
      <c r="ES193" s="436"/>
      <c r="ET193" s="436"/>
      <c r="EU193" s="436"/>
      <c r="EV193" s="436"/>
      <c r="EW193" s="436"/>
      <c r="EX193" s="436"/>
      <c r="EY193" s="436"/>
      <c r="EZ193" s="440"/>
      <c r="FZ193" s="439"/>
      <c r="GA193" s="436"/>
      <c r="GB193" s="436"/>
      <c r="GC193" s="436"/>
      <c r="GD193" s="436"/>
      <c r="GE193" s="436"/>
      <c r="GF193" s="436"/>
      <c r="GG193" s="436"/>
      <c r="GH193" s="436"/>
      <c r="GI193" s="436"/>
      <c r="GJ193" s="436"/>
      <c r="GK193" s="436"/>
      <c r="GL193" s="436"/>
      <c r="GM193" s="436"/>
      <c r="GN193" s="436"/>
      <c r="GO193" s="436"/>
      <c r="GP193" s="436"/>
      <c r="GQ193" s="436"/>
      <c r="GR193" s="436"/>
      <c r="GS193" s="436"/>
      <c r="GT193" s="436"/>
      <c r="GU193" s="436"/>
      <c r="GV193" s="436"/>
      <c r="GW193" s="436"/>
      <c r="GX193" s="440"/>
      <c r="GY193" s="439"/>
      <c r="GZ193" s="436"/>
      <c r="HA193" s="436"/>
      <c r="HB193" s="436"/>
      <c r="HC193" s="436"/>
      <c r="HD193" s="436"/>
      <c r="HE193" s="436"/>
      <c r="HF193" s="436"/>
      <c r="HG193" s="436"/>
      <c r="HH193" s="436"/>
      <c r="HI193" s="436"/>
      <c r="HJ193" s="436"/>
      <c r="HK193" s="436"/>
      <c r="HL193" s="436"/>
      <c r="HM193" s="436"/>
      <c r="HN193" s="436"/>
      <c r="HO193" s="436"/>
      <c r="HP193" s="436"/>
      <c r="HQ193" s="436"/>
      <c r="HR193" s="436"/>
      <c r="HS193" s="436"/>
      <c r="HT193" s="436"/>
      <c r="HU193" s="436"/>
      <c r="HV193" s="436"/>
      <c r="HW193" s="440"/>
    </row>
    <row r="194" spans="107:231" ht="24" customHeight="1">
      <c r="DC194" s="439"/>
      <c r="DD194" s="436"/>
      <c r="DE194" s="436"/>
      <c r="DF194" s="436"/>
      <c r="DG194" s="436"/>
      <c r="DH194" s="436"/>
      <c r="DI194" s="436"/>
      <c r="DJ194" s="436"/>
      <c r="DK194" s="436"/>
      <c r="DL194" s="436"/>
      <c r="DM194" s="436"/>
      <c r="DN194" s="436"/>
      <c r="DO194" s="436"/>
      <c r="DP194" s="436"/>
      <c r="DQ194" s="436"/>
      <c r="DR194" s="436"/>
      <c r="DS194" s="436"/>
      <c r="DT194" s="436"/>
      <c r="DU194" s="436"/>
      <c r="DV194" s="436"/>
      <c r="DW194" s="436"/>
      <c r="DX194" s="436"/>
      <c r="DY194" s="436"/>
      <c r="DZ194" s="436"/>
      <c r="EA194" s="440"/>
      <c r="EB194" s="439"/>
      <c r="EC194" s="436"/>
      <c r="ED194" s="436"/>
      <c r="EE194" s="436"/>
      <c r="EF194" s="436"/>
      <c r="EG194" s="436"/>
      <c r="EH194" s="436"/>
      <c r="EI194" s="436"/>
      <c r="EJ194" s="436"/>
      <c r="EK194" s="436"/>
      <c r="EL194" s="436"/>
      <c r="EM194" s="436"/>
      <c r="EN194" s="436"/>
      <c r="EO194" s="436"/>
      <c r="EP194" s="436"/>
      <c r="EQ194" s="436"/>
      <c r="ER194" s="436"/>
      <c r="ES194" s="436"/>
      <c r="ET194" s="436"/>
      <c r="EU194" s="436"/>
      <c r="EV194" s="436"/>
      <c r="EW194" s="436"/>
      <c r="EX194" s="436"/>
      <c r="EY194" s="436"/>
      <c r="EZ194" s="440"/>
      <c r="FZ194" s="439"/>
      <c r="GA194" s="436"/>
      <c r="GB194" s="436"/>
      <c r="GC194" s="436"/>
      <c r="GD194" s="436"/>
      <c r="GE194" s="436"/>
      <c r="GF194" s="436"/>
      <c r="GG194" s="436"/>
      <c r="GH194" s="436"/>
      <c r="GI194" s="436"/>
      <c r="GJ194" s="436"/>
      <c r="GK194" s="436"/>
      <c r="GL194" s="436"/>
      <c r="GM194" s="436"/>
      <c r="GN194" s="436"/>
      <c r="GO194" s="436"/>
      <c r="GP194" s="436"/>
      <c r="GQ194" s="436"/>
      <c r="GR194" s="436"/>
      <c r="GS194" s="436"/>
      <c r="GT194" s="436"/>
      <c r="GU194" s="436"/>
      <c r="GV194" s="436"/>
      <c r="GW194" s="436"/>
      <c r="GX194" s="440"/>
      <c r="GY194" s="439"/>
      <c r="GZ194" s="436"/>
      <c r="HA194" s="436"/>
      <c r="HB194" s="436"/>
      <c r="HC194" s="436"/>
      <c r="HD194" s="436"/>
      <c r="HE194" s="436"/>
      <c r="HF194" s="436"/>
      <c r="HG194" s="436"/>
      <c r="HH194" s="436"/>
      <c r="HI194" s="436"/>
      <c r="HJ194" s="436"/>
      <c r="HK194" s="436"/>
      <c r="HL194" s="436"/>
      <c r="HM194" s="436"/>
      <c r="HN194" s="436"/>
      <c r="HO194" s="436"/>
      <c r="HP194" s="436"/>
      <c r="HQ194" s="436"/>
      <c r="HR194" s="436"/>
      <c r="HS194" s="436"/>
      <c r="HT194" s="436"/>
      <c r="HU194" s="436"/>
      <c r="HV194" s="436"/>
      <c r="HW194" s="440"/>
    </row>
    <row r="195" spans="107:231" ht="24" customHeight="1">
      <c r="DC195" s="439"/>
      <c r="DD195" s="436"/>
      <c r="DE195" s="436"/>
      <c r="DF195" s="436"/>
      <c r="DG195" s="436"/>
      <c r="DH195" s="436"/>
      <c r="DI195" s="436"/>
      <c r="DJ195" s="436"/>
      <c r="DK195" s="436"/>
      <c r="DL195" s="436"/>
      <c r="DM195" s="436"/>
      <c r="DN195" s="436"/>
      <c r="DO195" s="436"/>
      <c r="DP195" s="436"/>
      <c r="DQ195" s="436"/>
      <c r="DR195" s="436"/>
      <c r="DS195" s="436"/>
      <c r="DT195" s="436"/>
      <c r="DU195" s="436"/>
      <c r="DV195" s="436"/>
      <c r="DW195" s="436"/>
      <c r="DX195" s="436"/>
      <c r="DY195" s="436"/>
      <c r="DZ195" s="436"/>
      <c r="EA195" s="440"/>
      <c r="EB195" s="439"/>
      <c r="EC195" s="436"/>
      <c r="ED195" s="436"/>
      <c r="EE195" s="436"/>
      <c r="EF195" s="436"/>
      <c r="EG195" s="436"/>
      <c r="EH195" s="436"/>
      <c r="EI195" s="436"/>
      <c r="EJ195" s="436"/>
      <c r="EK195" s="436"/>
      <c r="EL195" s="436"/>
      <c r="EM195" s="436"/>
      <c r="EN195" s="436"/>
      <c r="EO195" s="436"/>
      <c r="EP195" s="436"/>
      <c r="EQ195" s="436"/>
      <c r="ER195" s="436"/>
      <c r="ES195" s="436"/>
      <c r="ET195" s="436"/>
      <c r="EU195" s="436"/>
      <c r="EV195" s="436"/>
      <c r="EW195" s="436"/>
      <c r="EX195" s="436"/>
      <c r="EY195" s="436"/>
      <c r="EZ195" s="440"/>
      <c r="FZ195" s="439"/>
      <c r="GA195" s="436"/>
      <c r="GB195" s="436"/>
      <c r="GC195" s="436"/>
      <c r="GD195" s="436"/>
      <c r="GE195" s="436"/>
      <c r="GF195" s="436"/>
      <c r="GG195" s="436"/>
      <c r="GH195" s="436"/>
      <c r="GI195" s="436"/>
      <c r="GJ195" s="436"/>
      <c r="GK195" s="436"/>
      <c r="GL195" s="436"/>
      <c r="GM195" s="436"/>
      <c r="GN195" s="436"/>
      <c r="GO195" s="436"/>
      <c r="GP195" s="436"/>
      <c r="GQ195" s="436"/>
      <c r="GR195" s="436"/>
      <c r="GS195" s="436"/>
      <c r="GT195" s="436"/>
      <c r="GU195" s="436"/>
      <c r="GV195" s="436"/>
      <c r="GW195" s="436"/>
      <c r="GX195" s="440"/>
      <c r="GY195" s="439"/>
      <c r="GZ195" s="436"/>
      <c r="HA195" s="436"/>
      <c r="HB195" s="436"/>
      <c r="HC195" s="436"/>
      <c r="HD195" s="436"/>
      <c r="HE195" s="436"/>
      <c r="HF195" s="436"/>
      <c r="HG195" s="436"/>
      <c r="HH195" s="436"/>
      <c r="HI195" s="436"/>
      <c r="HJ195" s="436"/>
      <c r="HK195" s="436"/>
      <c r="HL195" s="436"/>
      <c r="HM195" s="436"/>
      <c r="HN195" s="436"/>
      <c r="HO195" s="436"/>
      <c r="HP195" s="436"/>
      <c r="HQ195" s="436"/>
      <c r="HR195" s="436"/>
      <c r="HS195" s="436"/>
      <c r="HT195" s="436"/>
      <c r="HU195" s="436"/>
      <c r="HV195" s="436"/>
      <c r="HW195" s="440"/>
    </row>
    <row r="196" spans="107:231" ht="24" customHeight="1">
      <c r="DC196" s="439"/>
      <c r="DD196" s="436"/>
      <c r="DE196" s="436"/>
      <c r="DF196" s="436"/>
      <c r="DG196" s="436"/>
      <c r="DH196" s="436"/>
      <c r="DI196" s="436"/>
      <c r="DJ196" s="436"/>
      <c r="DK196" s="436"/>
      <c r="DL196" s="436"/>
      <c r="DM196" s="436"/>
      <c r="DN196" s="436"/>
      <c r="DO196" s="436"/>
      <c r="DP196" s="436"/>
      <c r="DQ196" s="436"/>
      <c r="DR196" s="436"/>
      <c r="DS196" s="436"/>
      <c r="DT196" s="436"/>
      <c r="DU196" s="436"/>
      <c r="DV196" s="436"/>
      <c r="DW196" s="436"/>
      <c r="DX196" s="436"/>
      <c r="DY196" s="436"/>
      <c r="DZ196" s="436"/>
      <c r="EA196" s="440"/>
      <c r="EB196" s="439"/>
      <c r="EC196" s="436"/>
      <c r="ED196" s="436"/>
      <c r="EE196" s="436"/>
      <c r="EF196" s="436"/>
      <c r="EG196" s="436"/>
      <c r="EH196" s="436"/>
      <c r="EI196" s="436"/>
      <c r="EJ196" s="436"/>
      <c r="EK196" s="436"/>
      <c r="EL196" s="436"/>
      <c r="EM196" s="436"/>
      <c r="EN196" s="436"/>
      <c r="EO196" s="436"/>
      <c r="EP196" s="436"/>
      <c r="EQ196" s="436"/>
      <c r="ER196" s="436"/>
      <c r="ES196" s="436"/>
      <c r="ET196" s="436"/>
      <c r="EU196" s="436"/>
      <c r="EV196" s="436"/>
      <c r="EW196" s="436"/>
      <c r="EX196" s="436"/>
      <c r="EY196" s="436"/>
      <c r="EZ196" s="440"/>
      <c r="FZ196" s="439"/>
      <c r="GA196" s="436"/>
      <c r="GB196" s="436"/>
      <c r="GC196" s="436"/>
      <c r="GD196" s="436"/>
      <c r="GE196" s="436"/>
      <c r="GF196" s="436"/>
      <c r="GG196" s="436"/>
      <c r="GH196" s="436"/>
      <c r="GI196" s="436"/>
      <c r="GJ196" s="436"/>
      <c r="GK196" s="436"/>
      <c r="GL196" s="436"/>
      <c r="GM196" s="436"/>
      <c r="GN196" s="436"/>
      <c r="GO196" s="436"/>
      <c r="GP196" s="436"/>
      <c r="GQ196" s="436"/>
      <c r="GR196" s="436"/>
      <c r="GS196" s="436"/>
      <c r="GT196" s="436"/>
      <c r="GU196" s="436"/>
      <c r="GV196" s="436"/>
      <c r="GW196" s="436"/>
      <c r="GX196" s="440"/>
      <c r="GY196" s="439"/>
      <c r="GZ196" s="436"/>
      <c r="HA196" s="436"/>
      <c r="HB196" s="436"/>
      <c r="HC196" s="436"/>
      <c r="HD196" s="436"/>
      <c r="HE196" s="436"/>
      <c r="HF196" s="436"/>
      <c r="HG196" s="436"/>
      <c r="HH196" s="436"/>
      <c r="HI196" s="436"/>
      <c r="HJ196" s="436"/>
      <c r="HK196" s="436"/>
      <c r="HL196" s="436"/>
      <c r="HM196" s="436"/>
      <c r="HN196" s="436"/>
      <c r="HO196" s="436"/>
      <c r="HP196" s="436"/>
      <c r="HQ196" s="436"/>
      <c r="HR196" s="436"/>
      <c r="HS196" s="436"/>
      <c r="HT196" s="436"/>
      <c r="HU196" s="436"/>
      <c r="HV196" s="436"/>
      <c r="HW196" s="440"/>
    </row>
    <row r="197" spans="107:231" ht="24" customHeight="1">
      <c r="DC197" s="439"/>
      <c r="DD197" s="436"/>
      <c r="DE197" s="436"/>
      <c r="DF197" s="436"/>
      <c r="DG197" s="436"/>
      <c r="DH197" s="436"/>
      <c r="DI197" s="436"/>
      <c r="DJ197" s="436"/>
      <c r="DK197" s="436"/>
      <c r="DL197" s="436"/>
      <c r="DM197" s="436"/>
      <c r="DN197" s="436"/>
      <c r="DO197" s="436"/>
      <c r="DP197" s="436"/>
      <c r="DQ197" s="436"/>
      <c r="DR197" s="436"/>
      <c r="DS197" s="436"/>
      <c r="DT197" s="436"/>
      <c r="DU197" s="436"/>
      <c r="DV197" s="436"/>
      <c r="DW197" s="436"/>
      <c r="DX197" s="436"/>
      <c r="DY197" s="436"/>
      <c r="DZ197" s="436"/>
      <c r="EA197" s="440"/>
      <c r="EB197" s="439"/>
      <c r="EC197" s="436"/>
      <c r="ED197" s="436"/>
      <c r="EE197" s="436"/>
      <c r="EF197" s="436"/>
      <c r="EG197" s="436"/>
      <c r="EH197" s="436"/>
      <c r="EI197" s="436"/>
      <c r="EJ197" s="436"/>
      <c r="EK197" s="436"/>
      <c r="EL197" s="436"/>
      <c r="EM197" s="436"/>
      <c r="EN197" s="436"/>
      <c r="EO197" s="436"/>
      <c r="EP197" s="436"/>
      <c r="EQ197" s="436"/>
      <c r="ER197" s="436"/>
      <c r="ES197" s="436"/>
      <c r="ET197" s="436"/>
      <c r="EU197" s="436"/>
      <c r="EV197" s="436"/>
      <c r="EW197" s="436"/>
      <c r="EX197" s="436"/>
      <c r="EY197" s="436"/>
      <c r="EZ197" s="440"/>
      <c r="FZ197" s="439"/>
      <c r="GA197" s="436"/>
      <c r="GB197" s="436"/>
      <c r="GC197" s="436"/>
      <c r="GD197" s="436"/>
      <c r="GE197" s="436"/>
      <c r="GF197" s="436"/>
      <c r="GG197" s="436"/>
      <c r="GH197" s="436"/>
      <c r="GI197" s="436"/>
      <c r="GJ197" s="436"/>
      <c r="GK197" s="436"/>
      <c r="GL197" s="436"/>
      <c r="GM197" s="436"/>
      <c r="GN197" s="436"/>
      <c r="GO197" s="436"/>
      <c r="GP197" s="436"/>
      <c r="GQ197" s="436"/>
      <c r="GR197" s="436"/>
      <c r="GS197" s="436"/>
      <c r="GT197" s="436"/>
      <c r="GU197" s="436"/>
      <c r="GV197" s="436"/>
      <c r="GW197" s="436"/>
      <c r="GX197" s="440"/>
      <c r="GY197" s="439"/>
      <c r="GZ197" s="436"/>
      <c r="HA197" s="436"/>
      <c r="HB197" s="436"/>
      <c r="HC197" s="436"/>
      <c r="HD197" s="436"/>
      <c r="HE197" s="436"/>
      <c r="HF197" s="436"/>
      <c r="HG197" s="436"/>
      <c r="HH197" s="436"/>
      <c r="HI197" s="436"/>
      <c r="HJ197" s="436"/>
      <c r="HK197" s="436"/>
      <c r="HL197" s="436"/>
      <c r="HM197" s="436"/>
      <c r="HN197" s="436"/>
      <c r="HO197" s="436"/>
      <c r="HP197" s="436"/>
      <c r="HQ197" s="436"/>
      <c r="HR197" s="436"/>
      <c r="HS197" s="436"/>
      <c r="HT197" s="436"/>
      <c r="HU197" s="436"/>
      <c r="HV197" s="436"/>
      <c r="HW197" s="440"/>
    </row>
    <row r="198" spans="107:231" ht="24" customHeight="1">
      <c r="DC198" s="439"/>
      <c r="DD198" s="436"/>
      <c r="DE198" s="436"/>
      <c r="DF198" s="436"/>
      <c r="DG198" s="436"/>
      <c r="DH198" s="436"/>
      <c r="DI198" s="436"/>
      <c r="DJ198" s="436"/>
      <c r="DK198" s="436"/>
      <c r="DL198" s="436"/>
      <c r="DM198" s="436"/>
      <c r="DN198" s="436"/>
      <c r="DO198" s="436"/>
      <c r="DP198" s="436"/>
      <c r="DQ198" s="436"/>
      <c r="DR198" s="436"/>
      <c r="DS198" s="436"/>
      <c r="DT198" s="436"/>
      <c r="DU198" s="436"/>
      <c r="DV198" s="436"/>
      <c r="DW198" s="436"/>
      <c r="DX198" s="436"/>
      <c r="DY198" s="436"/>
      <c r="DZ198" s="436"/>
      <c r="EA198" s="440"/>
      <c r="EB198" s="439"/>
      <c r="EC198" s="436"/>
      <c r="ED198" s="436"/>
      <c r="EE198" s="436"/>
      <c r="EF198" s="436"/>
      <c r="EG198" s="436"/>
      <c r="EH198" s="436"/>
      <c r="EI198" s="436"/>
      <c r="EJ198" s="436"/>
      <c r="EK198" s="436"/>
      <c r="EL198" s="436"/>
      <c r="EM198" s="436"/>
      <c r="EN198" s="436"/>
      <c r="EO198" s="436"/>
      <c r="EP198" s="436"/>
      <c r="EQ198" s="436"/>
      <c r="ER198" s="436"/>
      <c r="ES198" s="436"/>
      <c r="ET198" s="436"/>
      <c r="EU198" s="436"/>
      <c r="EV198" s="436"/>
      <c r="EW198" s="436"/>
      <c r="EX198" s="436"/>
      <c r="EY198" s="436"/>
      <c r="EZ198" s="440"/>
      <c r="FZ198" s="439"/>
      <c r="GA198" s="436"/>
      <c r="GB198" s="436"/>
      <c r="GC198" s="436"/>
      <c r="GD198" s="436"/>
      <c r="GE198" s="436"/>
      <c r="GF198" s="436"/>
      <c r="GG198" s="436"/>
      <c r="GH198" s="436"/>
      <c r="GI198" s="436"/>
      <c r="GJ198" s="436"/>
      <c r="GK198" s="436"/>
      <c r="GL198" s="436"/>
      <c r="GM198" s="436"/>
      <c r="GN198" s="436"/>
      <c r="GO198" s="436"/>
      <c r="GP198" s="436"/>
      <c r="GQ198" s="436"/>
      <c r="GR198" s="436"/>
      <c r="GS198" s="436"/>
      <c r="GT198" s="436"/>
      <c r="GU198" s="436"/>
      <c r="GV198" s="436"/>
      <c r="GW198" s="436"/>
      <c r="GX198" s="440"/>
      <c r="GY198" s="439"/>
      <c r="GZ198" s="436"/>
      <c r="HA198" s="436"/>
      <c r="HB198" s="436"/>
      <c r="HC198" s="436"/>
      <c r="HD198" s="436"/>
      <c r="HE198" s="436"/>
      <c r="HF198" s="436"/>
      <c r="HG198" s="436"/>
      <c r="HH198" s="436"/>
      <c r="HI198" s="436"/>
      <c r="HJ198" s="436"/>
      <c r="HK198" s="436"/>
      <c r="HL198" s="436"/>
      <c r="HM198" s="436"/>
      <c r="HN198" s="436"/>
      <c r="HO198" s="436"/>
      <c r="HP198" s="436"/>
      <c r="HQ198" s="436"/>
      <c r="HR198" s="436"/>
      <c r="HS198" s="436"/>
      <c r="HT198" s="436"/>
      <c r="HU198" s="436"/>
      <c r="HV198" s="436"/>
      <c r="HW198" s="440"/>
    </row>
    <row r="199" spans="107:231" ht="24" customHeight="1">
      <c r="DC199" s="439"/>
      <c r="DD199" s="436"/>
      <c r="DE199" s="436"/>
      <c r="DF199" s="436"/>
      <c r="DG199" s="436"/>
      <c r="DH199" s="436"/>
      <c r="DI199" s="436"/>
      <c r="DJ199" s="436"/>
      <c r="DK199" s="436"/>
      <c r="DL199" s="436"/>
      <c r="DM199" s="436"/>
      <c r="DN199" s="436"/>
      <c r="DO199" s="436"/>
      <c r="DP199" s="436"/>
      <c r="DQ199" s="436"/>
      <c r="DR199" s="436"/>
      <c r="DS199" s="436"/>
      <c r="DT199" s="436"/>
      <c r="DU199" s="436"/>
      <c r="DV199" s="436"/>
      <c r="DW199" s="436"/>
      <c r="DX199" s="436"/>
      <c r="DY199" s="436"/>
      <c r="DZ199" s="436"/>
      <c r="EA199" s="440"/>
      <c r="EB199" s="439"/>
      <c r="EC199" s="436"/>
      <c r="ED199" s="436"/>
      <c r="EE199" s="436"/>
      <c r="EF199" s="436"/>
      <c r="EG199" s="436"/>
      <c r="EH199" s="436"/>
      <c r="EI199" s="436"/>
      <c r="EJ199" s="436"/>
      <c r="EK199" s="436"/>
      <c r="EL199" s="436"/>
      <c r="EM199" s="436"/>
      <c r="EN199" s="436"/>
      <c r="EO199" s="436"/>
      <c r="EP199" s="436"/>
      <c r="EQ199" s="436"/>
      <c r="ER199" s="436"/>
      <c r="ES199" s="436"/>
      <c r="ET199" s="436"/>
      <c r="EU199" s="436"/>
      <c r="EV199" s="436"/>
      <c r="EW199" s="436"/>
      <c r="EX199" s="436"/>
      <c r="EY199" s="436"/>
      <c r="EZ199" s="440"/>
      <c r="FZ199" s="439"/>
      <c r="GA199" s="436"/>
      <c r="GB199" s="436"/>
      <c r="GC199" s="436"/>
      <c r="GD199" s="436"/>
      <c r="GE199" s="436"/>
      <c r="GF199" s="436"/>
      <c r="GG199" s="436"/>
      <c r="GH199" s="436"/>
      <c r="GI199" s="436"/>
      <c r="GJ199" s="436"/>
      <c r="GK199" s="436"/>
      <c r="GL199" s="436"/>
      <c r="GM199" s="436"/>
      <c r="GN199" s="436"/>
      <c r="GO199" s="436"/>
      <c r="GP199" s="436"/>
      <c r="GQ199" s="436"/>
      <c r="GR199" s="436"/>
      <c r="GS199" s="436"/>
      <c r="GT199" s="436"/>
      <c r="GU199" s="436"/>
      <c r="GV199" s="436"/>
      <c r="GW199" s="436"/>
      <c r="GX199" s="440"/>
      <c r="GY199" s="439"/>
      <c r="GZ199" s="436"/>
      <c r="HA199" s="436"/>
      <c r="HB199" s="436"/>
      <c r="HC199" s="436"/>
      <c r="HD199" s="436"/>
      <c r="HE199" s="436"/>
      <c r="HF199" s="436"/>
      <c r="HG199" s="436"/>
      <c r="HH199" s="436"/>
      <c r="HI199" s="436"/>
      <c r="HJ199" s="436"/>
      <c r="HK199" s="436"/>
      <c r="HL199" s="436"/>
      <c r="HM199" s="436"/>
      <c r="HN199" s="436"/>
      <c r="HO199" s="436"/>
      <c r="HP199" s="436"/>
      <c r="HQ199" s="436"/>
      <c r="HR199" s="436"/>
      <c r="HS199" s="436"/>
      <c r="HT199" s="436"/>
      <c r="HU199" s="436"/>
      <c r="HV199" s="436"/>
      <c r="HW199" s="440"/>
    </row>
    <row r="200" spans="107:231" ht="24" customHeight="1">
      <c r="DC200" s="439"/>
      <c r="DD200" s="436"/>
      <c r="DE200" s="436"/>
      <c r="DF200" s="436"/>
      <c r="DG200" s="436"/>
      <c r="DH200" s="436"/>
      <c r="DI200" s="436"/>
      <c r="DJ200" s="436"/>
      <c r="DK200" s="436"/>
      <c r="DL200" s="436"/>
      <c r="DM200" s="436"/>
      <c r="DN200" s="436"/>
      <c r="DO200" s="436"/>
      <c r="DP200" s="436"/>
      <c r="DQ200" s="436"/>
      <c r="DR200" s="436"/>
      <c r="DS200" s="436"/>
      <c r="DT200" s="436"/>
      <c r="DU200" s="436"/>
      <c r="DV200" s="436"/>
      <c r="DW200" s="436"/>
      <c r="DX200" s="436"/>
      <c r="DY200" s="436"/>
      <c r="DZ200" s="436"/>
      <c r="EA200" s="440"/>
      <c r="EB200" s="439"/>
      <c r="EC200" s="436"/>
      <c r="ED200" s="436"/>
      <c r="EE200" s="436"/>
      <c r="EF200" s="436"/>
      <c r="EG200" s="436"/>
      <c r="EH200" s="436"/>
      <c r="EI200" s="436"/>
      <c r="EJ200" s="436"/>
      <c r="EK200" s="436"/>
      <c r="EL200" s="436"/>
      <c r="EM200" s="436"/>
      <c r="EN200" s="436"/>
      <c r="EO200" s="436"/>
      <c r="EP200" s="436"/>
      <c r="EQ200" s="436"/>
      <c r="ER200" s="436"/>
      <c r="ES200" s="436"/>
      <c r="ET200" s="436"/>
      <c r="EU200" s="436"/>
      <c r="EV200" s="436"/>
      <c r="EW200" s="436"/>
      <c r="EX200" s="436"/>
      <c r="EY200" s="436"/>
      <c r="EZ200" s="440"/>
      <c r="FZ200" s="439"/>
      <c r="GA200" s="436"/>
      <c r="GB200" s="436"/>
      <c r="GC200" s="436"/>
      <c r="GD200" s="436"/>
      <c r="GE200" s="436"/>
      <c r="GF200" s="436"/>
      <c r="GG200" s="436"/>
      <c r="GH200" s="436"/>
      <c r="GI200" s="436"/>
      <c r="GJ200" s="436"/>
      <c r="GK200" s="436"/>
      <c r="GL200" s="436"/>
      <c r="GM200" s="436"/>
      <c r="GN200" s="436"/>
      <c r="GO200" s="436"/>
      <c r="GP200" s="436"/>
      <c r="GQ200" s="436"/>
      <c r="GR200" s="436"/>
      <c r="GS200" s="436"/>
      <c r="GT200" s="436"/>
      <c r="GU200" s="436"/>
      <c r="GV200" s="436"/>
      <c r="GW200" s="436"/>
      <c r="GX200" s="440"/>
      <c r="GY200" s="439"/>
      <c r="GZ200" s="436"/>
      <c r="HA200" s="436"/>
      <c r="HB200" s="436"/>
      <c r="HC200" s="436"/>
      <c r="HD200" s="436"/>
      <c r="HE200" s="436"/>
      <c r="HF200" s="436"/>
      <c r="HG200" s="436"/>
      <c r="HH200" s="436"/>
      <c r="HI200" s="436"/>
      <c r="HJ200" s="436"/>
      <c r="HK200" s="436"/>
      <c r="HL200" s="436"/>
      <c r="HM200" s="436"/>
      <c r="HN200" s="436"/>
      <c r="HO200" s="436"/>
      <c r="HP200" s="436"/>
      <c r="HQ200" s="436"/>
      <c r="HR200" s="436"/>
      <c r="HS200" s="436"/>
      <c r="HT200" s="436"/>
      <c r="HU200" s="436"/>
      <c r="HV200" s="436"/>
      <c r="HW200" s="440"/>
    </row>
    <row r="201" spans="107:231" ht="24" customHeight="1">
      <c r="DC201" s="439"/>
      <c r="DD201" s="436"/>
      <c r="DE201" s="436"/>
      <c r="DF201" s="436"/>
      <c r="DG201" s="436"/>
      <c r="DH201" s="436"/>
      <c r="DI201" s="436"/>
      <c r="DJ201" s="436"/>
      <c r="DK201" s="436"/>
      <c r="DL201" s="436"/>
      <c r="DM201" s="436"/>
      <c r="DN201" s="436"/>
      <c r="DO201" s="436"/>
      <c r="DP201" s="436"/>
      <c r="DQ201" s="436"/>
      <c r="DR201" s="436"/>
      <c r="DS201" s="436"/>
      <c r="DT201" s="436"/>
      <c r="DU201" s="436"/>
      <c r="DV201" s="436"/>
      <c r="DW201" s="436"/>
      <c r="DX201" s="436"/>
      <c r="DY201" s="436"/>
      <c r="DZ201" s="436"/>
      <c r="EA201" s="440"/>
      <c r="EB201" s="439"/>
      <c r="EC201" s="436"/>
      <c r="ED201" s="436"/>
      <c r="EE201" s="436"/>
      <c r="EF201" s="436"/>
      <c r="EG201" s="436"/>
      <c r="EH201" s="436"/>
      <c r="EI201" s="436"/>
      <c r="EJ201" s="436"/>
      <c r="EK201" s="436"/>
      <c r="EL201" s="436"/>
      <c r="EM201" s="436"/>
      <c r="EN201" s="436"/>
      <c r="EO201" s="436"/>
      <c r="EP201" s="436"/>
      <c r="EQ201" s="436"/>
      <c r="ER201" s="436"/>
      <c r="ES201" s="436"/>
      <c r="ET201" s="436"/>
      <c r="EU201" s="436"/>
      <c r="EV201" s="436"/>
      <c r="EW201" s="436"/>
      <c r="EX201" s="436"/>
      <c r="EY201" s="436"/>
      <c r="EZ201" s="440"/>
      <c r="FZ201" s="439"/>
      <c r="GA201" s="436"/>
      <c r="GB201" s="436"/>
      <c r="GC201" s="436"/>
      <c r="GD201" s="436"/>
      <c r="GE201" s="436"/>
      <c r="GF201" s="436"/>
      <c r="GG201" s="436"/>
      <c r="GH201" s="436"/>
      <c r="GI201" s="436"/>
      <c r="GJ201" s="436"/>
      <c r="GK201" s="436"/>
      <c r="GL201" s="436"/>
      <c r="GM201" s="436"/>
      <c r="GN201" s="436"/>
      <c r="GO201" s="436"/>
      <c r="GP201" s="436"/>
      <c r="GQ201" s="436"/>
      <c r="GR201" s="436"/>
      <c r="GS201" s="436"/>
      <c r="GT201" s="436"/>
      <c r="GU201" s="436"/>
      <c r="GV201" s="436"/>
      <c r="GW201" s="436"/>
      <c r="GX201" s="440"/>
      <c r="GY201" s="439"/>
      <c r="GZ201" s="436"/>
      <c r="HA201" s="436"/>
      <c r="HB201" s="436"/>
      <c r="HC201" s="436"/>
      <c r="HD201" s="436"/>
      <c r="HE201" s="436"/>
      <c r="HF201" s="436"/>
      <c r="HG201" s="436"/>
      <c r="HH201" s="436"/>
      <c r="HI201" s="436"/>
      <c r="HJ201" s="436"/>
      <c r="HK201" s="436"/>
      <c r="HL201" s="436"/>
      <c r="HM201" s="436"/>
      <c r="HN201" s="436"/>
      <c r="HO201" s="436"/>
      <c r="HP201" s="436"/>
      <c r="HQ201" s="436"/>
      <c r="HR201" s="436"/>
      <c r="HS201" s="436"/>
      <c r="HT201" s="436"/>
      <c r="HU201" s="436"/>
      <c r="HV201" s="436"/>
      <c r="HW201" s="440"/>
    </row>
    <row r="202" spans="107:231" ht="24" customHeight="1">
      <c r="DC202" s="439"/>
      <c r="DD202" s="436"/>
      <c r="DE202" s="436"/>
      <c r="DF202" s="436"/>
      <c r="DG202" s="436"/>
      <c r="DH202" s="436"/>
      <c r="DI202" s="436"/>
      <c r="DJ202" s="436"/>
      <c r="DK202" s="436"/>
      <c r="DL202" s="436"/>
      <c r="DM202" s="436"/>
      <c r="DN202" s="436"/>
      <c r="DO202" s="436"/>
      <c r="DP202" s="436"/>
      <c r="DQ202" s="436"/>
      <c r="DR202" s="436"/>
      <c r="DS202" s="436"/>
      <c r="DT202" s="436"/>
      <c r="DU202" s="436"/>
      <c r="DV202" s="436"/>
      <c r="DW202" s="436"/>
      <c r="DX202" s="436"/>
      <c r="DY202" s="436"/>
      <c r="DZ202" s="436"/>
      <c r="EA202" s="440"/>
      <c r="EB202" s="439"/>
      <c r="EC202" s="436"/>
      <c r="ED202" s="436"/>
      <c r="EE202" s="436"/>
      <c r="EF202" s="436"/>
      <c r="EG202" s="436"/>
      <c r="EH202" s="436"/>
      <c r="EI202" s="436"/>
      <c r="EJ202" s="436"/>
      <c r="EK202" s="436"/>
      <c r="EL202" s="436"/>
      <c r="EM202" s="436"/>
      <c r="EN202" s="436"/>
      <c r="EO202" s="436"/>
      <c r="EP202" s="436"/>
      <c r="EQ202" s="436"/>
      <c r="ER202" s="436"/>
      <c r="ES202" s="436"/>
      <c r="ET202" s="436"/>
      <c r="EU202" s="436"/>
      <c r="EV202" s="436"/>
      <c r="EW202" s="436"/>
      <c r="EX202" s="436"/>
      <c r="EY202" s="436"/>
      <c r="EZ202" s="440"/>
      <c r="FZ202" s="439"/>
      <c r="GA202" s="436"/>
      <c r="GB202" s="436"/>
      <c r="GC202" s="436"/>
      <c r="GD202" s="436"/>
      <c r="GE202" s="436"/>
      <c r="GF202" s="436"/>
      <c r="GG202" s="436"/>
      <c r="GH202" s="436"/>
      <c r="GI202" s="436"/>
      <c r="GJ202" s="436"/>
      <c r="GK202" s="436"/>
      <c r="GL202" s="436"/>
      <c r="GM202" s="436"/>
      <c r="GN202" s="436"/>
      <c r="GO202" s="436"/>
      <c r="GP202" s="436"/>
      <c r="GQ202" s="436"/>
      <c r="GR202" s="436"/>
      <c r="GS202" s="436"/>
      <c r="GT202" s="436"/>
      <c r="GU202" s="436"/>
      <c r="GV202" s="436"/>
      <c r="GW202" s="436"/>
      <c r="GX202" s="440"/>
      <c r="GY202" s="439"/>
      <c r="GZ202" s="436"/>
      <c r="HA202" s="436"/>
      <c r="HB202" s="436"/>
      <c r="HC202" s="436"/>
      <c r="HD202" s="436"/>
      <c r="HE202" s="436"/>
      <c r="HF202" s="436"/>
      <c r="HG202" s="436"/>
      <c r="HH202" s="436"/>
      <c r="HI202" s="436"/>
      <c r="HJ202" s="436"/>
      <c r="HK202" s="436"/>
      <c r="HL202" s="436"/>
      <c r="HM202" s="436"/>
      <c r="HN202" s="436"/>
      <c r="HO202" s="436"/>
      <c r="HP202" s="436"/>
      <c r="HQ202" s="436"/>
      <c r="HR202" s="436"/>
      <c r="HS202" s="436"/>
      <c r="HT202" s="436"/>
      <c r="HU202" s="436"/>
      <c r="HV202" s="436"/>
      <c r="HW202" s="440"/>
    </row>
    <row r="203" spans="107:231" ht="24" customHeight="1">
      <c r="DC203" s="439"/>
      <c r="DD203" s="436"/>
      <c r="DE203" s="436"/>
      <c r="DF203" s="436"/>
      <c r="DG203" s="436"/>
      <c r="DH203" s="436"/>
      <c r="DI203" s="436"/>
      <c r="DJ203" s="436"/>
      <c r="DK203" s="436"/>
      <c r="DL203" s="436"/>
      <c r="DM203" s="436"/>
      <c r="DN203" s="436"/>
      <c r="DO203" s="436"/>
      <c r="DP203" s="436"/>
      <c r="DQ203" s="436"/>
      <c r="DR203" s="436"/>
      <c r="DS203" s="436"/>
      <c r="DT203" s="436"/>
      <c r="DU203" s="436"/>
      <c r="DV203" s="436"/>
      <c r="DW203" s="436"/>
      <c r="DX203" s="436"/>
      <c r="DY203" s="436"/>
      <c r="DZ203" s="436"/>
      <c r="EA203" s="440"/>
      <c r="EB203" s="439"/>
      <c r="EC203" s="436"/>
      <c r="ED203" s="436"/>
      <c r="EE203" s="436"/>
      <c r="EF203" s="436"/>
      <c r="EG203" s="436"/>
      <c r="EH203" s="436"/>
      <c r="EI203" s="436"/>
      <c r="EJ203" s="436"/>
      <c r="EK203" s="436"/>
      <c r="EL203" s="436"/>
      <c r="EM203" s="436"/>
      <c r="EN203" s="436"/>
      <c r="EO203" s="436"/>
      <c r="EP203" s="436"/>
      <c r="EQ203" s="436"/>
      <c r="ER203" s="436"/>
      <c r="ES203" s="436"/>
      <c r="ET203" s="436"/>
      <c r="EU203" s="436"/>
      <c r="EV203" s="436"/>
      <c r="EW203" s="436"/>
      <c r="EX203" s="436"/>
      <c r="EY203" s="436"/>
      <c r="EZ203" s="440"/>
      <c r="FZ203" s="439"/>
      <c r="GA203" s="436"/>
      <c r="GB203" s="436"/>
      <c r="GC203" s="436"/>
      <c r="GD203" s="436"/>
      <c r="GE203" s="436"/>
      <c r="GF203" s="436"/>
      <c r="GG203" s="436"/>
      <c r="GH203" s="436"/>
      <c r="GI203" s="436"/>
      <c r="GJ203" s="436"/>
      <c r="GK203" s="436"/>
      <c r="GL203" s="436"/>
      <c r="GM203" s="436"/>
      <c r="GN203" s="436"/>
      <c r="GO203" s="436"/>
      <c r="GP203" s="436"/>
      <c r="GQ203" s="436"/>
      <c r="GR203" s="436"/>
      <c r="GS203" s="436"/>
      <c r="GT203" s="436"/>
      <c r="GU203" s="436"/>
      <c r="GV203" s="436"/>
      <c r="GW203" s="436"/>
      <c r="GX203" s="440"/>
      <c r="GY203" s="439"/>
      <c r="GZ203" s="436"/>
      <c r="HA203" s="436"/>
      <c r="HB203" s="436"/>
      <c r="HC203" s="436"/>
      <c r="HD203" s="436"/>
      <c r="HE203" s="436"/>
      <c r="HF203" s="436"/>
      <c r="HG203" s="436"/>
      <c r="HH203" s="436"/>
      <c r="HI203" s="436"/>
      <c r="HJ203" s="436"/>
      <c r="HK203" s="436"/>
      <c r="HL203" s="436"/>
      <c r="HM203" s="436"/>
      <c r="HN203" s="436"/>
      <c r="HO203" s="436"/>
      <c r="HP203" s="436"/>
      <c r="HQ203" s="436"/>
      <c r="HR203" s="436"/>
      <c r="HS203" s="436"/>
      <c r="HT203" s="436"/>
      <c r="HU203" s="436"/>
      <c r="HV203" s="436"/>
      <c r="HW203" s="440"/>
    </row>
    <row r="204" spans="107:231" ht="24" customHeight="1">
      <c r="DC204" s="439"/>
      <c r="DD204" s="436"/>
      <c r="DE204" s="436"/>
      <c r="DF204" s="436"/>
      <c r="DG204" s="436"/>
      <c r="DH204" s="436"/>
      <c r="DI204" s="436"/>
      <c r="DJ204" s="436"/>
      <c r="DK204" s="436"/>
      <c r="DL204" s="436"/>
      <c r="DM204" s="436"/>
      <c r="DN204" s="436"/>
      <c r="DO204" s="436"/>
      <c r="DP204" s="436"/>
      <c r="DQ204" s="436"/>
      <c r="DR204" s="436"/>
      <c r="DS204" s="436"/>
      <c r="DT204" s="436"/>
      <c r="DU204" s="436"/>
      <c r="DV204" s="436"/>
      <c r="DW204" s="436"/>
      <c r="DX204" s="436"/>
      <c r="DY204" s="436"/>
      <c r="DZ204" s="436"/>
      <c r="EA204" s="440"/>
      <c r="EB204" s="439"/>
      <c r="EC204" s="436"/>
      <c r="ED204" s="436"/>
      <c r="EE204" s="436"/>
      <c r="EF204" s="436"/>
      <c r="EG204" s="436"/>
      <c r="EH204" s="436"/>
      <c r="EI204" s="436"/>
      <c r="EJ204" s="436"/>
      <c r="EK204" s="436"/>
      <c r="EL204" s="436"/>
      <c r="EM204" s="436"/>
      <c r="EN204" s="436"/>
      <c r="EO204" s="436"/>
      <c r="EP204" s="436"/>
      <c r="EQ204" s="436"/>
      <c r="ER204" s="436"/>
      <c r="ES204" s="436"/>
      <c r="ET204" s="436"/>
      <c r="EU204" s="436"/>
      <c r="EV204" s="436"/>
      <c r="EW204" s="436"/>
      <c r="EX204" s="436"/>
      <c r="EY204" s="436"/>
      <c r="EZ204" s="440"/>
      <c r="FZ204" s="439"/>
      <c r="GA204" s="436"/>
      <c r="GB204" s="436"/>
      <c r="GC204" s="436"/>
      <c r="GD204" s="436"/>
      <c r="GE204" s="436"/>
      <c r="GF204" s="436"/>
      <c r="GG204" s="436"/>
      <c r="GH204" s="436"/>
      <c r="GI204" s="436"/>
      <c r="GJ204" s="436"/>
      <c r="GK204" s="436"/>
      <c r="GL204" s="436"/>
      <c r="GM204" s="436"/>
      <c r="GN204" s="436"/>
      <c r="GO204" s="436"/>
      <c r="GP204" s="436"/>
      <c r="GQ204" s="436"/>
      <c r="GR204" s="436"/>
      <c r="GS204" s="436"/>
      <c r="GT204" s="436"/>
      <c r="GU204" s="436"/>
      <c r="GV204" s="436"/>
      <c r="GW204" s="436"/>
      <c r="GX204" s="440"/>
      <c r="GY204" s="439"/>
      <c r="GZ204" s="436"/>
      <c r="HA204" s="436"/>
      <c r="HB204" s="436"/>
      <c r="HC204" s="436"/>
      <c r="HD204" s="436"/>
      <c r="HE204" s="436"/>
      <c r="HF204" s="436"/>
      <c r="HG204" s="436"/>
      <c r="HH204" s="436"/>
      <c r="HI204" s="436"/>
      <c r="HJ204" s="436"/>
      <c r="HK204" s="436"/>
      <c r="HL204" s="436"/>
      <c r="HM204" s="436"/>
      <c r="HN204" s="436"/>
      <c r="HO204" s="436"/>
      <c r="HP204" s="436"/>
      <c r="HQ204" s="436"/>
      <c r="HR204" s="436"/>
      <c r="HS204" s="436"/>
      <c r="HT204" s="436"/>
      <c r="HU204" s="436"/>
      <c r="HV204" s="436"/>
      <c r="HW204" s="440"/>
    </row>
    <row r="205" spans="107:231" ht="24" customHeight="1">
      <c r="DC205" s="439"/>
      <c r="DD205" s="436"/>
      <c r="DE205" s="436"/>
      <c r="DF205" s="436"/>
      <c r="DG205" s="436"/>
      <c r="DH205" s="436"/>
      <c r="DI205" s="436"/>
      <c r="DJ205" s="436"/>
      <c r="DK205" s="436"/>
      <c r="DL205" s="436"/>
      <c r="DM205" s="436"/>
      <c r="DN205" s="436"/>
      <c r="DO205" s="436"/>
      <c r="DP205" s="436"/>
      <c r="DQ205" s="436"/>
      <c r="DR205" s="436"/>
      <c r="DS205" s="436"/>
      <c r="DT205" s="436"/>
      <c r="DU205" s="436"/>
      <c r="DV205" s="436"/>
      <c r="DW205" s="436"/>
      <c r="DX205" s="436"/>
      <c r="DY205" s="436"/>
      <c r="DZ205" s="436"/>
      <c r="EA205" s="440"/>
      <c r="EB205" s="439"/>
      <c r="EC205" s="436"/>
      <c r="ED205" s="436"/>
      <c r="EE205" s="436"/>
      <c r="EF205" s="436"/>
      <c r="EG205" s="436"/>
      <c r="EH205" s="436"/>
      <c r="EI205" s="436"/>
      <c r="EJ205" s="436"/>
      <c r="EK205" s="436"/>
      <c r="EL205" s="436"/>
      <c r="EM205" s="436"/>
      <c r="EN205" s="436"/>
      <c r="EO205" s="436"/>
      <c r="EP205" s="436"/>
      <c r="EQ205" s="436"/>
      <c r="ER205" s="436"/>
      <c r="ES205" s="436"/>
      <c r="ET205" s="436"/>
      <c r="EU205" s="436"/>
      <c r="EV205" s="436"/>
      <c r="EW205" s="436"/>
      <c r="EX205" s="436"/>
      <c r="EY205" s="436"/>
      <c r="EZ205" s="440"/>
      <c r="FZ205" s="439"/>
      <c r="GA205" s="436"/>
      <c r="GB205" s="436"/>
      <c r="GC205" s="436"/>
      <c r="GD205" s="436"/>
      <c r="GE205" s="436"/>
      <c r="GF205" s="436"/>
      <c r="GG205" s="436"/>
      <c r="GH205" s="436"/>
      <c r="GI205" s="436"/>
      <c r="GJ205" s="436"/>
      <c r="GK205" s="436"/>
      <c r="GL205" s="436"/>
      <c r="GM205" s="436"/>
      <c r="GN205" s="436"/>
      <c r="GO205" s="436"/>
      <c r="GP205" s="436"/>
      <c r="GQ205" s="436"/>
      <c r="GR205" s="436"/>
      <c r="GS205" s="436"/>
      <c r="GT205" s="436"/>
      <c r="GU205" s="436"/>
      <c r="GV205" s="436"/>
      <c r="GW205" s="436"/>
      <c r="GX205" s="440"/>
      <c r="GY205" s="439"/>
      <c r="GZ205" s="436"/>
      <c r="HA205" s="436"/>
      <c r="HB205" s="436"/>
      <c r="HC205" s="436"/>
      <c r="HD205" s="436"/>
      <c r="HE205" s="436"/>
      <c r="HF205" s="436"/>
      <c r="HG205" s="436"/>
      <c r="HH205" s="436"/>
      <c r="HI205" s="436"/>
      <c r="HJ205" s="436"/>
      <c r="HK205" s="436"/>
      <c r="HL205" s="436"/>
      <c r="HM205" s="436"/>
      <c r="HN205" s="436"/>
      <c r="HO205" s="436"/>
      <c r="HP205" s="436"/>
      <c r="HQ205" s="436"/>
      <c r="HR205" s="436"/>
      <c r="HS205" s="436"/>
      <c r="HT205" s="436"/>
      <c r="HU205" s="436"/>
      <c r="HV205" s="436"/>
      <c r="HW205" s="440"/>
    </row>
    <row r="206" spans="107:231" ht="24" customHeight="1">
      <c r="DC206" s="439"/>
      <c r="DD206" s="436"/>
      <c r="DE206" s="436"/>
      <c r="DF206" s="436"/>
      <c r="DG206" s="436"/>
      <c r="DH206" s="436"/>
      <c r="DI206" s="436"/>
      <c r="DJ206" s="436"/>
      <c r="DK206" s="436"/>
      <c r="DL206" s="436"/>
      <c r="DM206" s="436"/>
      <c r="DN206" s="436"/>
      <c r="DO206" s="436"/>
      <c r="DP206" s="436"/>
      <c r="DQ206" s="436"/>
      <c r="DR206" s="436"/>
      <c r="DS206" s="436"/>
      <c r="DT206" s="436"/>
      <c r="DU206" s="436"/>
      <c r="DV206" s="436"/>
      <c r="DW206" s="436"/>
      <c r="DX206" s="436"/>
      <c r="DY206" s="436"/>
      <c r="DZ206" s="436"/>
      <c r="EA206" s="440"/>
      <c r="EB206" s="439"/>
      <c r="EC206" s="436"/>
      <c r="ED206" s="436"/>
      <c r="EE206" s="436"/>
      <c r="EF206" s="436"/>
      <c r="EG206" s="436"/>
      <c r="EH206" s="436"/>
      <c r="EI206" s="436"/>
      <c r="EJ206" s="436"/>
      <c r="EK206" s="436"/>
      <c r="EL206" s="436"/>
      <c r="EM206" s="436"/>
      <c r="EN206" s="436"/>
      <c r="EO206" s="436"/>
      <c r="EP206" s="436"/>
      <c r="EQ206" s="436"/>
      <c r="ER206" s="436"/>
      <c r="ES206" s="436"/>
      <c r="ET206" s="436"/>
      <c r="EU206" s="436"/>
      <c r="EV206" s="436"/>
      <c r="EW206" s="436"/>
      <c r="EX206" s="436"/>
      <c r="EY206" s="436"/>
      <c r="EZ206" s="440"/>
      <c r="FZ206" s="439"/>
      <c r="GA206" s="436"/>
      <c r="GB206" s="436"/>
      <c r="GC206" s="436"/>
      <c r="GD206" s="436"/>
      <c r="GE206" s="436"/>
      <c r="GF206" s="436"/>
      <c r="GG206" s="436"/>
      <c r="GH206" s="436"/>
      <c r="GI206" s="436"/>
      <c r="GJ206" s="436"/>
      <c r="GK206" s="436"/>
      <c r="GL206" s="436"/>
      <c r="GM206" s="436"/>
      <c r="GN206" s="436"/>
      <c r="GO206" s="436"/>
      <c r="GP206" s="436"/>
      <c r="GQ206" s="436"/>
      <c r="GR206" s="436"/>
      <c r="GS206" s="436"/>
      <c r="GT206" s="436"/>
      <c r="GU206" s="436"/>
      <c r="GV206" s="436"/>
      <c r="GW206" s="436"/>
      <c r="GX206" s="440"/>
      <c r="GY206" s="439"/>
      <c r="GZ206" s="436"/>
      <c r="HA206" s="436"/>
      <c r="HB206" s="436"/>
      <c r="HC206" s="436"/>
      <c r="HD206" s="436"/>
      <c r="HE206" s="436"/>
      <c r="HF206" s="436"/>
      <c r="HG206" s="436"/>
      <c r="HH206" s="436"/>
      <c r="HI206" s="436"/>
      <c r="HJ206" s="436"/>
      <c r="HK206" s="436"/>
      <c r="HL206" s="436"/>
      <c r="HM206" s="436"/>
      <c r="HN206" s="436"/>
      <c r="HO206" s="436"/>
      <c r="HP206" s="436"/>
      <c r="HQ206" s="436"/>
      <c r="HR206" s="436"/>
      <c r="HS206" s="436"/>
      <c r="HT206" s="436"/>
      <c r="HU206" s="436"/>
      <c r="HV206" s="436"/>
      <c r="HW206" s="440"/>
    </row>
    <row r="207" spans="107:231" ht="24" customHeight="1">
      <c r="DC207" s="439"/>
      <c r="DD207" s="436"/>
      <c r="DE207" s="436"/>
      <c r="DF207" s="436"/>
      <c r="DG207" s="436"/>
      <c r="DH207" s="436"/>
      <c r="DI207" s="436"/>
      <c r="DJ207" s="436"/>
      <c r="DK207" s="436"/>
      <c r="DL207" s="436"/>
      <c r="DM207" s="436"/>
      <c r="DN207" s="436"/>
      <c r="DO207" s="436"/>
      <c r="DP207" s="436"/>
      <c r="DQ207" s="436"/>
      <c r="DR207" s="436"/>
      <c r="DS207" s="436"/>
      <c r="DT207" s="436"/>
      <c r="DU207" s="436"/>
      <c r="DV207" s="436"/>
      <c r="DW207" s="436"/>
      <c r="DX207" s="436"/>
      <c r="DY207" s="436"/>
      <c r="DZ207" s="436"/>
      <c r="EA207" s="440"/>
      <c r="EB207" s="439"/>
      <c r="EC207" s="436"/>
      <c r="ED207" s="436"/>
      <c r="EE207" s="436"/>
      <c r="EF207" s="436"/>
      <c r="EG207" s="436"/>
      <c r="EH207" s="436"/>
      <c r="EI207" s="436"/>
      <c r="EJ207" s="436"/>
      <c r="EK207" s="436"/>
      <c r="EL207" s="436"/>
      <c r="EM207" s="436"/>
      <c r="EN207" s="436"/>
      <c r="EO207" s="436"/>
      <c r="EP207" s="436"/>
      <c r="EQ207" s="436"/>
      <c r="ER207" s="436"/>
      <c r="ES207" s="436"/>
      <c r="ET207" s="436"/>
      <c r="EU207" s="436"/>
      <c r="EV207" s="436"/>
      <c r="EW207" s="436"/>
      <c r="EX207" s="436"/>
      <c r="EY207" s="436"/>
      <c r="EZ207" s="440"/>
      <c r="FZ207" s="439"/>
      <c r="GA207" s="436"/>
      <c r="GB207" s="436"/>
      <c r="GC207" s="436"/>
      <c r="GD207" s="436"/>
      <c r="GE207" s="436"/>
      <c r="GF207" s="436"/>
      <c r="GG207" s="436"/>
      <c r="GH207" s="436"/>
      <c r="GI207" s="436"/>
      <c r="GJ207" s="436"/>
      <c r="GK207" s="436"/>
      <c r="GL207" s="436"/>
      <c r="GM207" s="436"/>
      <c r="GN207" s="436"/>
      <c r="GO207" s="436"/>
      <c r="GP207" s="436"/>
      <c r="GQ207" s="436"/>
      <c r="GR207" s="436"/>
      <c r="GS207" s="436"/>
      <c r="GT207" s="436"/>
      <c r="GU207" s="436"/>
      <c r="GV207" s="436"/>
      <c r="GW207" s="436"/>
      <c r="GX207" s="440"/>
      <c r="GY207" s="439"/>
      <c r="GZ207" s="436"/>
      <c r="HA207" s="436"/>
      <c r="HB207" s="436"/>
      <c r="HC207" s="436"/>
      <c r="HD207" s="436"/>
      <c r="HE207" s="436"/>
      <c r="HF207" s="436"/>
      <c r="HG207" s="436"/>
      <c r="HH207" s="436"/>
      <c r="HI207" s="436"/>
      <c r="HJ207" s="436"/>
      <c r="HK207" s="436"/>
      <c r="HL207" s="436"/>
      <c r="HM207" s="436"/>
      <c r="HN207" s="436"/>
      <c r="HO207" s="436"/>
      <c r="HP207" s="436"/>
      <c r="HQ207" s="436"/>
      <c r="HR207" s="436"/>
      <c r="HS207" s="436"/>
      <c r="HT207" s="436"/>
      <c r="HU207" s="436"/>
      <c r="HV207" s="436"/>
      <c r="HW207" s="440"/>
    </row>
    <row r="208" spans="107:231" ht="24" customHeight="1" thickBot="1">
      <c r="DC208" s="439"/>
      <c r="DD208" s="441"/>
      <c r="DE208" s="441"/>
      <c r="DF208" s="441"/>
      <c r="DG208" s="436"/>
      <c r="DH208" s="436"/>
      <c r="DI208" s="436"/>
      <c r="DJ208" s="436"/>
      <c r="DK208" s="436"/>
      <c r="DL208" s="436"/>
      <c r="DM208" s="436"/>
      <c r="DN208" s="436"/>
      <c r="DO208" s="436"/>
      <c r="DP208" s="436"/>
      <c r="DQ208" s="436"/>
      <c r="DR208" s="436"/>
      <c r="DS208" s="436"/>
      <c r="DT208" s="436"/>
      <c r="DU208" s="436"/>
      <c r="DV208" s="436"/>
      <c r="DW208" s="436"/>
      <c r="DX208" s="436"/>
      <c r="DY208" s="436"/>
      <c r="DZ208" s="436"/>
      <c r="EA208" s="440"/>
      <c r="EB208" s="439"/>
      <c r="EC208" s="441"/>
      <c r="ED208" s="441"/>
      <c r="EE208" s="441"/>
      <c r="EF208" s="436"/>
      <c r="EG208" s="436"/>
      <c r="EH208" s="436"/>
      <c r="EI208" s="436"/>
      <c r="EJ208" s="436"/>
      <c r="EK208" s="436"/>
      <c r="EL208" s="436"/>
      <c r="EM208" s="436"/>
      <c r="EN208" s="436"/>
      <c r="EO208" s="436"/>
      <c r="EP208" s="436"/>
      <c r="EQ208" s="436"/>
      <c r="ER208" s="436"/>
      <c r="ES208" s="436"/>
      <c r="ET208" s="436"/>
      <c r="EU208" s="436"/>
      <c r="EV208" s="436"/>
      <c r="EW208" s="436"/>
      <c r="EX208" s="436"/>
      <c r="EY208" s="436"/>
      <c r="EZ208" s="440"/>
      <c r="FZ208" s="439"/>
      <c r="GA208" s="441"/>
      <c r="GB208" s="441"/>
      <c r="GC208" s="441"/>
      <c r="GD208" s="436"/>
      <c r="GE208" s="436"/>
      <c r="GF208" s="436"/>
      <c r="GG208" s="436"/>
      <c r="GH208" s="436"/>
      <c r="GI208" s="436"/>
      <c r="GJ208" s="436"/>
      <c r="GK208" s="436"/>
      <c r="GL208" s="436"/>
      <c r="GM208" s="436"/>
      <c r="GN208" s="436"/>
      <c r="GO208" s="436"/>
      <c r="GP208" s="436"/>
      <c r="GQ208" s="436"/>
      <c r="GR208" s="436"/>
      <c r="GS208" s="436"/>
      <c r="GT208" s="436"/>
      <c r="GU208" s="436"/>
      <c r="GV208" s="436"/>
      <c r="GW208" s="436"/>
      <c r="GX208" s="440"/>
      <c r="GY208" s="439"/>
      <c r="GZ208" s="441"/>
      <c r="HA208" s="441"/>
      <c r="HB208" s="441"/>
      <c r="HC208" s="436"/>
      <c r="HD208" s="436"/>
      <c r="HE208" s="436"/>
      <c r="HF208" s="436"/>
      <c r="HG208" s="436"/>
      <c r="HH208" s="436"/>
      <c r="HI208" s="436"/>
      <c r="HJ208" s="436"/>
      <c r="HK208" s="436"/>
      <c r="HL208" s="436"/>
      <c r="HM208" s="436"/>
      <c r="HN208" s="436"/>
      <c r="HO208" s="436"/>
      <c r="HP208" s="436"/>
      <c r="HQ208" s="436"/>
      <c r="HR208" s="436"/>
      <c r="HS208" s="436"/>
      <c r="HT208" s="436"/>
      <c r="HU208" s="436"/>
      <c r="HV208" s="436"/>
      <c r="HW208" s="440"/>
    </row>
    <row r="209" spans="107:231" ht="24" customHeight="1" thickBot="1">
      <c r="DC209" s="444"/>
      <c r="DD209" s="1917" t="str">
        <f>'Вывод расчетов'!$CC$9</f>
        <v>Раздел 3</v>
      </c>
      <c r="DE209" s="1915"/>
      <c r="DF209" s="1915"/>
      <c r="DG209" s="445"/>
      <c r="DH209" s="1917" t="str">
        <f>'Вывод расчетов'!$CF$9</f>
        <v>Расчет обмотки статора</v>
      </c>
      <c r="DI209" s="1915"/>
      <c r="DJ209" s="1915"/>
      <c r="DK209" s="1915"/>
      <c r="DL209" s="1915"/>
      <c r="DM209" s="1915"/>
      <c r="DN209" s="1915"/>
      <c r="DO209" s="1915"/>
      <c r="DP209" s="1915"/>
      <c r="DQ209" s="1915"/>
      <c r="DR209" s="1915"/>
      <c r="DS209" s="1918"/>
      <c r="DT209" s="445"/>
      <c r="DU209" s="1917" t="s">
        <v>1502</v>
      </c>
      <c r="DV209" s="1915"/>
      <c r="DW209" s="1918"/>
      <c r="DX209" s="445"/>
      <c r="DY209" s="1917">
        <v>11</v>
      </c>
      <c r="DZ209" s="1918"/>
      <c r="EA209" s="446"/>
      <c r="EB209" s="444"/>
      <c r="EC209" s="1917" t="str">
        <f>'Вывод расчетов'!$CC$9</f>
        <v>Раздел 3</v>
      </c>
      <c r="ED209" s="1915"/>
      <c r="EE209" s="1915"/>
      <c r="EF209" s="445"/>
      <c r="EG209" s="1917" t="str">
        <f>'Вывод расчетов'!$CF$9</f>
        <v>Расчет обмотки статора</v>
      </c>
      <c r="EH209" s="1915"/>
      <c r="EI209" s="1915"/>
      <c r="EJ209" s="1915"/>
      <c r="EK209" s="1915"/>
      <c r="EL209" s="1915"/>
      <c r="EM209" s="1915"/>
      <c r="EN209" s="1915"/>
      <c r="EO209" s="1915"/>
      <c r="EP209" s="1915"/>
      <c r="EQ209" s="1915"/>
      <c r="ER209" s="1918"/>
      <c r="ES209" s="445"/>
      <c r="ET209" s="1917" t="s">
        <v>1502</v>
      </c>
      <c r="EU209" s="1915"/>
      <c r="EV209" s="1918"/>
      <c r="EW209" s="445"/>
      <c r="EX209" s="1917">
        <v>11</v>
      </c>
      <c r="EY209" s="1918"/>
      <c r="EZ209" s="446"/>
      <c r="FZ209" s="444"/>
      <c r="GA209" s="1917" t="str">
        <f>'Вывод расчетов'!$CC$9</f>
        <v>Раздел 3</v>
      </c>
      <c r="GB209" s="1915"/>
      <c r="GC209" s="1915"/>
      <c r="GD209" s="445"/>
      <c r="GE209" s="1917" t="str">
        <f>'Вывод расчетов'!$CF$9</f>
        <v>Расчет обмотки статора</v>
      </c>
      <c r="GF209" s="1915"/>
      <c r="GG209" s="1915"/>
      <c r="GH209" s="1915"/>
      <c r="GI209" s="1915"/>
      <c r="GJ209" s="1915"/>
      <c r="GK209" s="1915"/>
      <c r="GL209" s="1915"/>
      <c r="GM209" s="1915"/>
      <c r="GN209" s="1915"/>
      <c r="GO209" s="1915"/>
      <c r="GP209" s="1918"/>
      <c r="GQ209" s="445"/>
      <c r="GR209" s="1917" t="s">
        <v>1502</v>
      </c>
      <c r="GS209" s="1915"/>
      <c r="GT209" s="1918"/>
      <c r="GU209" s="445"/>
      <c r="GV209" s="1917">
        <v>11</v>
      </c>
      <c r="GW209" s="1918"/>
      <c r="GX209" s="446"/>
      <c r="GY209" s="444"/>
      <c r="GZ209" s="1917" t="str">
        <f>'Вывод расчетов'!$CC$9</f>
        <v>Раздел 3</v>
      </c>
      <c r="HA209" s="1915"/>
      <c r="HB209" s="1915"/>
      <c r="HC209" s="445"/>
      <c r="HD209" s="1917" t="str">
        <f>'Вывод расчетов'!$CF$9</f>
        <v>Расчет обмотки статора</v>
      </c>
      <c r="HE209" s="1915"/>
      <c r="HF209" s="1915"/>
      <c r="HG209" s="1915"/>
      <c r="HH209" s="1915"/>
      <c r="HI209" s="1915"/>
      <c r="HJ209" s="1915"/>
      <c r="HK209" s="1915"/>
      <c r="HL209" s="1915"/>
      <c r="HM209" s="1915"/>
      <c r="HN209" s="1915"/>
      <c r="HO209" s="1918"/>
      <c r="HP209" s="445"/>
      <c r="HQ209" s="1917" t="s">
        <v>1502</v>
      </c>
      <c r="HR209" s="1915"/>
      <c r="HS209" s="1918"/>
      <c r="HT209" s="445"/>
      <c r="HU209" s="1917">
        <v>11</v>
      </c>
      <c r="HV209" s="1918"/>
      <c r="HW209" s="446"/>
    </row>
    <row r="210" spans="107:231" ht="24" customHeight="1" thickBot="1">
      <c r="EB210" s="1914" t="s">
        <v>1230</v>
      </c>
      <c r="EC210" s="1915"/>
      <c r="ED210" s="1915"/>
      <c r="EE210" s="1915"/>
      <c r="EF210" s="1915"/>
      <c r="EG210" s="1915"/>
      <c r="EH210" s="1915"/>
      <c r="EI210" s="1915"/>
      <c r="EJ210" s="1915"/>
      <c r="EK210" s="1915"/>
      <c r="EL210" s="1915"/>
      <c r="EM210" s="1915"/>
      <c r="EN210" s="1915"/>
      <c r="EO210" s="1915"/>
      <c r="EP210" s="1915"/>
      <c r="EQ210" s="1915"/>
      <c r="ER210" s="1915"/>
      <c r="ES210" s="1915"/>
      <c r="ET210" s="1915"/>
      <c r="EU210" s="1915"/>
      <c r="EV210" s="1915"/>
      <c r="EW210" s="1915"/>
      <c r="EX210" s="1915"/>
      <c r="EY210" s="1915"/>
      <c r="EZ210" s="1916"/>
      <c r="FZ210" s="1914" t="s">
        <v>1230</v>
      </c>
      <c r="GA210" s="1915"/>
      <c r="GB210" s="1915"/>
      <c r="GC210" s="1915"/>
      <c r="GD210" s="1915"/>
      <c r="GE210" s="1915"/>
      <c r="GF210" s="1915"/>
      <c r="GG210" s="1915"/>
      <c r="GH210" s="1915"/>
      <c r="GI210" s="1915"/>
      <c r="GJ210" s="1915"/>
      <c r="GK210" s="1915"/>
      <c r="GL210" s="1915"/>
      <c r="GM210" s="1915"/>
      <c r="GN210" s="1915"/>
      <c r="GO210" s="1915"/>
      <c r="GP210" s="1915"/>
      <c r="GQ210" s="1915"/>
      <c r="GR210" s="1915"/>
      <c r="GS210" s="1915"/>
      <c r="GT210" s="1915"/>
      <c r="GU210" s="1915"/>
      <c r="GV210" s="1915"/>
      <c r="GW210" s="1915"/>
      <c r="GX210" s="1916"/>
      <c r="GY210" s="1914" t="s">
        <v>1230</v>
      </c>
      <c r="GZ210" s="1915"/>
      <c r="HA210" s="1915"/>
      <c r="HB210" s="1915"/>
      <c r="HC210" s="1915"/>
      <c r="HD210" s="1915"/>
      <c r="HE210" s="1915"/>
      <c r="HF210" s="1915"/>
      <c r="HG210" s="1915"/>
      <c r="HH210" s="1915"/>
      <c r="HI210" s="1915"/>
      <c r="HJ210" s="1915"/>
      <c r="HK210" s="1915"/>
      <c r="HL210" s="1915"/>
      <c r="HM210" s="1915"/>
      <c r="HN210" s="1915"/>
      <c r="HO210" s="1915"/>
      <c r="HP210" s="1915"/>
      <c r="HQ210" s="1915"/>
      <c r="HR210" s="1915"/>
      <c r="HS210" s="1915"/>
      <c r="HT210" s="1915"/>
      <c r="HU210" s="1915"/>
      <c r="HV210" s="1915"/>
      <c r="HW210" s="1916"/>
    </row>
    <row r="211" spans="107:231" ht="24" customHeight="1">
      <c r="EB211" s="437"/>
      <c r="EC211" s="438"/>
      <c r="ED211" s="438"/>
      <c r="EE211" s="438"/>
      <c r="EF211" s="438"/>
      <c r="EG211" s="438"/>
      <c r="EH211" s="438"/>
      <c r="EI211" s="438"/>
      <c r="EJ211" s="438"/>
      <c r="EK211" s="438"/>
      <c r="EL211" s="438"/>
      <c r="EM211" s="438"/>
      <c r="EN211" s="438"/>
      <c r="EO211" s="438"/>
      <c r="EP211" s="438"/>
      <c r="EQ211" s="438"/>
      <c r="ER211" s="438"/>
      <c r="ES211" s="438"/>
      <c r="ET211" s="438"/>
      <c r="EU211" s="438"/>
      <c r="EV211" s="438"/>
      <c r="EW211" s="438"/>
      <c r="EX211" s="438"/>
      <c r="EY211" s="438"/>
      <c r="EZ211" s="447"/>
      <c r="FZ211" s="437"/>
      <c r="GA211" s="438"/>
      <c r="GB211" s="438"/>
      <c r="GC211" s="438"/>
      <c r="GD211" s="438"/>
      <c r="GE211" s="438"/>
      <c r="GF211" s="438"/>
      <c r="GG211" s="438"/>
      <c r="GH211" s="438"/>
      <c r="GI211" s="438"/>
      <c r="GJ211" s="438"/>
      <c r="GK211" s="438"/>
      <c r="GL211" s="438"/>
      <c r="GM211" s="438"/>
      <c r="GN211" s="438"/>
      <c r="GO211" s="438"/>
      <c r="GP211" s="438"/>
      <c r="GQ211" s="438"/>
      <c r="GR211" s="438"/>
      <c r="GS211" s="438"/>
      <c r="GT211" s="438"/>
      <c r="GU211" s="438"/>
      <c r="GV211" s="438"/>
      <c r="GW211" s="438"/>
      <c r="GX211" s="447"/>
      <c r="GY211" s="437"/>
      <c r="GZ211" s="438"/>
      <c r="HA211" s="438"/>
      <c r="HB211" s="438"/>
      <c r="HC211" s="438"/>
      <c r="HD211" s="438"/>
      <c r="HE211" s="438"/>
      <c r="HF211" s="438"/>
      <c r="HG211" s="438"/>
      <c r="HH211" s="438"/>
      <c r="HI211" s="438"/>
      <c r="HJ211" s="438"/>
      <c r="HK211" s="438"/>
      <c r="HL211" s="438"/>
      <c r="HM211" s="438"/>
      <c r="HN211" s="438"/>
      <c r="HO211" s="438"/>
      <c r="HP211" s="438"/>
      <c r="HQ211" s="438"/>
      <c r="HR211" s="438"/>
      <c r="HS211" s="438"/>
      <c r="HT211" s="438"/>
      <c r="HU211" s="438"/>
      <c r="HV211" s="438"/>
      <c r="HW211" s="447"/>
    </row>
    <row r="212" spans="107:231" ht="24" customHeight="1">
      <c r="EB212" s="439"/>
      <c r="EC212" s="436"/>
      <c r="ED212" s="436"/>
      <c r="EE212" s="436"/>
      <c r="EF212" s="436"/>
      <c r="EG212" s="436"/>
      <c r="EH212" s="436"/>
      <c r="EI212" s="436"/>
      <c r="EJ212" s="436"/>
      <c r="EK212" s="436"/>
      <c r="EL212" s="436"/>
      <c r="EM212" s="436"/>
      <c r="EN212" s="436"/>
      <c r="EO212" s="436"/>
      <c r="EP212" s="436"/>
      <c r="EQ212" s="436"/>
      <c r="ER212" s="436"/>
      <c r="ES212" s="436"/>
      <c r="ET212" s="436"/>
      <c r="EU212" s="436"/>
      <c r="EV212" s="436"/>
      <c r="EW212" s="436"/>
      <c r="EX212" s="436"/>
      <c r="EY212" s="436"/>
      <c r="EZ212" s="440"/>
      <c r="FZ212" s="439"/>
      <c r="GA212" s="436"/>
      <c r="GB212" s="436"/>
      <c r="GC212" s="436"/>
      <c r="GD212" s="436"/>
      <c r="GE212" s="436"/>
      <c r="GF212" s="436"/>
      <c r="GG212" s="436"/>
      <c r="GH212" s="436"/>
      <c r="GI212" s="436"/>
      <c r="GJ212" s="436"/>
      <c r="GK212" s="436"/>
      <c r="GL212" s="436"/>
      <c r="GM212" s="436"/>
      <c r="GN212" s="436"/>
      <c r="GO212" s="436"/>
      <c r="GP212" s="436"/>
      <c r="GQ212" s="436"/>
      <c r="GR212" s="436"/>
      <c r="GS212" s="436"/>
      <c r="GT212" s="436"/>
      <c r="GU212" s="436"/>
      <c r="GV212" s="436"/>
      <c r="GW212" s="436"/>
      <c r="GX212" s="440"/>
      <c r="GY212" s="439"/>
      <c r="GZ212" s="436"/>
      <c r="HA212" s="436"/>
      <c r="HB212" s="436"/>
      <c r="HC212" s="436"/>
      <c r="HD212" s="436"/>
      <c r="HE212" s="436"/>
      <c r="HF212" s="436"/>
      <c r="HG212" s="436"/>
      <c r="HH212" s="436"/>
      <c r="HI212" s="436"/>
      <c r="HJ212" s="436"/>
      <c r="HK212" s="436"/>
      <c r="HL212" s="436"/>
      <c r="HM212" s="436"/>
      <c r="HN212" s="436"/>
      <c r="HO212" s="436"/>
      <c r="HP212" s="436"/>
      <c r="HQ212" s="436"/>
      <c r="HR212" s="436"/>
      <c r="HS212" s="436"/>
      <c r="HT212" s="436"/>
      <c r="HU212" s="436"/>
      <c r="HV212" s="436"/>
      <c r="HW212" s="440"/>
    </row>
    <row r="213" spans="107:231" ht="24" customHeight="1">
      <c r="EB213" s="439"/>
      <c r="EC213" s="436"/>
      <c r="ED213" s="436"/>
      <c r="EE213" s="436"/>
      <c r="EF213" s="436"/>
      <c r="EG213" s="436"/>
      <c r="EH213" s="436"/>
      <c r="EI213" s="436"/>
      <c r="EJ213" s="436"/>
      <c r="EK213" s="436"/>
      <c r="EL213" s="436"/>
      <c r="EM213" s="436"/>
      <c r="EN213" s="436"/>
      <c r="EO213" s="436"/>
      <c r="EP213" s="436"/>
      <c r="EQ213" s="436"/>
      <c r="ER213" s="436"/>
      <c r="ES213" s="436"/>
      <c r="ET213" s="436"/>
      <c r="EU213" s="436"/>
      <c r="EV213" s="436"/>
      <c r="EW213" s="436"/>
      <c r="EX213" s="436"/>
      <c r="EY213" s="436"/>
      <c r="EZ213" s="440"/>
      <c r="FZ213" s="439"/>
      <c r="GA213" s="436"/>
      <c r="GB213" s="436"/>
      <c r="GC213" s="436"/>
      <c r="GD213" s="436"/>
      <c r="GE213" s="436"/>
      <c r="GF213" s="436"/>
      <c r="GG213" s="436"/>
      <c r="GH213" s="436"/>
      <c r="GI213" s="436"/>
      <c r="GJ213" s="436"/>
      <c r="GK213" s="436"/>
      <c r="GL213" s="436"/>
      <c r="GM213" s="436"/>
      <c r="GN213" s="436"/>
      <c r="GO213" s="436"/>
      <c r="GP213" s="436"/>
      <c r="GQ213" s="436"/>
      <c r="GR213" s="436"/>
      <c r="GS213" s="436"/>
      <c r="GT213" s="436"/>
      <c r="GU213" s="436"/>
      <c r="GV213" s="436"/>
      <c r="GW213" s="436"/>
      <c r="GX213" s="440"/>
      <c r="GY213" s="439"/>
      <c r="GZ213" s="436"/>
      <c r="HA213" s="436"/>
      <c r="HB213" s="436"/>
      <c r="HC213" s="436"/>
      <c r="HD213" s="436"/>
      <c r="HE213" s="436"/>
      <c r="HF213" s="436"/>
      <c r="HG213" s="436"/>
      <c r="HH213" s="436"/>
      <c r="HI213" s="436"/>
      <c r="HJ213" s="436"/>
      <c r="HK213" s="436"/>
      <c r="HL213" s="436"/>
      <c r="HM213" s="436"/>
      <c r="HN213" s="436"/>
      <c r="HO213" s="436"/>
      <c r="HP213" s="436"/>
      <c r="HQ213" s="436"/>
      <c r="HR213" s="436"/>
      <c r="HS213" s="436"/>
      <c r="HT213" s="436"/>
      <c r="HU213" s="436"/>
      <c r="HV213" s="436"/>
      <c r="HW213" s="440"/>
    </row>
    <row r="214" spans="107:231" ht="24" customHeight="1">
      <c r="EB214" s="439"/>
      <c r="EC214" s="436"/>
      <c r="ED214" s="436"/>
      <c r="EE214" s="436"/>
      <c r="EF214" s="436"/>
      <c r="EG214" s="436"/>
      <c r="EH214" s="436"/>
      <c r="EI214" s="436"/>
      <c r="EJ214" s="436"/>
      <c r="EK214" s="436"/>
      <c r="EL214" s="436"/>
      <c r="EM214" s="436"/>
      <c r="EN214" s="436"/>
      <c r="EO214" s="436"/>
      <c r="EP214" s="436"/>
      <c r="EQ214" s="436"/>
      <c r="ER214" s="436"/>
      <c r="ES214" s="436"/>
      <c r="ET214" s="436"/>
      <c r="EU214" s="436"/>
      <c r="EV214" s="436"/>
      <c r="EW214" s="436"/>
      <c r="EX214" s="436"/>
      <c r="EY214" s="436"/>
      <c r="EZ214" s="440"/>
      <c r="FZ214" s="439"/>
      <c r="GA214" s="436"/>
      <c r="GB214" s="436"/>
      <c r="GC214" s="436"/>
      <c r="GD214" s="436"/>
      <c r="GE214" s="436"/>
      <c r="GF214" s="436"/>
      <c r="GG214" s="436"/>
      <c r="GH214" s="436"/>
      <c r="GI214" s="436"/>
      <c r="GJ214" s="436"/>
      <c r="GK214" s="436"/>
      <c r="GL214" s="436"/>
      <c r="GM214" s="436"/>
      <c r="GN214" s="436"/>
      <c r="GO214" s="436"/>
      <c r="GP214" s="436"/>
      <c r="GQ214" s="436"/>
      <c r="GR214" s="436"/>
      <c r="GS214" s="436"/>
      <c r="GT214" s="436"/>
      <c r="GU214" s="436"/>
      <c r="GV214" s="436"/>
      <c r="GW214" s="436"/>
      <c r="GX214" s="440"/>
      <c r="GY214" s="439"/>
      <c r="GZ214" s="436"/>
      <c r="HA214" s="436"/>
      <c r="HB214" s="436"/>
      <c r="HC214" s="436"/>
      <c r="HD214" s="436"/>
      <c r="HE214" s="436"/>
      <c r="HF214" s="436"/>
      <c r="HG214" s="436"/>
      <c r="HH214" s="436"/>
      <c r="HI214" s="436"/>
      <c r="HJ214" s="436"/>
      <c r="HK214" s="436"/>
      <c r="HL214" s="436"/>
      <c r="HM214" s="436"/>
      <c r="HN214" s="436"/>
      <c r="HO214" s="436"/>
      <c r="HP214" s="436"/>
      <c r="HQ214" s="436"/>
      <c r="HR214" s="436"/>
      <c r="HS214" s="436"/>
      <c r="HT214" s="436"/>
      <c r="HU214" s="436"/>
      <c r="HV214" s="436"/>
      <c r="HW214" s="440"/>
    </row>
    <row r="215" spans="107:231" ht="24" customHeight="1">
      <c r="EB215" s="439"/>
      <c r="EC215" s="436"/>
      <c r="ED215" s="436"/>
      <c r="EE215" s="436"/>
      <c r="EF215" s="436"/>
      <c r="EG215" s="436"/>
      <c r="EH215" s="436"/>
      <c r="EI215" s="436"/>
      <c r="EJ215" s="436"/>
      <c r="EK215" s="436"/>
      <c r="EL215" s="436"/>
      <c r="EM215" s="436"/>
      <c r="EN215" s="436"/>
      <c r="EO215" s="436"/>
      <c r="EP215" s="436"/>
      <c r="EQ215" s="436"/>
      <c r="ER215" s="436"/>
      <c r="ES215" s="436"/>
      <c r="ET215" s="436"/>
      <c r="EU215" s="436"/>
      <c r="EV215" s="436"/>
      <c r="EW215" s="436"/>
      <c r="EX215" s="436"/>
      <c r="EY215" s="436"/>
      <c r="EZ215" s="440"/>
      <c r="FZ215" s="439"/>
      <c r="GA215" s="436"/>
      <c r="GB215" s="436"/>
      <c r="GC215" s="436"/>
      <c r="GD215" s="436"/>
      <c r="GE215" s="436"/>
      <c r="GF215" s="436"/>
      <c r="GG215" s="436"/>
      <c r="GH215" s="436"/>
      <c r="GI215" s="436"/>
      <c r="GJ215" s="436"/>
      <c r="GK215" s="436"/>
      <c r="GL215" s="436"/>
      <c r="GM215" s="436"/>
      <c r="GN215" s="436"/>
      <c r="GO215" s="436"/>
      <c r="GP215" s="436"/>
      <c r="GQ215" s="436"/>
      <c r="GR215" s="436"/>
      <c r="GS215" s="436"/>
      <c r="GT215" s="436"/>
      <c r="GU215" s="436"/>
      <c r="GV215" s="436"/>
      <c r="GW215" s="436"/>
      <c r="GX215" s="440"/>
      <c r="GY215" s="439"/>
      <c r="GZ215" s="436"/>
      <c r="HA215" s="436"/>
      <c r="HB215" s="436"/>
      <c r="HC215" s="436"/>
      <c r="HD215" s="436"/>
      <c r="HE215" s="436"/>
      <c r="HF215" s="436"/>
      <c r="HG215" s="436"/>
      <c r="HH215" s="436"/>
      <c r="HI215" s="436"/>
      <c r="HJ215" s="436"/>
      <c r="HK215" s="436"/>
      <c r="HL215" s="436"/>
      <c r="HM215" s="436"/>
      <c r="HN215" s="436"/>
      <c r="HO215" s="436"/>
      <c r="HP215" s="436"/>
      <c r="HQ215" s="436"/>
      <c r="HR215" s="436"/>
      <c r="HS215" s="436"/>
      <c r="HT215" s="436"/>
      <c r="HU215" s="436"/>
      <c r="HV215" s="436"/>
      <c r="HW215" s="440"/>
    </row>
    <row r="216" spans="107:231" ht="24" customHeight="1">
      <c r="EB216" s="439"/>
      <c r="EC216" s="436"/>
      <c r="ED216" s="436"/>
      <c r="EE216" s="436"/>
      <c r="EF216" s="436"/>
      <c r="EG216" s="436"/>
      <c r="EH216" s="436"/>
      <c r="EI216" s="436"/>
      <c r="EJ216" s="436"/>
      <c r="EK216" s="436"/>
      <c r="EL216" s="436"/>
      <c r="EM216" s="436"/>
      <c r="EN216" s="436"/>
      <c r="EO216" s="436"/>
      <c r="EP216" s="436"/>
      <c r="EQ216" s="436"/>
      <c r="ER216" s="436"/>
      <c r="ES216" s="436"/>
      <c r="ET216" s="436"/>
      <c r="EU216" s="436"/>
      <c r="EV216" s="436"/>
      <c r="EW216" s="436"/>
      <c r="EX216" s="436"/>
      <c r="EY216" s="436"/>
      <c r="EZ216" s="440"/>
      <c r="FZ216" s="439"/>
      <c r="GA216" s="436"/>
      <c r="GB216" s="436"/>
      <c r="GC216" s="436"/>
      <c r="GD216" s="436"/>
      <c r="GE216" s="436"/>
      <c r="GF216" s="436"/>
      <c r="GG216" s="436"/>
      <c r="GH216" s="436"/>
      <c r="GI216" s="436"/>
      <c r="GJ216" s="436"/>
      <c r="GK216" s="436"/>
      <c r="GL216" s="436"/>
      <c r="GM216" s="436"/>
      <c r="GN216" s="436"/>
      <c r="GO216" s="436"/>
      <c r="GP216" s="436"/>
      <c r="GQ216" s="436"/>
      <c r="GR216" s="436"/>
      <c r="GS216" s="436"/>
      <c r="GT216" s="436"/>
      <c r="GU216" s="436"/>
      <c r="GV216" s="436"/>
      <c r="GW216" s="436"/>
      <c r="GX216" s="440"/>
      <c r="GY216" s="439"/>
      <c r="GZ216" s="436"/>
      <c r="HA216" s="436"/>
      <c r="HB216" s="436"/>
      <c r="HC216" s="436"/>
      <c r="HD216" s="436"/>
      <c r="HE216" s="436"/>
      <c r="HF216" s="436"/>
      <c r="HG216" s="436"/>
      <c r="HH216" s="436"/>
      <c r="HI216" s="436"/>
      <c r="HJ216" s="436"/>
      <c r="HK216" s="436"/>
      <c r="HL216" s="436"/>
      <c r="HM216" s="436"/>
      <c r="HN216" s="436"/>
      <c r="HO216" s="436"/>
      <c r="HP216" s="436"/>
      <c r="HQ216" s="436"/>
      <c r="HR216" s="436"/>
      <c r="HS216" s="436"/>
      <c r="HT216" s="436"/>
      <c r="HU216" s="436"/>
      <c r="HV216" s="436"/>
      <c r="HW216" s="440"/>
    </row>
    <row r="217" spans="107:231" ht="24" customHeight="1">
      <c r="EB217" s="439"/>
      <c r="EC217" s="436"/>
      <c r="ED217" s="436"/>
      <c r="EE217" s="436"/>
      <c r="EF217" s="436"/>
      <c r="EG217" s="436"/>
      <c r="EH217" s="436"/>
      <c r="EI217" s="436"/>
      <c r="EJ217" s="436"/>
      <c r="EK217" s="436"/>
      <c r="EL217" s="436"/>
      <c r="EM217" s="436"/>
      <c r="EN217" s="436"/>
      <c r="EO217" s="436"/>
      <c r="EP217" s="436"/>
      <c r="EQ217" s="436"/>
      <c r="ER217" s="436"/>
      <c r="ES217" s="436"/>
      <c r="ET217" s="436"/>
      <c r="EU217" s="436"/>
      <c r="EV217" s="436"/>
      <c r="EW217" s="436"/>
      <c r="EX217" s="436"/>
      <c r="EY217" s="436"/>
      <c r="EZ217" s="440"/>
      <c r="FZ217" s="439"/>
      <c r="GA217" s="436"/>
      <c r="GB217" s="436"/>
      <c r="GC217" s="436"/>
      <c r="GD217" s="436"/>
      <c r="GE217" s="436"/>
      <c r="GF217" s="436"/>
      <c r="GG217" s="436"/>
      <c r="GH217" s="436"/>
      <c r="GI217" s="436"/>
      <c r="GJ217" s="436"/>
      <c r="GK217" s="436"/>
      <c r="GL217" s="436"/>
      <c r="GM217" s="436"/>
      <c r="GN217" s="436"/>
      <c r="GO217" s="436"/>
      <c r="GP217" s="436"/>
      <c r="GQ217" s="436"/>
      <c r="GR217" s="436"/>
      <c r="GS217" s="436"/>
      <c r="GT217" s="436"/>
      <c r="GU217" s="436"/>
      <c r="GV217" s="436"/>
      <c r="GW217" s="436"/>
      <c r="GX217" s="440"/>
      <c r="GY217" s="439"/>
      <c r="GZ217" s="436"/>
      <c r="HA217" s="436"/>
      <c r="HB217" s="436"/>
      <c r="HC217" s="436"/>
      <c r="HD217" s="436"/>
      <c r="HE217" s="436"/>
      <c r="HF217" s="436"/>
      <c r="HG217" s="436"/>
      <c r="HH217" s="436"/>
      <c r="HI217" s="436"/>
      <c r="HJ217" s="436"/>
      <c r="HK217" s="436"/>
      <c r="HL217" s="436"/>
      <c r="HM217" s="436"/>
      <c r="HN217" s="436"/>
      <c r="HO217" s="436"/>
      <c r="HP217" s="436"/>
      <c r="HQ217" s="436"/>
      <c r="HR217" s="436"/>
      <c r="HS217" s="436"/>
      <c r="HT217" s="436"/>
      <c r="HU217" s="436"/>
      <c r="HV217" s="436"/>
      <c r="HW217" s="440"/>
    </row>
    <row r="218" spans="107:231" ht="24" customHeight="1">
      <c r="EB218" s="439"/>
      <c r="EC218" s="436"/>
      <c r="ED218" s="436"/>
      <c r="EE218" s="436"/>
      <c r="EF218" s="436"/>
      <c r="EG218" s="436"/>
      <c r="EH218" s="436"/>
      <c r="EI218" s="436"/>
      <c r="EJ218" s="436"/>
      <c r="EK218" s="436"/>
      <c r="EL218" s="436"/>
      <c r="EM218" s="436"/>
      <c r="EN218" s="436"/>
      <c r="EO218" s="436"/>
      <c r="EP218" s="436"/>
      <c r="EQ218" s="436"/>
      <c r="ER218" s="436"/>
      <c r="ES218" s="436"/>
      <c r="ET218" s="436"/>
      <c r="EU218" s="436"/>
      <c r="EV218" s="436"/>
      <c r="EW218" s="436"/>
      <c r="EX218" s="436"/>
      <c r="EY218" s="436"/>
      <c r="EZ218" s="440"/>
      <c r="FZ218" s="439"/>
      <c r="GA218" s="436"/>
      <c r="GB218" s="436"/>
      <c r="GC218" s="436"/>
      <c r="GD218" s="436"/>
      <c r="GE218" s="436"/>
      <c r="GF218" s="436"/>
      <c r="GG218" s="436"/>
      <c r="GH218" s="436"/>
      <c r="GI218" s="436"/>
      <c r="GJ218" s="436"/>
      <c r="GK218" s="436"/>
      <c r="GL218" s="436"/>
      <c r="GM218" s="436"/>
      <c r="GN218" s="436"/>
      <c r="GO218" s="436"/>
      <c r="GP218" s="436"/>
      <c r="GQ218" s="436"/>
      <c r="GR218" s="436"/>
      <c r="GS218" s="436"/>
      <c r="GT218" s="436"/>
      <c r="GU218" s="436"/>
      <c r="GV218" s="436"/>
      <c r="GW218" s="436"/>
      <c r="GX218" s="440"/>
      <c r="GY218" s="439"/>
      <c r="GZ218" s="436"/>
      <c r="HA218" s="436"/>
      <c r="HB218" s="436"/>
      <c r="HC218" s="436"/>
      <c r="HD218" s="436"/>
      <c r="HE218" s="436"/>
      <c r="HF218" s="436"/>
      <c r="HG218" s="436"/>
      <c r="HH218" s="436"/>
      <c r="HI218" s="436"/>
      <c r="HJ218" s="436"/>
      <c r="HK218" s="436"/>
      <c r="HL218" s="436"/>
      <c r="HM218" s="436"/>
      <c r="HN218" s="436"/>
      <c r="HO218" s="436"/>
      <c r="HP218" s="436"/>
      <c r="HQ218" s="436"/>
      <c r="HR218" s="436"/>
      <c r="HS218" s="436"/>
      <c r="HT218" s="436"/>
      <c r="HU218" s="436"/>
      <c r="HV218" s="436"/>
      <c r="HW218" s="440"/>
    </row>
    <row r="219" spans="107:231" ht="24" customHeight="1">
      <c r="EB219" s="439"/>
      <c r="EC219" s="436"/>
      <c r="ED219" s="436"/>
      <c r="EE219" s="436"/>
      <c r="EF219" s="436"/>
      <c r="EG219" s="436"/>
      <c r="EH219" s="436"/>
      <c r="EI219" s="436"/>
      <c r="EJ219" s="436"/>
      <c r="EK219" s="436"/>
      <c r="EL219" s="436"/>
      <c r="EM219" s="436"/>
      <c r="EN219" s="436"/>
      <c r="EO219" s="436"/>
      <c r="EP219" s="436"/>
      <c r="EQ219" s="436"/>
      <c r="ER219" s="436"/>
      <c r="ES219" s="436"/>
      <c r="ET219" s="436"/>
      <c r="EU219" s="436"/>
      <c r="EV219" s="436"/>
      <c r="EW219" s="436"/>
      <c r="EX219" s="436"/>
      <c r="EY219" s="436"/>
      <c r="EZ219" s="440"/>
      <c r="FZ219" s="439"/>
      <c r="GA219" s="436"/>
      <c r="GB219" s="436"/>
      <c r="GC219" s="436"/>
      <c r="GD219" s="436"/>
      <c r="GE219" s="436"/>
      <c r="GF219" s="436"/>
      <c r="GG219" s="436"/>
      <c r="GH219" s="436"/>
      <c r="GI219" s="436"/>
      <c r="GJ219" s="436"/>
      <c r="GK219" s="436"/>
      <c r="GL219" s="436"/>
      <c r="GM219" s="436"/>
      <c r="GN219" s="436"/>
      <c r="GO219" s="436"/>
      <c r="GP219" s="436"/>
      <c r="GQ219" s="436"/>
      <c r="GR219" s="436"/>
      <c r="GS219" s="436"/>
      <c r="GT219" s="436"/>
      <c r="GU219" s="436"/>
      <c r="GV219" s="436"/>
      <c r="GW219" s="436"/>
      <c r="GX219" s="440"/>
      <c r="GY219" s="439"/>
      <c r="GZ219" s="436"/>
      <c r="HA219" s="436"/>
      <c r="HB219" s="436"/>
      <c r="HC219" s="436"/>
      <c r="HD219" s="436"/>
      <c r="HE219" s="436"/>
      <c r="HF219" s="436"/>
      <c r="HG219" s="436"/>
      <c r="HH219" s="436"/>
      <c r="HI219" s="436"/>
      <c r="HJ219" s="436"/>
      <c r="HK219" s="436"/>
      <c r="HL219" s="436"/>
      <c r="HM219" s="436"/>
      <c r="HN219" s="436"/>
      <c r="HO219" s="436"/>
      <c r="HP219" s="436"/>
      <c r="HQ219" s="436"/>
      <c r="HR219" s="436"/>
      <c r="HS219" s="436"/>
      <c r="HT219" s="436"/>
      <c r="HU219" s="436"/>
      <c r="HV219" s="436"/>
      <c r="HW219" s="440"/>
    </row>
    <row r="220" spans="107:231" ht="24" customHeight="1">
      <c r="EB220" s="439"/>
      <c r="EC220" s="436"/>
      <c r="ED220" s="436"/>
      <c r="EE220" s="436"/>
      <c r="EF220" s="436"/>
      <c r="EG220" s="436"/>
      <c r="EH220" s="436"/>
      <c r="EI220" s="436"/>
      <c r="EJ220" s="436"/>
      <c r="EK220" s="436"/>
      <c r="EL220" s="436"/>
      <c r="EM220" s="436"/>
      <c r="EN220" s="436"/>
      <c r="EO220" s="436"/>
      <c r="EP220" s="436"/>
      <c r="EQ220" s="436"/>
      <c r="ER220" s="436"/>
      <c r="ES220" s="436"/>
      <c r="ET220" s="436"/>
      <c r="EU220" s="436"/>
      <c r="EV220" s="436"/>
      <c r="EW220" s="436"/>
      <c r="EX220" s="436"/>
      <c r="EY220" s="436"/>
      <c r="EZ220" s="440"/>
      <c r="FZ220" s="439"/>
      <c r="GA220" s="436"/>
      <c r="GB220" s="436"/>
      <c r="GC220" s="436"/>
      <c r="GD220" s="436"/>
      <c r="GE220" s="436"/>
      <c r="GF220" s="436"/>
      <c r="GG220" s="436"/>
      <c r="GH220" s="436"/>
      <c r="GI220" s="436"/>
      <c r="GJ220" s="436"/>
      <c r="GK220" s="436"/>
      <c r="GL220" s="436"/>
      <c r="GM220" s="436"/>
      <c r="GN220" s="436"/>
      <c r="GO220" s="436"/>
      <c r="GP220" s="436"/>
      <c r="GQ220" s="436"/>
      <c r="GR220" s="436"/>
      <c r="GS220" s="436"/>
      <c r="GT220" s="436"/>
      <c r="GU220" s="436"/>
      <c r="GV220" s="436"/>
      <c r="GW220" s="436"/>
      <c r="GX220" s="440"/>
      <c r="GY220" s="439"/>
      <c r="GZ220" s="436"/>
      <c r="HA220" s="436"/>
      <c r="HB220" s="436"/>
      <c r="HC220" s="436"/>
      <c r="HD220" s="436"/>
      <c r="HE220" s="436"/>
      <c r="HF220" s="436"/>
      <c r="HG220" s="436"/>
      <c r="HH220" s="436"/>
      <c r="HI220" s="436"/>
      <c r="HJ220" s="436"/>
      <c r="HK220" s="436"/>
      <c r="HL220" s="436"/>
      <c r="HM220" s="436"/>
      <c r="HN220" s="436"/>
      <c r="HO220" s="436"/>
      <c r="HP220" s="436"/>
      <c r="HQ220" s="436"/>
      <c r="HR220" s="436"/>
      <c r="HS220" s="436"/>
      <c r="HT220" s="436"/>
      <c r="HU220" s="436"/>
      <c r="HV220" s="436"/>
      <c r="HW220" s="440"/>
    </row>
    <row r="221" spans="107:231" ht="24" customHeight="1">
      <c r="EB221" s="439"/>
      <c r="EC221" s="436"/>
      <c r="ED221" s="436"/>
      <c r="EE221" s="436"/>
      <c r="EF221" s="436"/>
      <c r="EG221" s="436"/>
      <c r="EH221" s="436"/>
      <c r="EI221" s="436"/>
      <c r="EJ221" s="436"/>
      <c r="EK221" s="436"/>
      <c r="EL221" s="436"/>
      <c r="EM221" s="436"/>
      <c r="EN221" s="436"/>
      <c r="EO221" s="436"/>
      <c r="EP221" s="436"/>
      <c r="EQ221" s="436"/>
      <c r="ER221" s="436"/>
      <c r="ES221" s="436"/>
      <c r="ET221" s="436"/>
      <c r="EU221" s="436"/>
      <c r="EV221" s="436"/>
      <c r="EW221" s="436"/>
      <c r="EX221" s="436"/>
      <c r="EY221" s="436"/>
      <c r="EZ221" s="440"/>
      <c r="FZ221" s="439"/>
      <c r="GA221" s="436"/>
      <c r="GB221" s="436"/>
      <c r="GC221" s="436"/>
      <c r="GD221" s="436"/>
      <c r="GE221" s="436"/>
      <c r="GF221" s="436"/>
      <c r="GG221" s="436"/>
      <c r="GH221" s="436"/>
      <c r="GI221" s="436"/>
      <c r="GJ221" s="436"/>
      <c r="GK221" s="436"/>
      <c r="GL221" s="436"/>
      <c r="GM221" s="436"/>
      <c r="GN221" s="436"/>
      <c r="GO221" s="436"/>
      <c r="GP221" s="436"/>
      <c r="GQ221" s="436"/>
      <c r="GR221" s="436"/>
      <c r="GS221" s="436"/>
      <c r="GT221" s="436"/>
      <c r="GU221" s="436"/>
      <c r="GV221" s="436"/>
      <c r="GW221" s="436"/>
      <c r="GX221" s="440"/>
      <c r="GY221" s="439"/>
      <c r="GZ221" s="436"/>
      <c r="HA221" s="436"/>
      <c r="HB221" s="436"/>
      <c r="HC221" s="436"/>
      <c r="HD221" s="436"/>
      <c r="HE221" s="436"/>
      <c r="HF221" s="436"/>
      <c r="HG221" s="436"/>
      <c r="HH221" s="436"/>
      <c r="HI221" s="436"/>
      <c r="HJ221" s="436"/>
      <c r="HK221" s="436"/>
      <c r="HL221" s="436"/>
      <c r="HM221" s="436"/>
      <c r="HN221" s="436"/>
      <c r="HO221" s="436"/>
      <c r="HP221" s="436"/>
      <c r="HQ221" s="436"/>
      <c r="HR221" s="436"/>
      <c r="HS221" s="436"/>
      <c r="HT221" s="436"/>
      <c r="HU221" s="436"/>
      <c r="HV221" s="436"/>
      <c r="HW221" s="440"/>
    </row>
    <row r="222" spans="107:231" ht="24" customHeight="1">
      <c r="EB222" s="439"/>
      <c r="EC222" s="436"/>
      <c r="ED222" s="436"/>
      <c r="EE222" s="436"/>
      <c r="EF222" s="436"/>
      <c r="EG222" s="436"/>
      <c r="EH222" s="436"/>
      <c r="EI222" s="436"/>
      <c r="EJ222" s="436"/>
      <c r="EK222" s="436"/>
      <c r="EL222" s="436"/>
      <c r="EM222" s="436"/>
      <c r="EN222" s="436"/>
      <c r="EO222" s="436"/>
      <c r="EP222" s="436"/>
      <c r="EQ222" s="436"/>
      <c r="ER222" s="436"/>
      <c r="ES222" s="436"/>
      <c r="ET222" s="436"/>
      <c r="EU222" s="436"/>
      <c r="EV222" s="436"/>
      <c r="EW222" s="436"/>
      <c r="EX222" s="436"/>
      <c r="EY222" s="436"/>
      <c r="EZ222" s="440"/>
      <c r="FZ222" s="439"/>
      <c r="GA222" s="436"/>
      <c r="GB222" s="436"/>
      <c r="GC222" s="436"/>
      <c r="GD222" s="436"/>
      <c r="GE222" s="436"/>
      <c r="GF222" s="436"/>
      <c r="GG222" s="436"/>
      <c r="GH222" s="436"/>
      <c r="GI222" s="436"/>
      <c r="GJ222" s="436"/>
      <c r="GK222" s="436"/>
      <c r="GL222" s="436"/>
      <c r="GM222" s="436"/>
      <c r="GN222" s="436"/>
      <c r="GO222" s="436"/>
      <c r="GP222" s="436"/>
      <c r="GQ222" s="436"/>
      <c r="GR222" s="436"/>
      <c r="GS222" s="436"/>
      <c r="GT222" s="436"/>
      <c r="GU222" s="436"/>
      <c r="GV222" s="436"/>
      <c r="GW222" s="436"/>
      <c r="GX222" s="440"/>
      <c r="GY222" s="439"/>
      <c r="GZ222" s="436"/>
      <c r="HA222" s="436"/>
      <c r="HB222" s="436"/>
      <c r="HC222" s="436"/>
      <c r="HD222" s="436"/>
      <c r="HE222" s="436"/>
      <c r="HF222" s="436"/>
      <c r="HG222" s="436"/>
      <c r="HH222" s="436"/>
      <c r="HI222" s="436"/>
      <c r="HJ222" s="436"/>
      <c r="HK222" s="436"/>
      <c r="HL222" s="436"/>
      <c r="HM222" s="436"/>
      <c r="HN222" s="436"/>
      <c r="HO222" s="436"/>
      <c r="HP222" s="436"/>
      <c r="HQ222" s="436"/>
      <c r="HR222" s="436"/>
      <c r="HS222" s="436"/>
      <c r="HT222" s="436"/>
      <c r="HU222" s="436"/>
      <c r="HV222" s="436"/>
      <c r="HW222" s="440"/>
    </row>
    <row r="223" spans="107:231" ht="24" customHeight="1">
      <c r="EB223" s="439"/>
      <c r="EC223" s="436"/>
      <c r="ED223" s="436"/>
      <c r="EE223" s="436"/>
      <c r="EF223" s="436"/>
      <c r="EG223" s="436"/>
      <c r="EH223" s="436"/>
      <c r="EI223" s="436"/>
      <c r="EJ223" s="436"/>
      <c r="EK223" s="436"/>
      <c r="EL223" s="436"/>
      <c r="EM223" s="436"/>
      <c r="EN223" s="436"/>
      <c r="EO223" s="436"/>
      <c r="EP223" s="436"/>
      <c r="EQ223" s="436"/>
      <c r="ER223" s="436"/>
      <c r="ES223" s="436"/>
      <c r="ET223" s="436"/>
      <c r="EU223" s="436"/>
      <c r="EV223" s="436"/>
      <c r="EW223" s="436"/>
      <c r="EX223" s="436"/>
      <c r="EY223" s="436"/>
      <c r="EZ223" s="440"/>
      <c r="FZ223" s="439"/>
      <c r="GA223" s="436"/>
      <c r="GB223" s="436"/>
      <c r="GC223" s="436"/>
      <c r="GD223" s="436"/>
      <c r="GE223" s="436"/>
      <c r="GF223" s="436"/>
      <c r="GG223" s="436"/>
      <c r="GH223" s="436"/>
      <c r="GI223" s="436"/>
      <c r="GJ223" s="436"/>
      <c r="GK223" s="436"/>
      <c r="GL223" s="436"/>
      <c r="GM223" s="436"/>
      <c r="GN223" s="436"/>
      <c r="GO223" s="436"/>
      <c r="GP223" s="436"/>
      <c r="GQ223" s="436"/>
      <c r="GR223" s="436"/>
      <c r="GS223" s="436"/>
      <c r="GT223" s="436"/>
      <c r="GU223" s="436"/>
      <c r="GV223" s="436"/>
      <c r="GW223" s="436"/>
      <c r="GX223" s="440"/>
      <c r="GY223" s="439"/>
      <c r="GZ223" s="436"/>
      <c r="HA223" s="436"/>
      <c r="HB223" s="436"/>
      <c r="HC223" s="436"/>
      <c r="HD223" s="436"/>
      <c r="HE223" s="436"/>
      <c r="HF223" s="436"/>
      <c r="HG223" s="436"/>
      <c r="HH223" s="436"/>
      <c r="HI223" s="436"/>
      <c r="HJ223" s="436"/>
      <c r="HK223" s="436"/>
      <c r="HL223" s="436"/>
      <c r="HM223" s="436"/>
      <c r="HN223" s="436"/>
      <c r="HO223" s="436"/>
      <c r="HP223" s="436"/>
      <c r="HQ223" s="436"/>
      <c r="HR223" s="436"/>
      <c r="HS223" s="436"/>
      <c r="HT223" s="436"/>
      <c r="HU223" s="436"/>
      <c r="HV223" s="436"/>
      <c r="HW223" s="440"/>
    </row>
    <row r="224" spans="107:231" ht="24" customHeight="1">
      <c r="EB224" s="439"/>
      <c r="EC224" s="436"/>
      <c r="ED224" s="436"/>
      <c r="EE224" s="436"/>
      <c r="EF224" s="436"/>
      <c r="EG224" s="436"/>
      <c r="EH224" s="436"/>
      <c r="EI224" s="436"/>
      <c r="EJ224" s="436"/>
      <c r="EK224" s="436"/>
      <c r="EL224" s="436"/>
      <c r="EM224" s="436"/>
      <c r="EN224" s="436"/>
      <c r="EO224" s="436"/>
      <c r="EP224" s="436"/>
      <c r="EQ224" s="436"/>
      <c r="ER224" s="436"/>
      <c r="ES224" s="436"/>
      <c r="ET224" s="436"/>
      <c r="EU224" s="436"/>
      <c r="EV224" s="436"/>
      <c r="EW224" s="436"/>
      <c r="EX224" s="436"/>
      <c r="EY224" s="436"/>
      <c r="EZ224" s="440"/>
      <c r="FZ224" s="439"/>
      <c r="GA224" s="436"/>
      <c r="GB224" s="436"/>
      <c r="GC224" s="436"/>
      <c r="GD224" s="436"/>
      <c r="GE224" s="436"/>
      <c r="GF224" s="436"/>
      <c r="GG224" s="436"/>
      <c r="GH224" s="436"/>
      <c r="GI224" s="436"/>
      <c r="GJ224" s="436"/>
      <c r="GK224" s="436"/>
      <c r="GL224" s="436"/>
      <c r="GM224" s="436"/>
      <c r="GN224" s="436"/>
      <c r="GO224" s="436"/>
      <c r="GP224" s="436"/>
      <c r="GQ224" s="436"/>
      <c r="GR224" s="436"/>
      <c r="GS224" s="436"/>
      <c r="GT224" s="436"/>
      <c r="GU224" s="436"/>
      <c r="GV224" s="436"/>
      <c r="GW224" s="436"/>
      <c r="GX224" s="440"/>
      <c r="GY224" s="439"/>
      <c r="GZ224" s="436"/>
      <c r="HA224" s="436"/>
      <c r="HB224" s="436"/>
      <c r="HC224" s="436"/>
      <c r="HD224" s="436"/>
      <c r="HE224" s="436"/>
      <c r="HF224" s="436"/>
      <c r="HG224" s="436"/>
      <c r="HH224" s="436"/>
      <c r="HI224" s="436"/>
      <c r="HJ224" s="436"/>
      <c r="HK224" s="436"/>
      <c r="HL224" s="436"/>
      <c r="HM224" s="436"/>
      <c r="HN224" s="436"/>
      <c r="HO224" s="436"/>
      <c r="HP224" s="436"/>
      <c r="HQ224" s="436"/>
      <c r="HR224" s="436"/>
      <c r="HS224" s="436"/>
      <c r="HT224" s="436"/>
      <c r="HU224" s="436"/>
      <c r="HV224" s="436"/>
      <c r="HW224" s="440"/>
    </row>
    <row r="225" spans="132:231" ht="24" customHeight="1">
      <c r="EB225" s="439"/>
      <c r="EC225" s="436"/>
      <c r="ED225" s="436"/>
      <c r="EE225" s="436"/>
      <c r="EF225" s="436"/>
      <c r="EG225" s="436"/>
      <c r="EH225" s="436"/>
      <c r="EI225" s="436"/>
      <c r="EJ225" s="436"/>
      <c r="EK225" s="436"/>
      <c r="EL225" s="436"/>
      <c r="EM225" s="436"/>
      <c r="EN225" s="436"/>
      <c r="EO225" s="436"/>
      <c r="EP225" s="436"/>
      <c r="EQ225" s="436"/>
      <c r="ER225" s="436"/>
      <c r="ES225" s="436"/>
      <c r="ET225" s="436"/>
      <c r="EU225" s="436"/>
      <c r="EV225" s="436"/>
      <c r="EW225" s="436"/>
      <c r="EX225" s="436"/>
      <c r="EY225" s="436"/>
      <c r="EZ225" s="440"/>
      <c r="FZ225" s="439"/>
      <c r="GA225" s="436"/>
      <c r="GB225" s="436"/>
      <c r="GC225" s="436"/>
      <c r="GD225" s="436"/>
      <c r="GE225" s="436"/>
      <c r="GF225" s="436"/>
      <c r="GG225" s="436"/>
      <c r="GH225" s="436"/>
      <c r="GI225" s="436"/>
      <c r="GJ225" s="436"/>
      <c r="GK225" s="436"/>
      <c r="GL225" s="436"/>
      <c r="GM225" s="436"/>
      <c r="GN225" s="436"/>
      <c r="GO225" s="436"/>
      <c r="GP225" s="436"/>
      <c r="GQ225" s="436"/>
      <c r="GR225" s="436"/>
      <c r="GS225" s="436"/>
      <c r="GT225" s="436"/>
      <c r="GU225" s="436"/>
      <c r="GV225" s="436"/>
      <c r="GW225" s="436"/>
      <c r="GX225" s="440"/>
      <c r="GY225" s="439"/>
      <c r="GZ225" s="436"/>
      <c r="HA225" s="436"/>
      <c r="HB225" s="436"/>
      <c r="HC225" s="436"/>
      <c r="HD225" s="436"/>
      <c r="HE225" s="436"/>
      <c r="HF225" s="436"/>
      <c r="HG225" s="436"/>
      <c r="HH225" s="436"/>
      <c r="HI225" s="436"/>
      <c r="HJ225" s="436"/>
      <c r="HK225" s="436"/>
      <c r="HL225" s="436"/>
      <c r="HM225" s="436"/>
      <c r="HN225" s="436"/>
      <c r="HO225" s="436"/>
      <c r="HP225" s="436"/>
      <c r="HQ225" s="436"/>
      <c r="HR225" s="436"/>
      <c r="HS225" s="436"/>
      <c r="HT225" s="436"/>
      <c r="HU225" s="436"/>
      <c r="HV225" s="436"/>
      <c r="HW225" s="440"/>
    </row>
    <row r="226" spans="132:231" ht="24" customHeight="1">
      <c r="EB226" s="439"/>
      <c r="EC226" s="436"/>
      <c r="ED226" s="436"/>
      <c r="EE226" s="436"/>
      <c r="EF226" s="436"/>
      <c r="EG226" s="436"/>
      <c r="EH226" s="436"/>
      <c r="EI226" s="436"/>
      <c r="EJ226" s="436"/>
      <c r="EK226" s="436"/>
      <c r="EL226" s="436"/>
      <c r="EM226" s="436"/>
      <c r="EN226" s="436"/>
      <c r="EO226" s="436"/>
      <c r="EP226" s="436"/>
      <c r="EQ226" s="436"/>
      <c r="ER226" s="436"/>
      <c r="ES226" s="436"/>
      <c r="ET226" s="436"/>
      <c r="EU226" s="436"/>
      <c r="EV226" s="436"/>
      <c r="EW226" s="436"/>
      <c r="EX226" s="436"/>
      <c r="EY226" s="436"/>
      <c r="EZ226" s="440"/>
      <c r="FZ226" s="439"/>
      <c r="GA226" s="436"/>
      <c r="GB226" s="436"/>
      <c r="GC226" s="436"/>
      <c r="GD226" s="436"/>
      <c r="GE226" s="436"/>
      <c r="GF226" s="436"/>
      <c r="GG226" s="436"/>
      <c r="GH226" s="436"/>
      <c r="GI226" s="436"/>
      <c r="GJ226" s="436"/>
      <c r="GK226" s="436"/>
      <c r="GL226" s="436"/>
      <c r="GM226" s="436"/>
      <c r="GN226" s="436"/>
      <c r="GO226" s="436"/>
      <c r="GP226" s="436"/>
      <c r="GQ226" s="436"/>
      <c r="GR226" s="436"/>
      <c r="GS226" s="436"/>
      <c r="GT226" s="436"/>
      <c r="GU226" s="436"/>
      <c r="GV226" s="436"/>
      <c r="GW226" s="436"/>
      <c r="GX226" s="440"/>
      <c r="GY226" s="439"/>
      <c r="GZ226" s="436"/>
      <c r="HA226" s="436"/>
      <c r="HB226" s="436"/>
      <c r="HC226" s="436"/>
      <c r="HD226" s="436"/>
      <c r="HE226" s="436"/>
      <c r="HF226" s="436"/>
      <c r="HG226" s="436"/>
      <c r="HH226" s="436"/>
      <c r="HI226" s="436"/>
      <c r="HJ226" s="436"/>
      <c r="HK226" s="436"/>
      <c r="HL226" s="436"/>
      <c r="HM226" s="436"/>
      <c r="HN226" s="436"/>
      <c r="HO226" s="436"/>
      <c r="HP226" s="436"/>
      <c r="HQ226" s="436"/>
      <c r="HR226" s="436"/>
      <c r="HS226" s="436"/>
      <c r="HT226" s="436"/>
      <c r="HU226" s="436"/>
      <c r="HV226" s="436"/>
      <c r="HW226" s="440"/>
    </row>
    <row r="227" spans="132:231" ht="24" customHeight="1" thickBot="1">
      <c r="EB227" s="439"/>
      <c r="EC227" s="441"/>
      <c r="ED227" s="441"/>
      <c r="EE227" s="441"/>
      <c r="EF227" s="436"/>
      <c r="EG227" s="436"/>
      <c r="EH227" s="436"/>
      <c r="EI227" s="436"/>
      <c r="EJ227" s="436"/>
      <c r="EK227" s="436"/>
      <c r="EL227" s="436"/>
      <c r="EM227" s="436"/>
      <c r="EN227" s="436"/>
      <c r="EO227" s="436"/>
      <c r="EP227" s="436"/>
      <c r="EQ227" s="436"/>
      <c r="ER227" s="436"/>
      <c r="ES227" s="436"/>
      <c r="ET227" s="436"/>
      <c r="EU227" s="436"/>
      <c r="EV227" s="436"/>
      <c r="EW227" s="436"/>
      <c r="EX227" s="436"/>
      <c r="EY227" s="436"/>
      <c r="EZ227" s="440"/>
      <c r="FZ227" s="439"/>
      <c r="GA227" s="441"/>
      <c r="GB227" s="441"/>
      <c r="GC227" s="441"/>
      <c r="GD227" s="436"/>
      <c r="GE227" s="436"/>
      <c r="GF227" s="436"/>
      <c r="GG227" s="436"/>
      <c r="GH227" s="436"/>
      <c r="GI227" s="436"/>
      <c r="GJ227" s="436"/>
      <c r="GK227" s="436"/>
      <c r="GL227" s="436"/>
      <c r="GM227" s="436"/>
      <c r="GN227" s="436"/>
      <c r="GO227" s="436"/>
      <c r="GP227" s="436"/>
      <c r="GQ227" s="436"/>
      <c r="GR227" s="436"/>
      <c r="GS227" s="436"/>
      <c r="GT227" s="436"/>
      <c r="GU227" s="436"/>
      <c r="GV227" s="436"/>
      <c r="GW227" s="436"/>
      <c r="GX227" s="440"/>
      <c r="GY227" s="439"/>
      <c r="GZ227" s="441"/>
      <c r="HA227" s="441"/>
      <c r="HB227" s="441"/>
      <c r="HC227" s="436"/>
      <c r="HD227" s="436"/>
      <c r="HE227" s="436"/>
      <c r="HF227" s="436"/>
      <c r="HG227" s="436"/>
      <c r="HH227" s="436"/>
      <c r="HI227" s="436"/>
      <c r="HJ227" s="436"/>
      <c r="HK227" s="436"/>
      <c r="HL227" s="436"/>
      <c r="HM227" s="436"/>
      <c r="HN227" s="436"/>
      <c r="HO227" s="436"/>
      <c r="HP227" s="436"/>
      <c r="HQ227" s="436"/>
      <c r="HR227" s="436"/>
      <c r="HS227" s="436"/>
      <c r="HT227" s="436"/>
      <c r="HU227" s="436"/>
      <c r="HV227" s="436"/>
      <c r="HW227" s="440"/>
    </row>
    <row r="228" spans="132:231" ht="24" customHeight="1" thickBot="1">
      <c r="EB228" s="444"/>
      <c r="EC228" s="1917" t="str">
        <f>'Вывод расчетов'!$CC$9</f>
        <v>Раздел 3</v>
      </c>
      <c r="ED228" s="1915"/>
      <c r="EE228" s="1915"/>
      <c r="EF228" s="445"/>
      <c r="EG228" s="1917" t="str">
        <f>'Вывод расчетов'!$CF$9</f>
        <v>Расчет обмотки статора</v>
      </c>
      <c r="EH228" s="1915"/>
      <c r="EI228" s="1915"/>
      <c r="EJ228" s="1915"/>
      <c r="EK228" s="1915"/>
      <c r="EL228" s="1915"/>
      <c r="EM228" s="1915"/>
      <c r="EN228" s="1915"/>
      <c r="EO228" s="1915"/>
      <c r="EP228" s="1915"/>
      <c r="EQ228" s="1915"/>
      <c r="ER228" s="1918"/>
      <c r="ES228" s="445"/>
      <c r="ET228" s="1917" t="s">
        <v>1502</v>
      </c>
      <c r="EU228" s="1915"/>
      <c r="EV228" s="1918"/>
      <c r="EW228" s="445"/>
      <c r="EX228" s="1917">
        <v>11</v>
      </c>
      <c r="EY228" s="1918"/>
      <c r="EZ228" s="446"/>
      <c r="FZ228" s="444"/>
      <c r="GA228" s="1917" t="str">
        <f>'Вывод расчетов'!$CC$9</f>
        <v>Раздел 3</v>
      </c>
      <c r="GB228" s="1915"/>
      <c r="GC228" s="1915"/>
      <c r="GD228" s="445"/>
      <c r="GE228" s="1917" t="str">
        <f>'Вывод расчетов'!$CF$9</f>
        <v>Расчет обмотки статора</v>
      </c>
      <c r="GF228" s="1915"/>
      <c r="GG228" s="1915"/>
      <c r="GH228" s="1915"/>
      <c r="GI228" s="1915"/>
      <c r="GJ228" s="1915"/>
      <c r="GK228" s="1915"/>
      <c r="GL228" s="1915"/>
      <c r="GM228" s="1915"/>
      <c r="GN228" s="1915"/>
      <c r="GO228" s="1915"/>
      <c r="GP228" s="1918"/>
      <c r="GQ228" s="445"/>
      <c r="GR228" s="1917" t="s">
        <v>1502</v>
      </c>
      <c r="GS228" s="1915"/>
      <c r="GT228" s="1918"/>
      <c r="GU228" s="445"/>
      <c r="GV228" s="1917">
        <v>11</v>
      </c>
      <c r="GW228" s="1918"/>
      <c r="GX228" s="446"/>
      <c r="GY228" s="444"/>
      <c r="GZ228" s="1917" t="str">
        <f>'Вывод расчетов'!$CC$9</f>
        <v>Раздел 3</v>
      </c>
      <c r="HA228" s="1915"/>
      <c r="HB228" s="1915"/>
      <c r="HC228" s="445"/>
      <c r="HD228" s="1917" t="str">
        <f>'Вывод расчетов'!$CF$9</f>
        <v>Расчет обмотки статора</v>
      </c>
      <c r="HE228" s="1915"/>
      <c r="HF228" s="1915"/>
      <c r="HG228" s="1915"/>
      <c r="HH228" s="1915"/>
      <c r="HI228" s="1915"/>
      <c r="HJ228" s="1915"/>
      <c r="HK228" s="1915"/>
      <c r="HL228" s="1915"/>
      <c r="HM228" s="1915"/>
      <c r="HN228" s="1915"/>
      <c r="HO228" s="1918"/>
      <c r="HP228" s="445"/>
      <c r="HQ228" s="1917" t="s">
        <v>1502</v>
      </c>
      <c r="HR228" s="1915"/>
      <c r="HS228" s="1918"/>
      <c r="HT228" s="445"/>
      <c r="HU228" s="1917">
        <v>11</v>
      </c>
      <c r="HV228" s="1918"/>
      <c r="HW228" s="446"/>
    </row>
    <row r="229" spans="132:231" ht="24" customHeight="1" thickBot="1">
      <c r="EB229" s="1914" t="s">
        <v>1230</v>
      </c>
      <c r="EC229" s="1915"/>
      <c r="ED229" s="1915"/>
      <c r="EE229" s="1915"/>
      <c r="EF229" s="1915"/>
      <c r="EG229" s="1915"/>
      <c r="EH229" s="1915"/>
      <c r="EI229" s="1915"/>
      <c r="EJ229" s="1915"/>
      <c r="EK229" s="1915"/>
      <c r="EL229" s="1915"/>
      <c r="EM229" s="1915"/>
      <c r="EN229" s="1915"/>
      <c r="EO229" s="1915"/>
      <c r="EP229" s="1915"/>
      <c r="EQ229" s="1915"/>
      <c r="ER229" s="1915"/>
      <c r="ES229" s="1915"/>
      <c r="ET229" s="1915"/>
      <c r="EU229" s="1915"/>
      <c r="EV229" s="1915"/>
      <c r="EW229" s="1915"/>
      <c r="EX229" s="1915"/>
      <c r="EY229" s="1915"/>
      <c r="EZ229" s="1916"/>
      <c r="FZ229" s="1914" t="s">
        <v>1230</v>
      </c>
      <c r="GA229" s="1915"/>
      <c r="GB229" s="1915"/>
      <c r="GC229" s="1915"/>
      <c r="GD229" s="1915"/>
      <c r="GE229" s="1915"/>
      <c r="GF229" s="1915"/>
      <c r="GG229" s="1915"/>
      <c r="GH229" s="1915"/>
      <c r="GI229" s="1915"/>
      <c r="GJ229" s="1915"/>
      <c r="GK229" s="1915"/>
      <c r="GL229" s="1915"/>
      <c r="GM229" s="1915"/>
      <c r="GN229" s="1915"/>
      <c r="GO229" s="1915"/>
      <c r="GP229" s="1915"/>
      <c r="GQ229" s="1915"/>
      <c r="GR229" s="1915"/>
      <c r="GS229" s="1915"/>
      <c r="GT229" s="1915"/>
      <c r="GU229" s="1915"/>
      <c r="GV229" s="1915"/>
      <c r="GW229" s="1915"/>
      <c r="GX229" s="1916"/>
      <c r="GY229" s="1914" t="s">
        <v>1230</v>
      </c>
      <c r="GZ229" s="1915"/>
      <c r="HA229" s="1915"/>
      <c r="HB229" s="1915"/>
      <c r="HC229" s="1915"/>
      <c r="HD229" s="1915"/>
      <c r="HE229" s="1915"/>
      <c r="HF229" s="1915"/>
      <c r="HG229" s="1915"/>
      <c r="HH229" s="1915"/>
      <c r="HI229" s="1915"/>
      <c r="HJ229" s="1915"/>
      <c r="HK229" s="1915"/>
      <c r="HL229" s="1915"/>
      <c r="HM229" s="1915"/>
      <c r="HN229" s="1915"/>
      <c r="HO229" s="1915"/>
      <c r="HP229" s="1915"/>
      <c r="HQ229" s="1915"/>
      <c r="HR229" s="1915"/>
      <c r="HS229" s="1915"/>
      <c r="HT229" s="1915"/>
      <c r="HU229" s="1915"/>
      <c r="HV229" s="1915"/>
      <c r="HW229" s="1916"/>
    </row>
    <row r="230" spans="132:231" ht="24" customHeight="1">
      <c r="EB230" s="437"/>
      <c r="EC230" s="438"/>
      <c r="ED230" s="438"/>
      <c r="EE230" s="438"/>
      <c r="EF230" s="438"/>
      <c r="EG230" s="438"/>
      <c r="EH230" s="438"/>
      <c r="EI230" s="438"/>
      <c r="EJ230" s="438"/>
      <c r="EK230" s="438"/>
      <c r="EL230" s="438"/>
      <c r="EM230" s="438"/>
      <c r="EN230" s="438"/>
      <c r="EO230" s="438"/>
      <c r="EP230" s="438"/>
      <c r="EQ230" s="438"/>
      <c r="ER230" s="438"/>
      <c r="ES230" s="438"/>
      <c r="ET230" s="438"/>
      <c r="EU230" s="438"/>
      <c r="EV230" s="438"/>
      <c r="EW230" s="438"/>
      <c r="EX230" s="438"/>
      <c r="EY230" s="438"/>
      <c r="EZ230" s="447"/>
      <c r="FZ230" s="437"/>
      <c r="GA230" s="438"/>
      <c r="GB230" s="438"/>
      <c r="GC230" s="438"/>
      <c r="GD230" s="438"/>
      <c r="GE230" s="438"/>
      <c r="GF230" s="438"/>
      <c r="GG230" s="438"/>
      <c r="GH230" s="438"/>
      <c r="GI230" s="438"/>
      <c r="GJ230" s="438"/>
      <c r="GK230" s="438"/>
      <c r="GL230" s="438"/>
      <c r="GM230" s="438"/>
      <c r="GN230" s="438"/>
      <c r="GO230" s="438"/>
      <c r="GP230" s="438"/>
      <c r="GQ230" s="438"/>
      <c r="GR230" s="438"/>
      <c r="GS230" s="438"/>
      <c r="GT230" s="438"/>
      <c r="GU230" s="438"/>
      <c r="GV230" s="438"/>
      <c r="GW230" s="438"/>
      <c r="GX230" s="447"/>
      <c r="GY230" s="437"/>
      <c r="GZ230" s="438"/>
      <c r="HA230" s="438"/>
      <c r="HB230" s="438"/>
      <c r="HC230" s="438"/>
      <c r="HD230" s="438"/>
      <c r="HE230" s="438"/>
      <c r="HF230" s="438"/>
      <c r="HG230" s="438"/>
      <c r="HH230" s="438"/>
      <c r="HI230" s="438"/>
      <c r="HJ230" s="438"/>
      <c r="HK230" s="438"/>
      <c r="HL230" s="438"/>
      <c r="HM230" s="438"/>
      <c r="HN230" s="438"/>
      <c r="HO230" s="438"/>
      <c r="HP230" s="438"/>
      <c r="HQ230" s="438"/>
      <c r="HR230" s="438"/>
      <c r="HS230" s="438"/>
      <c r="HT230" s="438"/>
      <c r="HU230" s="438"/>
      <c r="HV230" s="438"/>
      <c r="HW230" s="447"/>
    </row>
    <row r="231" spans="132:231" ht="24" customHeight="1">
      <c r="EB231" s="439"/>
      <c r="EC231" s="436"/>
      <c r="ED231" s="436"/>
      <c r="EE231" s="436"/>
      <c r="EF231" s="436"/>
      <c r="EG231" s="436"/>
      <c r="EH231" s="436"/>
      <c r="EI231" s="436"/>
      <c r="EJ231" s="436"/>
      <c r="EK231" s="436"/>
      <c r="EL231" s="436"/>
      <c r="EM231" s="436"/>
      <c r="EN231" s="436"/>
      <c r="EO231" s="436"/>
      <c r="EP231" s="436"/>
      <c r="EQ231" s="436"/>
      <c r="ER231" s="436"/>
      <c r="ES231" s="436"/>
      <c r="ET231" s="436"/>
      <c r="EU231" s="436"/>
      <c r="EV231" s="436"/>
      <c r="EW231" s="436"/>
      <c r="EX231" s="436"/>
      <c r="EY231" s="436"/>
      <c r="EZ231" s="440"/>
      <c r="FZ231" s="439"/>
      <c r="GA231" s="436"/>
      <c r="GB231" s="436"/>
      <c r="GC231" s="436"/>
      <c r="GD231" s="436"/>
      <c r="GE231" s="436"/>
      <c r="GF231" s="436"/>
      <c r="GG231" s="436"/>
      <c r="GH231" s="436"/>
      <c r="GI231" s="436"/>
      <c r="GJ231" s="436"/>
      <c r="GK231" s="436"/>
      <c r="GL231" s="436"/>
      <c r="GM231" s="436"/>
      <c r="GN231" s="436"/>
      <c r="GO231" s="436"/>
      <c r="GP231" s="436"/>
      <c r="GQ231" s="436"/>
      <c r="GR231" s="436"/>
      <c r="GS231" s="436"/>
      <c r="GT231" s="436"/>
      <c r="GU231" s="436"/>
      <c r="GV231" s="436"/>
      <c r="GW231" s="436"/>
      <c r="GX231" s="440"/>
      <c r="GY231" s="439"/>
      <c r="GZ231" s="436"/>
      <c r="HA231" s="436"/>
      <c r="HB231" s="436"/>
      <c r="HC231" s="436"/>
      <c r="HD231" s="436"/>
      <c r="HE231" s="436"/>
      <c r="HF231" s="436"/>
      <c r="HG231" s="436"/>
      <c r="HH231" s="436"/>
      <c r="HI231" s="436"/>
      <c r="HJ231" s="436"/>
      <c r="HK231" s="436"/>
      <c r="HL231" s="436"/>
      <c r="HM231" s="436"/>
      <c r="HN231" s="436"/>
      <c r="HO231" s="436"/>
      <c r="HP231" s="436"/>
      <c r="HQ231" s="436"/>
      <c r="HR231" s="436"/>
      <c r="HS231" s="436"/>
      <c r="HT231" s="436"/>
      <c r="HU231" s="436"/>
      <c r="HV231" s="436"/>
      <c r="HW231" s="440"/>
    </row>
    <row r="232" spans="132:231" ht="24" customHeight="1">
      <c r="EB232" s="439"/>
      <c r="EC232" s="436"/>
      <c r="ED232" s="436"/>
      <c r="EE232" s="436"/>
      <c r="EF232" s="436"/>
      <c r="EG232" s="436"/>
      <c r="EH232" s="436"/>
      <c r="EI232" s="436"/>
      <c r="EJ232" s="436"/>
      <c r="EK232" s="436"/>
      <c r="EL232" s="436"/>
      <c r="EM232" s="436"/>
      <c r="EN232" s="436"/>
      <c r="EO232" s="436"/>
      <c r="EP232" s="436"/>
      <c r="EQ232" s="436"/>
      <c r="ER232" s="436"/>
      <c r="ES232" s="436"/>
      <c r="ET232" s="436"/>
      <c r="EU232" s="436"/>
      <c r="EV232" s="436"/>
      <c r="EW232" s="436"/>
      <c r="EX232" s="436"/>
      <c r="EY232" s="436"/>
      <c r="EZ232" s="440"/>
      <c r="FZ232" s="439"/>
      <c r="GA232" s="436"/>
      <c r="GB232" s="436"/>
      <c r="GC232" s="436"/>
      <c r="GD232" s="436"/>
      <c r="GE232" s="436"/>
      <c r="GF232" s="436"/>
      <c r="GG232" s="436"/>
      <c r="GH232" s="436"/>
      <c r="GI232" s="436"/>
      <c r="GJ232" s="436"/>
      <c r="GK232" s="436"/>
      <c r="GL232" s="436"/>
      <c r="GM232" s="436"/>
      <c r="GN232" s="436"/>
      <c r="GO232" s="436"/>
      <c r="GP232" s="436"/>
      <c r="GQ232" s="436"/>
      <c r="GR232" s="436"/>
      <c r="GS232" s="436"/>
      <c r="GT232" s="436"/>
      <c r="GU232" s="436"/>
      <c r="GV232" s="436"/>
      <c r="GW232" s="436"/>
      <c r="GX232" s="440"/>
      <c r="GY232" s="439"/>
      <c r="GZ232" s="436"/>
      <c r="HA232" s="436"/>
      <c r="HB232" s="436"/>
      <c r="HC232" s="436"/>
      <c r="HD232" s="436"/>
      <c r="HE232" s="436"/>
      <c r="HF232" s="436"/>
      <c r="HG232" s="436"/>
      <c r="HH232" s="436"/>
      <c r="HI232" s="436"/>
      <c r="HJ232" s="436"/>
      <c r="HK232" s="436"/>
      <c r="HL232" s="436"/>
      <c r="HM232" s="436"/>
      <c r="HN232" s="436"/>
      <c r="HO232" s="436"/>
      <c r="HP232" s="436"/>
      <c r="HQ232" s="436"/>
      <c r="HR232" s="436"/>
      <c r="HS232" s="436"/>
      <c r="HT232" s="436"/>
      <c r="HU232" s="436"/>
      <c r="HV232" s="436"/>
      <c r="HW232" s="440"/>
    </row>
    <row r="233" spans="132:231" ht="24" customHeight="1">
      <c r="EB233" s="439"/>
      <c r="EC233" s="436"/>
      <c r="ED233" s="436"/>
      <c r="EE233" s="436"/>
      <c r="EF233" s="436"/>
      <c r="EG233" s="436"/>
      <c r="EH233" s="436"/>
      <c r="EI233" s="436"/>
      <c r="EJ233" s="436"/>
      <c r="EK233" s="436"/>
      <c r="EL233" s="436"/>
      <c r="EM233" s="436"/>
      <c r="EN233" s="436"/>
      <c r="EO233" s="436"/>
      <c r="EP233" s="436"/>
      <c r="EQ233" s="436"/>
      <c r="ER233" s="436"/>
      <c r="ES233" s="436"/>
      <c r="ET233" s="436"/>
      <c r="EU233" s="436"/>
      <c r="EV233" s="436"/>
      <c r="EW233" s="436"/>
      <c r="EX233" s="436"/>
      <c r="EY233" s="436"/>
      <c r="EZ233" s="440"/>
      <c r="FZ233" s="439"/>
      <c r="GA233" s="436"/>
      <c r="GB233" s="436"/>
      <c r="GC233" s="436"/>
      <c r="GD233" s="436"/>
      <c r="GE233" s="436"/>
      <c r="GF233" s="436"/>
      <c r="GG233" s="436"/>
      <c r="GH233" s="436"/>
      <c r="GI233" s="436"/>
      <c r="GJ233" s="436"/>
      <c r="GK233" s="436"/>
      <c r="GL233" s="436"/>
      <c r="GM233" s="436"/>
      <c r="GN233" s="436"/>
      <c r="GO233" s="436"/>
      <c r="GP233" s="436"/>
      <c r="GQ233" s="436"/>
      <c r="GR233" s="436"/>
      <c r="GS233" s="436"/>
      <c r="GT233" s="436"/>
      <c r="GU233" s="436"/>
      <c r="GV233" s="436"/>
      <c r="GW233" s="436"/>
      <c r="GX233" s="440"/>
      <c r="GY233" s="439"/>
      <c r="GZ233" s="436"/>
      <c r="HA233" s="436"/>
      <c r="HB233" s="436"/>
      <c r="HC233" s="436"/>
      <c r="HD233" s="436"/>
      <c r="HE233" s="436"/>
      <c r="HF233" s="436"/>
      <c r="HG233" s="436"/>
      <c r="HH233" s="436"/>
      <c r="HI233" s="436"/>
      <c r="HJ233" s="436"/>
      <c r="HK233" s="436"/>
      <c r="HL233" s="436"/>
      <c r="HM233" s="436"/>
      <c r="HN233" s="436"/>
      <c r="HO233" s="436"/>
      <c r="HP233" s="436"/>
      <c r="HQ233" s="436"/>
      <c r="HR233" s="436"/>
      <c r="HS233" s="436"/>
      <c r="HT233" s="436"/>
      <c r="HU233" s="436"/>
      <c r="HV233" s="436"/>
      <c r="HW233" s="440"/>
    </row>
    <row r="234" spans="132:231" ht="24" customHeight="1">
      <c r="EB234" s="439"/>
      <c r="EC234" s="436"/>
      <c r="ED234" s="436"/>
      <c r="EE234" s="436"/>
      <c r="EF234" s="436"/>
      <c r="EG234" s="436"/>
      <c r="EH234" s="436"/>
      <c r="EI234" s="436"/>
      <c r="EJ234" s="436"/>
      <c r="EK234" s="436"/>
      <c r="EL234" s="436"/>
      <c r="EM234" s="436"/>
      <c r="EN234" s="436"/>
      <c r="EO234" s="436"/>
      <c r="EP234" s="436"/>
      <c r="EQ234" s="436"/>
      <c r="ER234" s="436"/>
      <c r="ES234" s="436"/>
      <c r="ET234" s="436"/>
      <c r="EU234" s="436"/>
      <c r="EV234" s="436"/>
      <c r="EW234" s="436"/>
      <c r="EX234" s="436"/>
      <c r="EY234" s="436"/>
      <c r="EZ234" s="440"/>
      <c r="FZ234" s="439"/>
      <c r="GA234" s="436"/>
      <c r="GB234" s="436"/>
      <c r="GC234" s="436"/>
      <c r="GD234" s="436"/>
      <c r="GE234" s="436"/>
      <c r="GF234" s="436"/>
      <c r="GG234" s="436"/>
      <c r="GH234" s="436"/>
      <c r="GI234" s="436"/>
      <c r="GJ234" s="436"/>
      <c r="GK234" s="436"/>
      <c r="GL234" s="436"/>
      <c r="GM234" s="436"/>
      <c r="GN234" s="436"/>
      <c r="GO234" s="436"/>
      <c r="GP234" s="436"/>
      <c r="GQ234" s="436"/>
      <c r="GR234" s="436"/>
      <c r="GS234" s="436"/>
      <c r="GT234" s="436"/>
      <c r="GU234" s="436"/>
      <c r="GV234" s="436"/>
      <c r="GW234" s="436"/>
      <c r="GX234" s="440"/>
      <c r="GY234" s="439"/>
      <c r="GZ234" s="436"/>
      <c r="HA234" s="436"/>
      <c r="HB234" s="436"/>
      <c r="HC234" s="436"/>
      <c r="HD234" s="436"/>
      <c r="HE234" s="436"/>
      <c r="HF234" s="436"/>
      <c r="HG234" s="436"/>
      <c r="HH234" s="436"/>
      <c r="HI234" s="436"/>
      <c r="HJ234" s="436"/>
      <c r="HK234" s="436"/>
      <c r="HL234" s="436"/>
      <c r="HM234" s="436"/>
      <c r="HN234" s="436"/>
      <c r="HO234" s="436"/>
      <c r="HP234" s="436"/>
      <c r="HQ234" s="436"/>
      <c r="HR234" s="436"/>
      <c r="HS234" s="436"/>
      <c r="HT234" s="436"/>
      <c r="HU234" s="436"/>
      <c r="HV234" s="436"/>
      <c r="HW234" s="440"/>
    </row>
    <row r="235" spans="132:231" ht="24" customHeight="1">
      <c r="EB235" s="439"/>
      <c r="EC235" s="436"/>
      <c r="ED235" s="436"/>
      <c r="EE235" s="436"/>
      <c r="EF235" s="436"/>
      <c r="EG235" s="436"/>
      <c r="EH235" s="436"/>
      <c r="EI235" s="436"/>
      <c r="EJ235" s="436"/>
      <c r="EK235" s="436"/>
      <c r="EL235" s="436"/>
      <c r="EM235" s="436"/>
      <c r="EN235" s="436"/>
      <c r="EO235" s="436"/>
      <c r="EP235" s="436"/>
      <c r="EQ235" s="436"/>
      <c r="ER235" s="436"/>
      <c r="ES235" s="436"/>
      <c r="ET235" s="436"/>
      <c r="EU235" s="436"/>
      <c r="EV235" s="436"/>
      <c r="EW235" s="436"/>
      <c r="EX235" s="436"/>
      <c r="EY235" s="436"/>
      <c r="EZ235" s="440"/>
      <c r="FZ235" s="439"/>
      <c r="GA235" s="436"/>
      <c r="GB235" s="436"/>
      <c r="GC235" s="436"/>
      <c r="GD235" s="436"/>
      <c r="GE235" s="436"/>
      <c r="GF235" s="436"/>
      <c r="GG235" s="436"/>
      <c r="GH235" s="436"/>
      <c r="GI235" s="436"/>
      <c r="GJ235" s="436"/>
      <c r="GK235" s="436"/>
      <c r="GL235" s="436"/>
      <c r="GM235" s="436"/>
      <c r="GN235" s="436"/>
      <c r="GO235" s="436"/>
      <c r="GP235" s="436"/>
      <c r="GQ235" s="436"/>
      <c r="GR235" s="436"/>
      <c r="GS235" s="436"/>
      <c r="GT235" s="436"/>
      <c r="GU235" s="436"/>
      <c r="GV235" s="436"/>
      <c r="GW235" s="436"/>
      <c r="GX235" s="440"/>
      <c r="GY235" s="439"/>
      <c r="GZ235" s="436"/>
      <c r="HA235" s="436"/>
      <c r="HB235" s="436"/>
      <c r="HC235" s="436"/>
      <c r="HD235" s="436"/>
      <c r="HE235" s="436"/>
      <c r="HF235" s="436"/>
      <c r="HG235" s="436"/>
      <c r="HH235" s="436"/>
      <c r="HI235" s="436"/>
      <c r="HJ235" s="436"/>
      <c r="HK235" s="436"/>
      <c r="HL235" s="436"/>
      <c r="HM235" s="436"/>
      <c r="HN235" s="436"/>
      <c r="HO235" s="436"/>
      <c r="HP235" s="436"/>
      <c r="HQ235" s="436"/>
      <c r="HR235" s="436"/>
      <c r="HS235" s="436"/>
      <c r="HT235" s="436"/>
      <c r="HU235" s="436"/>
      <c r="HV235" s="436"/>
      <c r="HW235" s="440"/>
    </row>
    <row r="236" spans="132:231" ht="24" customHeight="1">
      <c r="EB236" s="439"/>
      <c r="EC236" s="436"/>
      <c r="ED236" s="436"/>
      <c r="EE236" s="436"/>
      <c r="EF236" s="436"/>
      <c r="EG236" s="436"/>
      <c r="EH236" s="436"/>
      <c r="EI236" s="436"/>
      <c r="EJ236" s="436"/>
      <c r="EK236" s="436"/>
      <c r="EL236" s="436"/>
      <c r="EM236" s="436"/>
      <c r="EN236" s="436"/>
      <c r="EO236" s="436"/>
      <c r="EP236" s="436"/>
      <c r="EQ236" s="436"/>
      <c r="ER236" s="436"/>
      <c r="ES236" s="436"/>
      <c r="ET236" s="436"/>
      <c r="EU236" s="436"/>
      <c r="EV236" s="436"/>
      <c r="EW236" s="436"/>
      <c r="EX236" s="436"/>
      <c r="EY236" s="436"/>
      <c r="EZ236" s="440"/>
      <c r="FZ236" s="439"/>
      <c r="GA236" s="436"/>
      <c r="GB236" s="436"/>
      <c r="GC236" s="436"/>
      <c r="GD236" s="436"/>
      <c r="GE236" s="436"/>
      <c r="GF236" s="436"/>
      <c r="GG236" s="436"/>
      <c r="GH236" s="436"/>
      <c r="GI236" s="436"/>
      <c r="GJ236" s="436"/>
      <c r="GK236" s="436"/>
      <c r="GL236" s="436"/>
      <c r="GM236" s="436"/>
      <c r="GN236" s="436"/>
      <c r="GO236" s="436"/>
      <c r="GP236" s="436"/>
      <c r="GQ236" s="436"/>
      <c r="GR236" s="436"/>
      <c r="GS236" s="436"/>
      <c r="GT236" s="436"/>
      <c r="GU236" s="436"/>
      <c r="GV236" s="436"/>
      <c r="GW236" s="436"/>
      <c r="GX236" s="440"/>
      <c r="GY236" s="439"/>
      <c r="GZ236" s="436"/>
      <c r="HA236" s="436"/>
      <c r="HB236" s="436"/>
      <c r="HC236" s="436"/>
      <c r="HD236" s="436"/>
      <c r="HE236" s="436"/>
      <c r="HF236" s="436"/>
      <c r="HG236" s="436"/>
      <c r="HH236" s="436"/>
      <c r="HI236" s="436"/>
      <c r="HJ236" s="436"/>
      <c r="HK236" s="436"/>
      <c r="HL236" s="436"/>
      <c r="HM236" s="436"/>
      <c r="HN236" s="436"/>
      <c r="HO236" s="436"/>
      <c r="HP236" s="436"/>
      <c r="HQ236" s="436"/>
      <c r="HR236" s="436"/>
      <c r="HS236" s="436"/>
      <c r="HT236" s="436"/>
      <c r="HU236" s="436"/>
      <c r="HV236" s="436"/>
      <c r="HW236" s="440"/>
    </row>
    <row r="237" spans="132:231" ht="24" customHeight="1">
      <c r="EB237" s="439"/>
      <c r="EC237" s="436"/>
      <c r="ED237" s="436"/>
      <c r="EE237" s="436"/>
      <c r="EF237" s="436"/>
      <c r="EG237" s="436"/>
      <c r="EH237" s="436"/>
      <c r="EI237" s="436"/>
      <c r="EJ237" s="436"/>
      <c r="EK237" s="436"/>
      <c r="EL237" s="436"/>
      <c r="EM237" s="436"/>
      <c r="EN237" s="436"/>
      <c r="EO237" s="436"/>
      <c r="EP237" s="436"/>
      <c r="EQ237" s="436"/>
      <c r="ER237" s="436"/>
      <c r="ES237" s="436"/>
      <c r="ET237" s="436"/>
      <c r="EU237" s="436"/>
      <c r="EV237" s="436"/>
      <c r="EW237" s="436"/>
      <c r="EX237" s="436"/>
      <c r="EY237" s="436"/>
      <c r="EZ237" s="440"/>
      <c r="FZ237" s="439"/>
      <c r="GA237" s="436"/>
      <c r="GB237" s="436"/>
      <c r="GC237" s="436"/>
      <c r="GD237" s="436"/>
      <c r="GE237" s="436"/>
      <c r="GF237" s="436"/>
      <c r="GG237" s="436"/>
      <c r="GH237" s="436"/>
      <c r="GI237" s="436"/>
      <c r="GJ237" s="436"/>
      <c r="GK237" s="436"/>
      <c r="GL237" s="436"/>
      <c r="GM237" s="436"/>
      <c r="GN237" s="436"/>
      <c r="GO237" s="436"/>
      <c r="GP237" s="436"/>
      <c r="GQ237" s="436"/>
      <c r="GR237" s="436"/>
      <c r="GS237" s="436"/>
      <c r="GT237" s="436"/>
      <c r="GU237" s="436"/>
      <c r="GV237" s="436"/>
      <c r="GW237" s="436"/>
      <c r="GX237" s="440"/>
      <c r="GY237" s="439"/>
      <c r="GZ237" s="436"/>
      <c r="HA237" s="436"/>
      <c r="HB237" s="436"/>
      <c r="HC237" s="436"/>
      <c r="HD237" s="436"/>
      <c r="HE237" s="436"/>
      <c r="HF237" s="436"/>
      <c r="HG237" s="436"/>
      <c r="HH237" s="436"/>
      <c r="HI237" s="436"/>
      <c r="HJ237" s="436"/>
      <c r="HK237" s="436"/>
      <c r="HL237" s="436"/>
      <c r="HM237" s="436"/>
      <c r="HN237" s="436"/>
      <c r="HO237" s="436"/>
      <c r="HP237" s="436"/>
      <c r="HQ237" s="436"/>
      <c r="HR237" s="436"/>
      <c r="HS237" s="436"/>
      <c r="HT237" s="436"/>
      <c r="HU237" s="436"/>
      <c r="HV237" s="436"/>
      <c r="HW237" s="440"/>
    </row>
    <row r="238" spans="132:231" ht="24" customHeight="1">
      <c r="EB238" s="439"/>
      <c r="EC238" s="436"/>
      <c r="ED238" s="436"/>
      <c r="EE238" s="436"/>
      <c r="EF238" s="436"/>
      <c r="EG238" s="436"/>
      <c r="EH238" s="436"/>
      <c r="EI238" s="436"/>
      <c r="EJ238" s="436"/>
      <c r="EK238" s="436"/>
      <c r="EL238" s="436"/>
      <c r="EM238" s="436"/>
      <c r="EN238" s="436"/>
      <c r="EO238" s="436"/>
      <c r="EP238" s="436"/>
      <c r="EQ238" s="436"/>
      <c r="ER238" s="436"/>
      <c r="ES238" s="436"/>
      <c r="ET238" s="436"/>
      <c r="EU238" s="436"/>
      <c r="EV238" s="436"/>
      <c r="EW238" s="436"/>
      <c r="EX238" s="436"/>
      <c r="EY238" s="436"/>
      <c r="EZ238" s="440"/>
      <c r="FZ238" s="439"/>
      <c r="GA238" s="436"/>
      <c r="GB238" s="436"/>
      <c r="GC238" s="436"/>
      <c r="GD238" s="436"/>
      <c r="GE238" s="436"/>
      <c r="GF238" s="436"/>
      <c r="GG238" s="436"/>
      <c r="GH238" s="436"/>
      <c r="GI238" s="436"/>
      <c r="GJ238" s="436"/>
      <c r="GK238" s="436"/>
      <c r="GL238" s="436"/>
      <c r="GM238" s="436"/>
      <c r="GN238" s="436"/>
      <c r="GO238" s="436"/>
      <c r="GP238" s="436"/>
      <c r="GQ238" s="436"/>
      <c r="GR238" s="436"/>
      <c r="GS238" s="436"/>
      <c r="GT238" s="436"/>
      <c r="GU238" s="436"/>
      <c r="GV238" s="436"/>
      <c r="GW238" s="436"/>
      <c r="GX238" s="440"/>
      <c r="GY238" s="439"/>
      <c r="GZ238" s="436"/>
      <c r="HA238" s="436"/>
      <c r="HB238" s="436"/>
      <c r="HC238" s="436"/>
      <c r="HD238" s="436"/>
      <c r="HE238" s="436"/>
      <c r="HF238" s="436"/>
      <c r="HG238" s="436"/>
      <c r="HH238" s="436"/>
      <c r="HI238" s="436"/>
      <c r="HJ238" s="436"/>
      <c r="HK238" s="436"/>
      <c r="HL238" s="436"/>
      <c r="HM238" s="436"/>
      <c r="HN238" s="436"/>
      <c r="HO238" s="436"/>
      <c r="HP238" s="436"/>
      <c r="HQ238" s="436"/>
      <c r="HR238" s="436"/>
      <c r="HS238" s="436"/>
      <c r="HT238" s="436"/>
      <c r="HU238" s="436"/>
      <c r="HV238" s="436"/>
      <c r="HW238" s="440"/>
    </row>
    <row r="239" spans="132:231" ht="24" customHeight="1">
      <c r="EB239" s="439"/>
      <c r="EC239" s="436"/>
      <c r="ED239" s="436"/>
      <c r="EE239" s="436"/>
      <c r="EF239" s="436"/>
      <c r="EG239" s="436"/>
      <c r="EH239" s="436"/>
      <c r="EI239" s="436"/>
      <c r="EJ239" s="436"/>
      <c r="EK239" s="436"/>
      <c r="EL239" s="436"/>
      <c r="EM239" s="436"/>
      <c r="EN239" s="436"/>
      <c r="EO239" s="436"/>
      <c r="EP239" s="436"/>
      <c r="EQ239" s="436"/>
      <c r="ER239" s="436"/>
      <c r="ES239" s="436"/>
      <c r="ET239" s="436"/>
      <c r="EU239" s="436"/>
      <c r="EV239" s="436"/>
      <c r="EW239" s="436"/>
      <c r="EX239" s="436"/>
      <c r="EY239" s="436"/>
      <c r="EZ239" s="440"/>
      <c r="FZ239" s="439"/>
      <c r="GA239" s="436"/>
      <c r="GB239" s="436"/>
      <c r="GC239" s="436"/>
      <c r="GD239" s="436"/>
      <c r="GE239" s="436"/>
      <c r="GF239" s="436"/>
      <c r="GG239" s="436"/>
      <c r="GH239" s="436"/>
      <c r="GI239" s="436"/>
      <c r="GJ239" s="436"/>
      <c r="GK239" s="436"/>
      <c r="GL239" s="436"/>
      <c r="GM239" s="436"/>
      <c r="GN239" s="436"/>
      <c r="GO239" s="436"/>
      <c r="GP239" s="436"/>
      <c r="GQ239" s="436"/>
      <c r="GR239" s="436"/>
      <c r="GS239" s="436"/>
      <c r="GT239" s="436"/>
      <c r="GU239" s="436"/>
      <c r="GV239" s="436"/>
      <c r="GW239" s="436"/>
      <c r="GX239" s="440"/>
      <c r="GY239" s="439"/>
      <c r="GZ239" s="436"/>
      <c r="HA239" s="436"/>
      <c r="HB239" s="436"/>
      <c r="HC239" s="436"/>
      <c r="HD239" s="436"/>
      <c r="HE239" s="436"/>
      <c r="HF239" s="436"/>
      <c r="HG239" s="436"/>
      <c r="HH239" s="436"/>
      <c r="HI239" s="436"/>
      <c r="HJ239" s="436"/>
      <c r="HK239" s="436"/>
      <c r="HL239" s="436"/>
      <c r="HM239" s="436"/>
      <c r="HN239" s="436"/>
      <c r="HO239" s="436"/>
      <c r="HP239" s="436"/>
      <c r="HQ239" s="436"/>
      <c r="HR239" s="436"/>
      <c r="HS239" s="436"/>
      <c r="HT239" s="436"/>
      <c r="HU239" s="436"/>
      <c r="HV239" s="436"/>
      <c r="HW239" s="440"/>
    </row>
    <row r="240" spans="132:231" ht="24" customHeight="1">
      <c r="EB240" s="439"/>
      <c r="EC240" s="436"/>
      <c r="ED240" s="436"/>
      <c r="EE240" s="436"/>
      <c r="EF240" s="436"/>
      <c r="EG240" s="436"/>
      <c r="EH240" s="436"/>
      <c r="EI240" s="436"/>
      <c r="EJ240" s="436"/>
      <c r="EK240" s="436"/>
      <c r="EL240" s="436"/>
      <c r="EM240" s="436"/>
      <c r="EN240" s="436"/>
      <c r="EO240" s="436"/>
      <c r="EP240" s="436"/>
      <c r="EQ240" s="436"/>
      <c r="ER240" s="436"/>
      <c r="ES240" s="436"/>
      <c r="ET240" s="436"/>
      <c r="EU240" s="436"/>
      <c r="EV240" s="436"/>
      <c r="EW240" s="436"/>
      <c r="EX240" s="436"/>
      <c r="EY240" s="436"/>
      <c r="EZ240" s="440"/>
      <c r="FZ240" s="439"/>
      <c r="GA240" s="436"/>
      <c r="GB240" s="436"/>
      <c r="GC240" s="436"/>
      <c r="GD240" s="436"/>
      <c r="GE240" s="436"/>
      <c r="GF240" s="436"/>
      <c r="GG240" s="436"/>
      <c r="GH240" s="436"/>
      <c r="GI240" s="436"/>
      <c r="GJ240" s="436"/>
      <c r="GK240" s="436"/>
      <c r="GL240" s="436"/>
      <c r="GM240" s="436"/>
      <c r="GN240" s="436"/>
      <c r="GO240" s="436"/>
      <c r="GP240" s="436"/>
      <c r="GQ240" s="436"/>
      <c r="GR240" s="436"/>
      <c r="GS240" s="436"/>
      <c r="GT240" s="436"/>
      <c r="GU240" s="436"/>
      <c r="GV240" s="436"/>
      <c r="GW240" s="436"/>
      <c r="GX240" s="440"/>
      <c r="GY240" s="439"/>
      <c r="GZ240" s="436"/>
      <c r="HA240" s="436"/>
      <c r="HB240" s="436"/>
      <c r="HC240" s="436"/>
      <c r="HD240" s="436"/>
      <c r="HE240" s="436"/>
      <c r="HF240" s="436"/>
      <c r="HG240" s="436"/>
      <c r="HH240" s="436"/>
      <c r="HI240" s="436"/>
      <c r="HJ240" s="436"/>
      <c r="HK240" s="436"/>
      <c r="HL240" s="436"/>
      <c r="HM240" s="436"/>
      <c r="HN240" s="436"/>
      <c r="HO240" s="436"/>
      <c r="HP240" s="436"/>
      <c r="HQ240" s="436"/>
      <c r="HR240" s="436"/>
      <c r="HS240" s="436"/>
      <c r="HT240" s="436"/>
      <c r="HU240" s="436"/>
      <c r="HV240" s="436"/>
      <c r="HW240" s="440"/>
    </row>
    <row r="241" spans="132:231" ht="24" customHeight="1">
      <c r="EB241" s="439"/>
      <c r="EC241" s="436"/>
      <c r="ED241" s="436"/>
      <c r="EE241" s="436"/>
      <c r="EF241" s="436"/>
      <c r="EG241" s="436"/>
      <c r="EH241" s="436"/>
      <c r="EI241" s="436"/>
      <c r="EJ241" s="436"/>
      <c r="EK241" s="436"/>
      <c r="EL241" s="436"/>
      <c r="EM241" s="436"/>
      <c r="EN241" s="436"/>
      <c r="EO241" s="436"/>
      <c r="EP241" s="436"/>
      <c r="EQ241" s="436"/>
      <c r="ER241" s="436"/>
      <c r="ES241" s="436"/>
      <c r="ET241" s="436"/>
      <c r="EU241" s="436"/>
      <c r="EV241" s="436"/>
      <c r="EW241" s="436"/>
      <c r="EX241" s="436"/>
      <c r="EY241" s="436"/>
      <c r="EZ241" s="440"/>
      <c r="FZ241" s="439"/>
      <c r="GA241" s="436"/>
      <c r="GB241" s="436"/>
      <c r="GC241" s="436"/>
      <c r="GD241" s="436"/>
      <c r="GE241" s="436"/>
      <c r="GF241" s="436"/>
      <c r="GG241" s="436"/>
      <c r="GH241" s="436"/>
      <c r="GI241" s="436"/>
      <c r="GJ241" s="436"/>
      <c r="GK241" s="436"/>
      <c r="GL241" s="436"/>
      <c r="GM241" s="436"/>
      <c r="GN241" s="436"/>
      <c r="GO241" s="436"/>
      <c r="GP241" s="436"/>
      <c r="GQ241" s="436"/>
      <c r="GR241" s="436"/>
      <c r="GS241" s="436"/>
      <c r="GT241" s="436"/>
      <c r="GU241" s="436"/>
      <c r="GV241" s="436"/>
      <c r="GW241" s="436"/>
      <c r="GX241" s="440"/>
      <c r="GY241" s="439"/>
      <c r="GZ241" s="436"/>
      <c r="HA241" s="436"/>
      <c r="HB241" s="436"/>
      <c r="HC241" s="436"/>
      <c r="HD241" s="436"/>
      <c r="HE241" s="436"/>
      <c r="HF241" s="436"/>
      <c r="HG241" s="436"/>
      <c r="HH241" s="436"/>
      <c r="HI241" s="436"/>
      <c r="HJ241" s="436"/>
      <c r="HK241" s="436"/>
      <c r="HL241" s="436"/>
      <c r="HM241" s="436"/>
      <c r="HN241" s="436"/>
      <c r="HO241" s="436"/>
      <c r="HP241" s="436"/>
      <c r="HQ241" s="436"/>
      <c r="HR241" s="436"/>
      <c r="HS241" s="436"/>
      <c r="HT241" s="436"/>
      <c r="HU241" s="436"/>
      <c r="HV241" s="436"/>
      <c r="HW241" s="440"/>
    </row>
    <row r="242" spans="132:231" ht="24" customHeight="1">
      <c r="EB242" s="439"/>
      <c r="EC242" s="436"/>
      <c r="ED242" s="436"/>
      <c r="EE242" s="436"/>
      <c r="EF242" s="436"/>
      <c r="EG242" s="436"/>
      <c r="EH242" s="436"/>
      <c r="EI242" s="436"/>
      <c r="EJ242" s="436"/>
      <c r="EK242" s="436"/>
      <c r="EL242" s="436"/>
      <c r="EM242" s="436"/>
      <c r="EN242" s="436"/>
      <c r="EO242" s="436"/>
      <c r="EP242" s="436"/>
      <c r="EQ242" s="436"/>
      <c r="ER242" s="436"/>
      <c r="ES242" s="436"/>
      <c r="ET242" s="436"/>
      <c r="EU242" s="436"/>
      <c r="EV242" s="436"/>
      <c r="EW242" s="436"/>
      <c r="EX242" s="436"/>
      <c r="EY242" s="436"/>
      <c r="EZ242" s="440"/>
      <c r="FZ242" s="439"/>
      <c r="GA242" s="436"/>
      <c r="GB242" s="436"/>
      <c r="GC242" s="436"/>
      <c r="GD242" s="436"/>
      <c r="GE242" s="436"/>
      <c r="GF242" s="436"/>
      <c r="GG242" s="436"/>
      <c r="GH242" s="436"/>
      <c r="GI242" s="436"/>
      <c r="GJ242" s="436"/>
      <c r="GK242" s="436"/>
      <c r="GL242" s="436"/>
      <c r="GM242" s="436"/>
      <c r="GN242" s="436"/>
      <c r="GO242" s="436"/>
      <c r="GP242" s="436"/>
      <c r="GQ242" s="436"/>
      <c r="GR242" s="436"/>
      <c r="GS242" s="436"/>
      <c r="GT242" s="436"/>
      <c r="GU242" s="436"/>
      <c r="GV242" s="436"/>
      <c r="GW242" s="436"/>
      <c r="GX242" s="440"/>
      <c r="GY242" s="439"/>
      <c r="GZ242" s="436"/>
      <c r="HA242" s="436"/>
      <c r="HB242" s="436"/>
      <c r="HC242" s="436"/>
      <c r="HD242" s="436"/>
      <c r="HE242" s="436"/>
      <c r="HF242" s="436"/>
      <c r="HG242" s="436"/>
      <c r="HH242" s="436"/>
      <c r="HI242" s="436"/>
      <c r="HJ242" s="436"/>
      <c r="HK242" s="436"/>
      <c r="HL242" s="436"/>
      <c r="HM242" s="436"/>
      <c r="HN242" s="436"/>
      <c r="HO242" s="436"/>
      <c r="HP242" s="436"/>
      <c r="HQ242" s="436"/>
      <c r="HR242" s="436"/>
      <c r="HS242" s="436"/>
      <c r="HT242" s="436"/>
      <c r="HU242" s="436"/>
      <c r="HV242" s="436"/>
      <c r="HW242" s="440"/>
    </row>
    <row r="243" spans="132:231" ht="24" customHeight="1">
      <c r="EB243" s="439"/>
      <c r="EC243" s="436"/>
      <c r="ED243" s="436"/>
      <c r="EE243" s="436"/>
      <c r="EF243" s="436"/>
      <c r="EG243" s="436"/>
      <c r="EH243" s="436"/>
      <c r="EI243" s="436"/>
      <c r="EJ243" s="436"/>
      <c r="EK243" s="436"/>
      <c r="EL243" s="436"/>
      <c r="EM243" s="436"/>
      <c r="EN243" s="436"/>
      <c r="EO243" s="436"/>
      <c r="EP243" s="436"/>
      <c r="EQ243" s="436"/>
      <c r="ER243" s="436"/>
      <c r="ES243" s="436"/>
      <c r="ET243" s="436"/>
      <c r="EU243" s="436"/>
      <c r="EV243" s="436"/>
      <c r="EW243" s="436"/>
      <c r="EX243" s="436"/>
      <c r="EY243" s="436"/>
      <c r="EZ243" s="440"/>
      <c r="FZ243" s="439"/>
      <c r="GA243" s="436"/>
      <c r="GB243" s="436"/>
      <c r="GC243" s="436"/>
      <c r="GD243" s="436"/>
      <c r="GE243" s="436"/>
      <c r="GF243" s="436"/>
      <c r="GG243" s="436"/>
      <c r="GH243" s="436"/>
      <c r="GI243" s="436"/>
      <c r="GJ243" s="436"/>
      <c r="GK243" s="436"/>
      <c r="GL243" s="436"/>
      <c r="GM243" s="436"/>
      <c r="GN243" s="436"/>
      <c r="GO243" s="436"/>
      <c r="GP243" s="436"/>
      <c r="GQ243" s="436"/>
      <c r="GR243" s="436"/>
      <c r="GS243" s="436"/>
      <c r="GT243" s="436"/>
      <c r="GU243" s="436"/>
      <c r="GV243" s="436"/>
      <c r="GW243" s="436"/>
      <c r="GX243" s="440"/>
      <c r="GY243" s="439"/>
      <c r="GZ243" s="436"/>
      <c r="HA243" s="436"/>
      <c r="HB243" s="436"/>
      <c r="HC243" s="436"/>
      <c r="HD243" s="436"/>
      <c r="HE243" s="436"/>
      <c r="HF243" s="436"/>
      <c r="HG243" s="436"/>
      <c r="HH243" s="436"/>
      <c r="HI243" s="436"/>
      <c r="HJ243" s="436"/>
      <c r="HK243" s="436"/>
      <c r="HL243" s="436"/>
      <c r="HM243" s="436"/>
      <c r="HN243" s="436"/>
      <c r="HO243" s="436"/>
      <c r="HP243" s="436"/>
      <c r="HQ243" s="436"/>
      <c r="HR243" s="436"/>
      <c r="HS243" s="436"/>
      <c r="HT243" s="436"/>
      <c r="HU243" s="436"/>
      <c r="HV243" s="436"/>
      <c r="HW243" s="440"/>
    </row>
    <row r="244" spans="132:231" ht="24" customHeight="1">
      <c r="EB244" s="439"/>
      <c r="EC244" s="436"/>
      <c r="ED244" s="436"/>
      <c r="EE244" s="436"/>
      <c r="EF244" s="436"/>
      <c r="EG244" s="436"/>
      <c r="EH244" s="436"/>
      <c r="EI244" s="436"/>
      <c r="EJ244" s="436"/>
      <c r="EK244" s="436"/>
      <c r="EL244" s="436"/>
      <c r="EM244" s="436"/>
      <c r="EN244" s="436"/>
      <c r="EO244" s="436"/>
      <c r="EP244" s="436"/>
      <c r="EQ244" s="436"/>
      <c r="ER244" s="436"/>
      <c r="ES244" s="436"/>
      <c r="ET244" s="436"/>
      <c r="EU244" s="436"/>
      <c r="EV244" s="436"/>
      <c r="EW244" s="436"/>
      <c r="EX244" s="436"/>
      <c r="EY244" s="436"/>
      <c r="EZ244" s="440"/>
      <c r="FZ244" s="439"/>
      <c r="GA244" s="436"/>
      <c r="GB244" s="436"/>
      <c r="GC244" s="436"/>
      <c r="GD244" s="436"/>
      <c r="GE244" s="436"/>
      <c r="GF244" s="436"/>
      <c r="GG244" s="436"/>
      <c r="GH244" s="436"/>
      <c r="GI244" s="436"/>
      <c r="GJ244" s="436"/>
      <c r="GK244" s="436"/>
      <c r="GL244" s="436"/>
      <c r="GM244" s="436"/>
      <c r="GN244" s="436"/>
      <c r="GO244" s="436"/>
      <c r="GP244" s="436"/>
      <c r="GQ244" s="436"/>
      <c r="GR244" s="436"/>
      <c r="GS244" s="436"/>
      <c r="GT244" s="436"/>
      <c r="GU244" s="436"/>
      <c r="GV244" s="436"/>
      <c r="GW244" s="436"/>
      <c r="GX244" s="440"/>
      <c r="GY244" s="439"/>
      <c r="GZ244" s="436"/>
      <c r="HA244" s="436"/>
      <c r="HB244" s="436"/>
      <c r="HC244" s="436"/>
      <c r="HD244" s="436"/>
      <c r="HE244" s="436"/>
      <c r="HF244" s="436"/>
      <c r="HG244" s="436"/>
      <c r="HH244" s="436"/>
      <c r="HI244" s="436"/>
      <c r="HJ244" s="436"/>
      <c r="HK244" s="436"/>
      <c r="HL244" s="436"/>
      <c r="HM244" s="436"/>
      <c r="HN244" s="436"/>
      <c r="HO244" s="436"/>
      <c r="HP244" s="436"/>
      <c r="HQ244" s="436"/>
      <c r="HR244" s="436"/>
      <c r="HS244" s="436"/>
      <c r="HT244" s="436"/>
      <c r="HU244" s="436"/>
      <c r="HV244" s="436"/>
      <c r="HW244" s="440"/>
    </row>
    <row r="245" spans="132:231" ht="24" customHeight="1">
      <c r="EB245" s="439"/>
      <c r="EC245" s="436"/>
      <c r="ED245" s="436"/>
      <c r="EE245" s="436"/>
      <c r="EF245" s="436"/>
      <c r="EG245" s="436"/>
      <c r="EH245" s="436"/>
      <c r="EI245" s="436"/>
      <c r="EJ245" s="436"/>
      <c r="EK245" s="436"/>
      <c r="EL245" s="436"/>
      <c r="EM245" s="436"/>
      <c r="EN245" s="436"/>
      <c r="EO245" s="436"/>
      <c r="EP245" s="436"/>
      <c r="EQ245" s="436"/>
      <c r="ER245" s="436"/>
      <c r="ES245" s="436"/>
      <c r="ET245" s="436"/>
      <c r="EU245" s="436"/>
      <c r="EV245" s="436"/>
      <c r="EW245" s="436"/>
      <c r="EX245" s="436"/>
      <c r="EY245" s="436"/>
      <c r="EZ245" s="440"/>
      <c r="FZ245" s="439"/>
      <c r="GA245" s="436"/>
      <c r="GB245" s="436"/>
      <c r="GC245" s="436"/>
      <c r="GD245" s="436"/>
      <c r="GE245" s="436"/>
      <c r="GF245" s="436"/>
      <c r="GG245" s="436"/>
      <c r="GH245" s="436"/>
      <c r="GI245" s="436"/>
      <c r="GJ245" s="436"/>
      <c r="GK245" s="436"/>
      <c r="GL245" s="436"/>
      <c r="GM245" s="436"/>
      <c r="GN245" s="436"/>
      <c r="GO245" s="436"/>
      <c r="GP245" s="436"/>
      <c r="GQ245" s="436"/>
      <c r="GR245" s="436"/>
      <c r="GS245" s="436"/>
      <c r="GT245" s="436"/>
      <c r="GU245" s="436"/>
      <c r="GV245" s="436"/>
      <c r="GW245" s="436"/>
      <c r="GX245" s="440"/>
      <c r="GY245" s="439"/>
      <c r="GZ245" s="436"/>
      <c r="HA245" s="436"/>
      <c r="HB245" s="436"/>
      <c r="HC245" s="436"/>
      <c r="HD245" s="436"/>
      <c r="HE245" s="436"/>
      <c r="HF245" s="436"/>
      <c r="HG245" s="436"/>
      <c r="HH245" s="436"/>
      <c r="HI245" s="436"/>
      <c r="HJ245" s="436"/>
      <c r="HK245" s="436"/>
      <c r="HL245" s="436"/>
      <c r="HM245" s="436"/>
      <c r="HN245" s="436"/>
      <c r="HO245" s="436"/>
      <c r="HP245" s="436"/>
      <c r="HQ245" s="436"/>
      <c r="HR245" s="436"/>
      <c r="HS245" s="436"/>
      <c r="HT245" s="436"/>
      <c r="HU245" s="436"/>
      <c r="HV245" s="436"/>
      <c r="HW245" s="440"/>
    </row>
    <row r="246" spans="132:231" ht="24" customHeight="1" thickBot="1">
      <c r="EB246" s="439"/>
      <c r="EC246" s="441"/>
      <c r="ED246" s="441"/>
      <c r="EE246" s="441"/>
      <c r="EF246" s="436"/>
      <c r="EG246" s="436"/>
      <c r="EH246" s="436"/>
      <c r="EI246" s="436"/>
      <c r="EJ246" s="436"/>
      <c r="EK246" s="436"/>
      <c r="EL246" s="436"/>
      <c r="EM246" s="436"/>
      <c r="EN246" s="436"/>
      <c r="EO246" s="436"/>
      <c r="EP246" s="436"/>
      <c r="EQ246" s="436"/>
      <c r="ER246" s="436"/>
      <c r="ES246" s="436"/>
      <c r="ET246" s="436"/>
      <c r="EU246" s="436"/>
      <c r="EV246" s="436"/>
      <c r="EW246" s="436"/>
      <c r="EX246" s="436"/>
      <c r="EY246" s="436"/>
      <c r="EZ246" s="440"/>
      <c r="FZ246" s="439"/>
      <c r="GA246" s="441"/>
      <c r="GB246" s="441"/>
      <c r="GC246" s="441"/>
      <c r="GD246" s="436"/>
      <c r="GE246" s="436"/>
      <c r="GF246" s="436"/>
      <c r="GG246" s="436"/>
      <c r="GH246" s="436"/>
      <c r="GI246" s="436"/>
      <c r="GJ246" s="436"/>
      <c r="GK246" s="436"/>
      <c r="GL246" s="436"/>
      <c r="GM246" s="436"/>
      <c r="GN246" s="436"/>
      <c r="GO246" s="436"/>
      <c r="GP246" s="436"/>
      <c r="GQ246" s="436"/>
      <c r="GR246" s="436"/>
      <c r="GS246" s="436"/>
      <c r="GT246" s="436"/>
      <c r="GU246" s="436"/>
      <c r="GV246" s="436"/>
      <c r="GW246" s="436"/>
      <c r="GX246" s="440"/>
      <c r="GY246" s="439"/>
      <c r="GZ246" s="441"/>
      <c r="HA246" s="441"/>
      <c r="HB246" s="441"/>
      <c r="HC246" s="436"/>
      <c r="HD246" s="436"/>
      <c r="HE246" s="436"/>
      <c r="HF246" s="436"/>
      <c r="HG246" s="436"/>
      <c r="HH246" s="436"/>
      <c r="HI246" s="436"/>
      <c r="HJ246" s="436"/>
      <c r="HK246" s="436"/>
      <c r="HL246" s="436"/>
      <c r="HM246" s="436"/>
      <c r="HN246" s="436"/>
      <c r="HO246" s="436"/>
      <c r="HP246" s="436"/>
      <c r="HQ246" s="436"/>
      <c r="HR246" s="436"/>
      <c r="HS246" s="436"/>
      <c r="HT246" s="436"/>
      <c r="HU246" s="436"/>
      <c r="HV246" s="436"/>
      <c r="HW246" s="440"/>
    </row>
    <row r="247" spans="132:231" ht="24" customHeight="1" thickBot="1">
      <c r="EB247" s="444"/>
      <c r="EC247" s="1917" t="str">
        <f>'Вывод расчетов'!$CC$9</f>
        <v>Раздел 3</v>
      </c>
      <c r="ED247" s="1915"/>
      <c r="EE247" s="1915"/>
      <c r="EF247" s="445"/>
      <c r="EG247" s="1917" t="str">
        <f>'Вывод расчетов'!$CF$9</f>
        <v>Расчет обмотки статора</v>
      </c>
      <c r="EH247" s="1915"/>
      <c r="EI247" s="1915"/>
      <c r="EJ247" s="1915"/>
      <c r="EK247" s="1915"/>
      <c r="EL247" s="1915"/>
      <c r="EM247" s="1915"/>
      <c r="EN247" s="1915"/>
      <c r="EO247" s="1915"/>
      <c r="EP247" s="1915"/>
      <c r="EQ247" s="1915"/>
      <c r="ER247" s="1918"/>
      <c r="ES247" s="445"/>
      <c r="ET247" s="1917" t="s">
        <v>1502</v>
      </c>
      <c r="EU247" s="1915"/>
      <c r="EV247" s="1918"/>
      <c r="EW247" s="445"/>
      <c r="EX247" s="1917">
        <v>11</v>
      </c>
      <c r="EY247" s="1918"/>
      <c r="EZ247" s="446"/>
      <c r="FZ247" s="444"/>
      <c r="GA247" s="1917" t="str">
        <f>'Вывод расчетов'!$CC$9</f>
        <v>Раздел 3</v>
      </c>
      <c r="GB247" s="1915"/>
      <c r="GC247" s="1915"/>
      <c r="GD247" s="445"/>
      <c r="GE247" s="1917" t="str">
        <f>'Вывод расчетов'!$CF$9</f>
        <v>Расчет обмотки статора</v>
      </c>
      <c r="GF247" s="1915"/>
      <c r="GG247" s="1915"/>
      <c r="GH247" s="1915"/>
      <c r="GI247" s="1915"/>
      <c r="GJ247" s="1915"/>
      <c r="GK247" s="1915"/>
      <c r="GL247" s="1915"/>
      <c r="GM247" s="1915"/>
      <c r="GN247" s="1915"/>
      <c r="GO247" s="1915"/>
      <c r="GP247" s="1918"/>
      <c r="GQ247" s="445"/>
      <c r="GR247" s="1917" t="s">
        <v>1502</v>
      </c>
      <c r="GS247" s="1915"/>
      <c r="GT247" s="1918"/>
      <c r="GU247" s="445"/>
      <c r="GV247" s="1917">
        <v>11</v>
      </c>
      <c r="GW247" s="1918"/>
      <c r="GX247" s="446"/>
      <c r="GY247" s="444"/>
      <c r="GZ247" s="1917" t="str">
        <f>'Вывод расчетов'!$CC$9</f>
        <v>Раздел 3</v>
      </c>
      <c r="HA247" s="1915"/>
      <c r="HB247" s="1915"/>
      <c r="HC247" s="445"/>
      <c r="HD247" s="1917" t="str">
        <f>'Вывод расчетов'!$CF$9</f>
        <v>Расчет обмотки статора</v>
      </c>
      <c r="HE247" s="1915"/>
      <c r="HF247" s="1915"/>
      <c r="HG247" s="1915"/>
      <c r="HH247" s="1915"/>
      <c r="HI247" s="1915"/>
      <c r="HJ247" s="1915"/>
      <c r="HK247" s="1915"/>
      <c r="HL247" s="1915"/>
      <c r="HM247" s="1915"/>
      <c r="HN247" s="1915"/>
      <c r="HO247" s="1918"/>
      <c r="HP247" s="445"/>
      <c r="HQ247" s="1917" t="s">
        <v>1502</v>
      </c>
      <c r="HR247" s="1915"/>
      <c r="HS247" s="1918"/>
      <c r="HT247" s="445"/>
      <c r="HU247" s="1917">
        <v>11</v>
      </c>
      <c r="HV247" s="1918"/>
      <c r="HW247" s="446"/>
    </row>
    <row r="248" spans="132:231" ht="24" customHeight="1" thickBot="1">
      <c r="EB248" s="1914" t="s">
        <v>1230</v>
      </c>
      <c r="EC248" s="1915"/>
      <c r="ED248" s="1915"/>
      <c r="EE248" s="1915"/>
      <c r="EF248" s="1915"/>
      <c r="EG248" s="1915"/>
      <c r="EH248" s="1915"/>
      <c r="EI248" s="1915"/>
      <c r="EJ248" s="1915"/>
      <c r="EK248" s="1915"/>
      <c r="EL248" s="1915"/>
      <c r="EM248" s="1915"/>
      <c r="EN248" s="1915"/>
      <c r="EO248" s="1915"/>
      <c r="EP248" s="1915"/>
      <c r="EQ248" s="1915"/>
      <c r="ER248" s="1915"/>
      <c r="ES248" s="1915"/>
      <c r="ET248" s="1915"/>
      <c r="EU248" s="1915"/>
      <c r="EV248" s="1915"/>
      <c r="EW248" s="1915"/>
      <c r="EX248" s="1915"/>
      <c r="EY248" s="1915"/>
      <c r="EZ248" s="1916"/>
      <c r="FZ248" s="1914" t="s">
        <v>1230</v>
      </c>
      <c r="GA248" s="1915"/>
      <c r="GB248" s="1915"/>
      <c r="GC248" s="1915"/>
      <c r="GD248" s="1915"/>
      <c r="GE248" s="1915"/>
      <c r="GF248" s="1915"/>
      <c r="GG248" s="1915"/>
      <c r="GH248" s="1915"/>
      <c r="GI248" s="1915"/>
      <c r="GJ248" s="1915"/>
      <c r="GK248" s="1915"/>
      <c r="GL248" s="1915"/>
      <c r="GM248" s="1915"/>
      <c r="GN248" s="1915"/>
      <c r="GO248" s="1915"/>
      <c r="GP248" s="1915"/>
      <c r="GQ248" s="1915"/>
      <c r="GR248" s="1915"/>
      <c r="GS248" s="1915"/>
      <c r="GT248" s="1915"/>
      <c r="GU248" s="1915"/>
      <c r="GV248" s="1915"/>
      <c r="GW248" s="1915"/>
      <c r="GX248" s="1916"/>
      <c r="GY248" s="1914" t="s">
        <v>1230</v>
      </c>
      <c r="GZ248" s="1915"/>
      <c r="HA248" s="1915"/>
      <c r="HB248" s="1915"/>
      <c r="HC248" s="1915"/>
      <c r="HD248" s="1915"/>
      <c r="HE248" s="1915"/>
      <c r="HF248" s="1915"/>
      <c r="HG248" s="1915"/>
      <c r="HH248" s="1915"/>
      <c r="HI248" s="1915"/>
      <c r="HJ248" s="1915"/>
      <c r="HK248" s="1915"/>
      <c r="HL248" s="1915"/>
      <c r="HM248" s="1915"/>
      <c r="HN248" s="1915"/>
      <c r="HO248" s="1915"/>
      <c r="HP248" s="1915"/>
      <c r="HQ248" s="1915"/>
      <c r="HR248" s="1915"/>
      <c r="HS248" s="1915"/>
      <c r="HT248" s="1915"/>
      <c r="HU248" s="1915"/>
      <c r="HV248" s="1915"/>
      <c r="HW248" s="1916"/>
    </row>
    <row r="249" spans="132:231" ht="24" customHeight="1">
      <c r="EB249" s="437"/>
      <c r="EC249" s="438"/>
      <c r="ED249" s="438"/>
      <c r="EE249" s="438"/>
      <c r="EF249" s="438"/>
      <c r="EG249" s="438"/>
      <c r="EH249" s="438"/>
      <c r="EI249" s="438"/>
      <c r="EJ249" s="438"/>
      <c r="EK249" s="438"/>
      <c r="EL249" s="438"/>
      <c r="EM249" s="438"/>
      <c r="EN249" s="438"/>
      <c r="EO249" s="438"/>
      <c r="EP249" s="438"/>
      <c r="EQ249" s="438"/>
      <c r="ER249" s="438"/>
      <c r="ES249" s="438"/>
      <c r="ET249" s="438"/>
      <c r="EU249" s="438"/>
      <c r="EV249" s="438"/>
      <c r="EW249" s="438"/>
      <c r="EX249" s="438"/>
      <c r="EY249" s="438"/>
      <c r="EZ249" s="447"/>
      <c r="FZ249" s="437"/>
      <c r="GA249" s="438"/>
      <c r="GB249" s="438"/>
      <c r="GC249" s="438"/>
      <c r="GD249" s="438"/>
      <c r="GE249" s="438"/>
      <c r="GF249" s="438"/>
      <c r="GG249" s="438"/>
      <c r="GH249" s="438"/>
      <c r="GI249" s="438"/>
      <c r="GJ249" s="438"/>
      <c r="GK249" s="438"/>
      <c r="GL249" s="438"/>
      <c r="GM249" s="438"/>
      <c r="GN249" s="438"/>
      <c r="GO249" s="438"/>
      <c r="GP249" s="438"/>
      <c r="GQ249" s="438"/>
      <c r="GR249" s="438"/>
      <c r="GS249" s="438"/>
      <c r="GT249" s="438"/>
      <c r="GU249" s="438"/>
      <c r="GV249" s="438"/>
      <c r="GW249" s="438"/>
      <c r="GX249" s="447"/>
      <c r="GY249" s="437"/>
      <c r="GZ249" s="438"/>
      <c r="HA249" s="438"/>
      <c r="HB249" s="438"/>
      <c r="HC249" s="438"/>
      <c r="HD249" s="438"/>
      <c r="HE249" s="438"/>
      <c r="HF249" s="438"/>
      <c r="HG249" s="438"/>
      <c r="HH249" s="438"/>
      <c r="HI249" s="438"/>
      <c r="HJ249" s="438"/>
      <c r="HK249" s="438"/>
      <c r="HL249" s="438"/>
      <c r="HM249" s="438"/>
      <c r="HN249" s="438"/>
      <c r="HO249" s="438"/>
      <c r="HP249" s="438"/>
      <c r="HQ249" s="438"/>
      <c r="HR249" s="438"/>
      <c r="HS249" s="438"/>
      <c r="HT249" s="438"/>
      <c r="HU249" s="438"/>
      <c r="HV249" s="438"/>
      <c r="HW249" s="447"/>
    </row>
    <row r="250" spans="132:231" ht="24" customHeight="1">
      <c r="EB250" s="439"/>
      <c r="EC250" s="436"/>
      <c r="ED250" s="436"/>
      <c r="EE250" s="436"/>
      <c r="EF250" s="436"/>
      <c r="EG250" s="436"/>
      <c r="EH250" s="436"/>
      <c r="EI250" s="436"/>
      <c r="EJ250" s="436"/>
      <c r="EK250" s="436"/>
      <c r="EL250" s="436"/>
      <c r="EM250" s="436"/>
      <c r="EN250" s="436"/>
      <c r="EO250" s="436"/>
      <c r="EP250" s="436"/>
      <c r="EQ250" s="436"/>
      <c r="ER250" s="436"/>
      <c r="ES250" s="436"/>
      <c r="ET250" s="436"/>
      <c r="EU250" s="436"/>
      <c r="EV250" s="436"/>
      <c r="EW250" s="436"/>
      <c r="EX250" s="436"/>
      <c r="EY250" s="436"/>
      <c r="EZ250" s="440"/>
      <c r="FZ250" s="439"/>
      <c r="GA250" s="436"/>
      <c r="GB250" s="436"/>
      <c r="GC250" s="436"/>
      <c r="GD250" s="436"/>
      <c r="GE250" s="436"/>
      <c r="GF250" s="436"/>
      <c r="GG250" s="436"/>
      <c r="GH250" s="436"/>
      <c r="GI250" s="436"/>
      <c r="GJ250" s="436"/>
      <c r="GK250" s="436"/>
      <c r="GL250" s="436"/>
      <c r="GM250" s="436"/>
      <c r="GN250" s="436"/>
      <c r="GO250" s="436"/>
      <c r="GP250" s="436"/>
      <c r="GQ250" s="436"/>
      <c r="GR250" s="436"/>
      <c r="GS250" s="436"/>
      <c r="GT250" s="436"/>
      <c r="GU250" s="436"/>
      <c r="GV250" s="436"/>
      <c r="GW250" s="436"/>
      <c r="GX250" s="440"/>
      <c r="GY250" s="439"/>
      <c r="GZ250" s="436"/>
      <c r="HA250" s="436"/>
      <c r="HB250" s="436"/>
      <c r="HC250" s="436"/>
      <c r="HD250" s="436"/>
      <c r="HE250" s="436"/>
      <c r="HF250" s="436"/>
      <c r="HG250" s="436"/>
      <c r="HH250" s="436"/>
      <c r="HI250" s="436"/>
      <c r="HJ250" s="436"/>
      <c r="HK250" s="436"/>
      <c r="HL250" s="436"/>
      <c r="HM250" s="436"/>
      <c r="HN250" s="436"/>
      <c r="HO250" s="436"/>
      <c r="HP250" s="436"/>
      <c r="HQ250" s="436"/>
      <c r="HR250" s="436"/>
      <c r="HS250" s="436"/>
      <c r="HT250" s="436"/>
      <c r="HU250" s="436"/>
      <c r="HV250" s="436"/>
      <c r="HW250" s="440"/>
    </row>
    <row r="251" spans="132:231" ht="24" customHeight="1">
      <c r="EB251" s="439"/>
      <c r="EC251" s="436"/>
      <c r="ED251" s="436"/>
      <c r="EE251" s="436"/>
      <c r="EF251" s="436"/>
      <c r="EG251" s="436"/>
      <c r="EH251" s="436"/>
      <c r="EI251" s="436"/>
      <c r="EJ251" s="436"/>
      <c r="EK251" s="436"/>
      <c r="EL251" s="436"/>
      <c r="EM251" s="436"/>
      <c r="EN251" s="436"/>
      <c r="EO251" s="436"/>
      <c r="EP251" s="436"/>
      <c r="EQ251" s="436"/>
      <c r="ER251" s="436"/>
      <c r="ES251" s="436"/>
      <c r="ET251" s="436"/>
      <c r="EU251" s="436"/>
      <c r="EV251" s="436"/>
      <c r="EW251" s="436"/>
      <c r="EX251" s="436"/>
      <c r="EY251" s="436"/>
      <c r="EZ251" s="440"/>
      <c r="FZ251" s="439"/>
      <c r="GA251" s="436"/>
      <c r="GB251" s="436"/>
      <c r="GC251" s="436"/>
      <c r="GD251" s="436"/>
      <c r="GE251" s="436"/>
      <c r="GF251" s="436"/>
      <c r="GG251" s="436"/>
      <c r="GH251" s="436"/>
      <c r="GI251" s="436"/>
      <c r="GJ251" s="436"/>
      <c r="GK251" s="436"/>
      <c r="GL251" s="436"/>
      <c r="GM251" s="436"/>
      <c r="GN251" s="436"/>
      <c r="GO251" s="436"/>
      <c r="GP251" s="436"/>
      <c r="GQ251" s="436"/>
      <c r="GR251" s="436"/>
      <c r="GS251" s="436"/>
      <c r="GT251" s="436"/>
      <c r="GU251" s="436"/>
      <c r="GV251" s="436"/>
      <c r="GW251" s="436"/>
      <c r="GX251" s="440"/>
      <c r="GY251" s="439"/>
      <c r="GZ251" s="436"/>
      <c r="HA251" s="436"/>
      <c r="HB251" s="436"/>
      <c r="HC251" s="436"/>
      <c r="HD251" s="436"/>
      <c r="HE251" s="436"/>
      <c r="HF251" s="436"/>
      <c r="HG251" s="436"/>
      <c r="HH251" s="436"/>
      <c r="HI251" s="436"/>
      <c r="HJ251" s="436"/>
      <c r="HK251" s="436"/>
      <c r="HL251" s="436"/>
      <c r="HM251" s="436"/>
      <c r="HN251" s="436"/>
      <c r="HO251" s="436"/>
      <c r="HP251" s="436"/>
      <c r="HQ251" s="436"/>
      <c r="HR251" s="436"/>
      <c r="HS251" s="436"/>
      <c r="HT251" s="436"/>
      <c r="HU251" s="436"/>
      <c r="HV251" s="436"/>
      <c r="HW251" s="440"/>
    </row>
    <row r="252" spans="132:231" ht="24" customHeight="1">
      <c r="EB252" s="439"/>
      <c r="EC252" s="436"/>
      <c r="ED252" s="436"/>
      <c r="EE252" s="436"/>
      <c r="EF252" s="436"/>
      <c r="EG252" s="436"/>
      <c r="EH252" s="436"/>
      <c r="EI252" s="436"/>
      <c r="EJ252" s="436"/>
      <c r="EK252" s="436"/>
      <c r="EL252" s="436"/>
      <c r="EM252" s="436"/>
      <c r="EN252" s="436"/>
      <c r="EO252" s="436"/>
      <c r="EP252" s="436"/>
      <c r="EQ252" s="436"/>
      <c r="ER252" s="436"/>
      <c r="ES252" s="436"/>
      <c r="ET252" s="436"/>
      <c r="EU252" s="436"/>
      <c r="EV252" s="436"/>
      <c r="EW252" s="436"/>
      <c r="EX252" s="436"/>
      <c r="EY252" s="436"/>
      <c r="EZ252" s="440"/>
      <c r="FZ252" s="439"/>
      <c r="GA252" s="436"/>
      <c r="GB252" s="436"/>
      <c r="GC252" s="436"/>
      <c r="GD252" s="436"/>
      <c r="GE252" s="436"/>
      <c r="GF252" s="436"/>
      <c r="GG252" s="436"/>
      <c r="GH252" s="436"/>
      <c r="GI252" s="436"/>
      <c r="GJ252" s="436"/>
      <c r="GK252" s="436"/>
      <c r="GL252" s="436"/>
      <c r="GM252" s="436"/>
      <c r="GN252" s="436"/>
      <c r="GO252" s="436"/>
      <c r="GP252" s="436"/>
      <c r="GQ252" s="436"/>
      <c r="GR252" s="436"/>
      <c r="GS252" s="436"/>
      <c r="GT252" s="436"/>
      <c r="GU252" s="436"/>
      <c r="GV252" s="436"/>
      <c r="GW252" s="436"/>
      <c r="GX252" s="440"/>
      <c r="GY252" s="439"/>
      <c r="GZ252" s="436"/>
      <c r="HA252" s="436"/>
      <c r="HB252" s="436"/>
      <c r="HC252" s="436"/>
      <c r="HD252" s="436"/>
      <c r="HE252" s="436"/>
      <c r="HF252" s="436"/>
      <c r="HG252" s="436"/>
      <c r="HH252" s="436"/>
      <c r="HI252" s="436"/>
      <c r="HJ252" s="436"/>
      <c r="HK252" s="436"/>
      <c r="HL252" s="436"/>
      <c r="HM252" s="436"/>
      <c r="HN252" s="436"/>
      <c r="HO252" s="436"/>
      <c r="HP252" s="436"/>
      <c r="HQ252" s="436"/>
      <c r="HR252" s="436"/>
      <c r="HS252" s="436"/>
      <c r="HT252" s="436"/>
      <c r="HU252" s="436"/>
      <c r="HV252" s="436"/>
      <c r="HW252" s="440"/>
    </row>
    <row r="253" spans="132:231" ht="24" customHeight="1">
      <c r="EB253" s="439"/>
      <c r="EC253" s="436"/>
      <c r="ED253" s="436"/>
      <c r="EE253" s="436"/>
      <c r="EF253" s="436"/>
      <c r="EG253" s="436"/>
      <c r="EH253" s="436"/>
      <c r="EI253" s="436"/>
      <c r="EJ253" s="436"/>
      <c r="EK253" s="436"/>
      <c r="EL253" s="436"/>
      <c r="EM253" s="436"/>
      <c r="EN253" s="436"/>
      <c r="EO253" s="436"/>
      <c r="EP253" s="436"/>
      <c r="EQ253" s="436"/>
      <c r="ER253" s="436"/>
      <c r="ES253" s="436"/>
      <c r="ET253" s="436"/>
      <c r="EU253" s="436"/>
      <c r="EV253" s="436"/>
      <c r="EW253" s="436"/>
      <c r="EX253" s="436"/>
      <c r="EY253" s="436"/>
      <c r="EZ253" s="440"/>
      <c r="FZ253" s="439"/>
      <c r="GA253" s="436"/>
      <c r="GB253" s="436"/>
      <c r="GC253" s="436"/>
      <c r="GD253" s="436"/>
      <c r="GE253" s="436"/>
      <c r="GF253" s="436"/>
      <c r="GG253" s="436"/>
      <c r="GH253" s="436"/>
      <c r="GI253" s="436"/>
      <c r="GJ253" s="436"/>
      <c r="GK253" s="436"/>
      <c r="GL253" s="436"/>
      <c r="GM253" s="436"/>
      <c r="GN253" s="436"/>
      <c r="GO253" s="436"/>
      <c r="GP253" s="436"/>
      <c r="GQ253" s="436"/>
      <c r="GR253" s="436"/>
      <c r="GS253" s="436"/>
      <c r="GT253" s="436"/>
      <c r="GU253" s="436"/>
      <c r="GV253" s="436"/>
      <c r="GW253" s="436"/>
      <c r="GX253" s="440"/>
      <c r="GY253" s="439"/>
      <c r="GZ253" s="436"/>
      <c r="HA253" s="436"/>
      <c r="HB253" s="436"/>
      <c r="HC253" s="436"/>
      <c r="HD253" s="436"/>
      <c r="HE253" s="436"/>
      <c r="HF253" s="436"/>
      <c r="HG253" s="436"/>
      <c r="HH253" s="436"/>
      <c r="HI253" s="436"/>
      <c r="HJ253" s="436"/>
      <c r="HK253" s="436"/>
      <c r="HL253" s="436"/>
      <c r="HM253" s="436"/>
      <c r="HN253" s="436"/>
      <c r="HO253" s="436"/>
      <c r="HP253" s="436"/>
      <c r="HQ253" s="436"/>
      <c r="HR253" s="436"/>
      <c r="HS253" s="436"/>
      <c r="HT253" s="436"/>
      <c r="HU253" s="436"/>
      <c r="HV253" s="436"/>
      <c r="HW253" s="440"/>
    </row>
    <row r="254" spans="132:231" ht="24" customHeight="1">
      <c r="EB254" s="439"/>
      <c r="EC254" s="436"/>
      <c r="ED254" s="436"/>
      <c r="EE254" s="436"/>
      <c r="EF254" s="436"/>
      <c r="EG254" s="436"/>
      <c r="EH254" s="436"/>
      <c r="EI254" s="436"/>
      <c r="EJ254" s="436"/>
      <c r="EK254" s="436"/>
      <c r="EL254" s="436"/>
      <c r="EM254" s="436"/>
      <c r="EN254" s="436"/>
      <c r="EO254" s="436"/>
      <c r="EP254" s="436"/>
      <c r="EQ254" s="436"/>
      <c r="ER254" s="436"/>
      <c r="ES254" s="436"/>
      <c r="ET254" s="436"/>
      <c r="EU254" s="436"/>
      <c r="EV254" s="436"/>
      <c r="EW254" s="436"/>
      <c r="EX254" s="436"/>
      <c r="EY254" s="436"/>
      <c r="EZ254" s="440"/>
      <c r="FZ254" s="439"/>
      <c r="GA254" s="436"/>
      <c r="GB254" s="436"/>
      <c r="GC254" s="436"/>
      <c r="GD254" s="436"/>
      <c r="GE254" s="436"/>
      <c r="GF254" s="436"/>
      <c r="GG254" s="436"/>
      <c r="GH254" s="436"/>
      <c r="GI254" s="436"/>
      <c r="GJ254" s="436"/>
      <c r="GK254" s="436"/>
      <c r="GL254" s="436"/>
      <c r="GM254" s="436"/>
      <c r="GN254" s="436"/>
      <c r="GO254" s="436"/>
      <c r="GP254" s="436"/>
      <c r="GQ254" s="436"/>
      <c r="GR254" s="436"/>
      <c r="GS254" s="436"/>
      <c r="GT254" s="436"/>
      <c r="GU254" s="436"/>
      <c r="GV254" s="436"/>
      <c r="GW254" s="436"/>
      <c r="GX254" s="440"/>
      <c r="GY254" s="439"/>
      <c r="GZ254" s="436"/>
      <c r="HA254" s="436"/>
      <c r="HB254" s="436"/>
      <c r="HC254" s="436"/>
      <c r="HD254" s="436"/>
      <c r="HE254" s="436"/>
      <c r="HF254" s="436"/>
      <c r="HG254" s="436"/>
      <c r="HH254" s="436"/>
      <c r="HI254" s="436"/>
      <c r="HJ254" s="436"/>
      <c r="HK254" s="436"/>
      <c r="HL254" s="436"/>
      <c r="HM254" s="436"/>
      <c r="HN254" s="436"/>
      <c r="HO254" s="436"/>
      <c r="HP254" s="436"/>
      <c r="HQ254" s="436"/>
      <c r="HR254" s="436"/>
      <c r="HS254" s="436"/>
      <c r="HT254" s="436"/>
      <c r="HU254" s="436"/>
      <c r="HV254" s="436"/>
      <c r="HW254" s="440"/>
    </row>
    <row r="255" spans="132:231" ht="24" customHeight="1">
      <c r="EB255" s="439"/>
      <c r="EC255" s="436"/>
      <c r="ED255" s="436"/>
      <c r="EE255" s="436"/>
      <c r="EF255" s="436"/>
      <c r="EG255" s="436"/>
      <c r="EH255" s="436"/>
      <c r="EI255" s="436"/>
      <c r="EJ255" s="436"/>
      <c r="EK255" s="436"/>
      <c r="EL255" s="436"/>
      <c r="EM255" s="436"/>
      <c r="EN255" s="436"/>
      <c r="EO255" s="436"/>
      <c r="EP255" s="436"/>
      <c r="EQ255" s="436"/>
      <c r="ER255" s="436"/>
      <c r="ES255" s="436"/>
      <c r="ET255" s="436"/>
      <c r="EU255" s="436"/>
      <c r="EV255" s="436"/>
      <c r="EW255" s="436"/>
      <c r="EX255" s="436"/>
      <c r="EY255" s="436"/>
      <c r="EZ255" s="440"/>
      <c r="FZ255" s="439"/>
      <c r="GA255" s="436"/>
      <c r="GB255" s="436"/>
      <c r="GC255" s="436"/>
      <c r="GD255" s="436"/>
      <c r="GE255" s="436"/>
      <c r="GF255" s="436"/>
      <c r="GG255" s="436"/>
      <c r="GH255" s="436"/>
      <c r="GI255" s="436"/>
      <c r="GJ255" s="436"/>
      <c r="GK255" s="436"/>
      <c r="GL255" s="436"/>
      <c r="GM255" s="436"/>
      <c r="GN255" s="436"/>
      <c r="GO255" s="436"/>
      <c r="GP255" s="436"/>
      <c r="GQ255" s="436"/>
      <c r="GR255" s="436"/>
      <c r="GS255" s="436"/>
      <c r="GT255" s="436"/>
      <c r="GU255" s="436"/>
      <c r="GV255" s="436"/>
      <c r="GW255" s="436"/>
      <c r="GX255" s="440"/>
      <c r="GY255" s="439"/>
      <c r="GZ255" s="436"/>
      <c r="HA255" s="436"/>
      <c r="HB255" s="436"/>
      <c r="HC255" s="436"/>
      <c r="HD255" s="436"/>
      <c r="HE255" s="436"/>
      <c r="HF255" s="436"/>
      <c r="HG255" s="436"/>
      <c r="HH255" s="436"/>
      <c r="HI255" s="436"/>
      <c r="HJ255" s="436"/>
      <c r="HK255" s="436"/>
      <c r="HL255" s="436"/>
      <c r="HM255" s="436"/>
      <c r="HN255" s="436"/>
      <c r="HO255" s="436"/>
      <c r="HP255" s="436"/>
      <c r="HQ255" s="436"/>
      <c r="HR255" s="436"/>
      <c r="HS255" s="436"/>
      <c r="HT255" s="436"/>
      <c r="HU255" s="436"/>
      <c r="HV255" s="436"/>
      <c r="HW255" s="440"/>
    </row>
    <row r="256" spans="132:231" ht="24" customHeight="1">
      <c r="EB256" s="439"/>
      <c r="EC256" s="436"/>
      <c r="ED256" s="436"/>
      <c r="EE256" s="436"/>
      <c r="EF256" s="436"/>
      <c r="EG256" s="436"/>
      <c r="EH256" s="436"/>
      <c r="EI256" s="436"/>
      <c r="EJ256" s="436"/>
      <c r="EK256" s="436"/>
      <c r="EL256" s="436"/>
      <c r="EM256" s="436"/>
      <c r="EN256" s="436"/>
      <c r="EO256" s="436"/>
      <c r="EP256" s="436"/>
      <c r="EQ256" s="436"/>
      <c r="ER256" s="436"/>
      <c r="ES256" s="436"/>
      <c r="ET256" s="436"/>
      <c r="EU256" s="436"/>
      <c r="EV256" s="436"/>
      <c r="EW256" s="436"/>
      <c r="EX256" s="436"/>
      <c r="EY256" s="436"/>
      <c r="EZ256" s="440"/>
      <c r="FZ256" s="439"/>
      <c r="GA256" s="436"/>
      <c r="GB256" s="436"/>
      <c r="GC256" s="436"/>
      <c r="GD256" s="436"/>
      <c r="GE256" s="436"/>
      <c r="GF256" s="436"/>
      <c r="GG256" s="436"/>
      <c r="GH256" s="436"/>
      <c r="GI256" s="436"/>
      <c r="GJ256" s="436"/>
      <c r="GK256" s="436"/>
      <c r="GL256" s="436"/>
      <c r="GM256" s="436"/>
      <c r="GN256" s="436"/>
      <c r="GO256" s="436"/>
      <c r="GP256" s="436"/>
      <c r="GQ256" s="436"/>
      <c r="GR256" s="436"/>
      <c r="GS256" s="436"/>
      <c r="GT256" s="436"/>
      <c r="GU256" s="436"/>
      <c r="GV256" s="436"/>
      <c r="GW256" s="436"/>
      <c r="GX256" s="440"/>
      <c r="GY256" s="439"/>
      <c r="GZ256" s="436"/>
      <c r="HA256" s="436"/>
      <c r="HB256" s="436"/>
      <c r="HC256" s="436"/>
      <c r="HD256" s="436"/>
      <c r="HE256" s="436"/>
      <c r="HF256" s="436"/>
      <c r="HG256" s="436"/>
      <c r="HH256" s="436"/>
      <c r="HI256" s="436"/>
      <c r="HJ256" s="436"/>
      <c r="HK256" s="436"/>
      <c r="HL256" s="436"/>
      <c r="HM256" s="436"/>
      <c r="HN256" s="436"/>
      <c r="HO256" s="436"/>
      <c r="HP256" s="436"/>
      <c r="HQ256" s="436"/>
      <c r="HR256" s="436"/>
      <c r="HS256" s="436"/>
      <c r="HT256" s="436"/>
      <c r="HU256" s="436"/>
      <c r="HV256" s="436"/>
      <c r="HW256" s="440"/>
    </row>
    <row r="257" spans="132:231" ht="24" customHeight="1">
      <c r="EB257" s="439"/>
      <c r="EC257" s="436"/>
      <c r="ED257" s="436"/>
      <c r="EE257" s="436"/>
      <c r="EF257" s="436"/>
      <c r="EG257" s="436"/>
      <c r="EH257" s="436"/>
      <c r="EI257" s="436"/>
      <c r="EJ257" s="436"/>
      <c r="EK257" s="436"/>
      <c r="EL257" s="436"/>
      <c r="EM257" s="436"/>
      <c r="EN257" s="436"/>
      <c r="EO257" s="436"/>
      <c r="EP257" s="436"/>
      <c r="EQ257" s="436"/>
      <c r="ER257" s="436"/>
      <c r="ES257" s="436"/>
      <c r="ET257" s="436"/>
      <c r="EU257" s="436"/>
      <c r="EV257" s="436"/>
      <c r="EW257" s="436"/>
      <c r="EX257" s="436"/>
      <c r="EY257" s="436"/>
      <c r="EZ257" s="440"/>
      <c r="FZ257" s="439"/>
      <c r="GA257" s="436"/>
      <c r="GB257" s="436"/>
      <c r="GC257" s="436"/>
      <c r="GD257" s="436"/>
      <c r="GE257" s="436"/>
      <c r="GF257" s="436"/>
      <c r="GG257" s="436"/>
      <c r="GH257" s="436"/>
      <c r="GI257" s="436"/>
      <c r="GJ257" s="436"/>
      <c r="GK257" s="436"/>
      <c r="GL257" s="436"/>
      <c r="GM257" s="436"/>
      <c r="GN257" s="436"/>
      <c r="GO257" s="436"/>
      <c r="GP257" s="436"/>
      <c r="GQ257" s="436"/>
      <c r="GR257" s="436"/>
      <c r="GS257" s="436"/>
      <c r="GT257" s="436"/>
      <c r="GU257" s="436"/>
      <c r="GV257" s="436"/>
      <c r="GW257" s="436"/>
      <c r="GX257" s="440"/>
      <c r="GY257" s="439"/>
      <c r="GZ257" s="436"/>
      <c r="HA257" s="436"/>
      <c r="HB257" s="436"/>
      <c r="HC257" s="436"/>
      <c r="HD257" s="436"/>
      <c r="HE257" s="436"/>
      <c r="HF257" s="436"/>
      <c r="HG257" s="436"/>
      <c r="HH257" s="436"/>
      <c r="HI257" s="436"/>
      <c r="HJ257" s="436"/>
      <c r="HK257" s="436"/>
      <c r="HL257" s="436"/>
      <c r="HM257" s="436"/>
      <c r="HN257" s="436"/>
      <c r="HO257" s="436"/>
      <c r="HP257" s="436"/>
      <c r="HQ257" s="436"/>
      <c r="HR257" s="436"/>
      <c r="HS257" s="436"/>
      <c r="HT257" s="436"/>
      <c r="HU257" s="436"/>
      <c r="HV257" s="436"/>
      <c r="HW257" s="440"/>
    </row>
    <row r="258" spans="132:231" ht="24" customHeight="1">
      <c r="EB258" s="439"/>
      <c r="EC258" s="436"/>
      <c r="ED258" s="436"/>
      <c r="EE258" s="436"/>
      <c r="EF258" s="436"/>
      <c r="EG258" s="436"/>
      <c r="EH258" s="436"/>
      <c r="EI258" s="436"/>
      <c r="EJ258" s="436"/>
      <c r="EK258" s="436"/>
      <c r="EL258" s="436"/>
      <c r="EM258" s="436"/>
      <c r="EN258" s="436"/>
      <c r="EO258" s="436"/>
      <c r="EP258" s="436"/>
      <c r="EQ258" s="436"/>
      <c r="ER258" s="436"/>
      <c r="ES258" s="436"/>
      <c r="ET258" s="436"/>
      <c r="EU258" s="436"/>
      <c r="EV258" s="436"/>
      <c r="EW258" s="436"/>
      <c r="EX258" s="436"/>
      <c r="EY258" s="436"/>
      <c r="EZ258" s="440"/>
      <c r="FZ258" s="439"/>
      <c r="GA258" s="436"/>
      <c r="GB258" s="436"/>
      <c r="GC258" s="436"/>
      <c r="GD258" s="436"/>
      <c r="GE258" s="436"/>
      <c r="GF258" s="436"/>
      <c r="GG258" s="436"/>
      <c r="GH258" s="436"/>
      <c r="GI258" s="436"/>
      <c r="GJ258" s="436"/>
      <c r="GK258" s="436"/>
      <c r="GL258" s="436"/>
      <c r="GM258" s="436"/>
      <c r="GN258" s="436"/>
      <c r="GO258" s="436"/>
      <c r="GP258" s="436"/>
      <c r="GQ258" s="436"/>
      <c r="GR258" s="436"/>
      <c r="GS258" s="436"/>
      <c r="GT258" s="436"/>
      <c r="GU258" s="436"/>
      <c r="GV258" s="436"/>
      <c r="GW258" s="436"/>
      <c r="GX258" s="440"/>
      <c r="GY258" s="439"/>
      <c r="GZ258" s="436"/>
      <c r="HA258" s="436"/>
      <c r="HB258" s="436"/>
      <c r="HC258" s="436"/>
      <c r="HD258" s="436"/>
      <c r="HE258" s="436"/>
      <c r="HF258" s="436"/>
      <c r="HG258" s="436"/>
      <c r="HH258" s="436"/>
      <c r="HI258" s="436"/>
      <c r="HJ258" s="436"/>
      <c r="HK258" s="436"/>
      <c r="HL258" s="436"/>
      <c r="HM258" s="436"/>
      <c r="HN258" s="436"/>
      <c r="HO258" s="436"/>
      <c r="HP258" s="436"/>
      <c r="HQ258" s="436"/>
      <c r="HR258" s="436"/>
      <c r="HS258" s="436"/>
      <c r="HT258" s="436"/>
      <c r="HU258" s="436"/>
      <c r="HV258" s="436"/>
      <c r="HW258" s="440"/>
    </row>
    <row r="259" spans="132:231" ht="24" customHeight="1">
      <c r="EB259" s="439"/>
      <c r="EC259" s="436"/>
      <c r="ED259" s="436"/>
      <c r="EE259" s="436"/>
      <c r="EF259" s="436"/>
      <c r="EG259" s="436"/>
      <c r="EH259" s="436"/>
      <c r="EI259" s="436"/>
      <c r="EJ259" s="436"/>
      <c r="EK259" s="436"/>
      <c r="EL259" s="436"/>
      <c r="EM259" s="436"/>
      <c r="EN259" s="436"/>
      <c r="EO259" s="436"/>
      <c r="EP259" s="436"/>
      <c r="EQ259" s="436"/>
      <c r="ER259" s="436"/>
      <c r="ES259" s="436"/>
      <c r="ET259" s="436"/>
      <c r="EU259" s="436"/>
      <c r="EV259" s="436"/>
      <c r="EW259" s="436"/>
      <c r="EX259" s="436"/>
      <c r="EY259" s="436"/>
      <c r="EZ259" s="440"/>
      <c r="FZ259" s="439"/>
      <c r="GA259" s="436"/>
      <c r="GB259" s="436"/>
      <c r="GC259" s="436"/>
      <c r="GD259" s="436"/>
      <c r="GE259" s="436"/>
      <c r="GF259" s="436"/>
      <c r="GG259" s="436"/>
      <c r="GH259" s="436"/>
      <c r="GI259" s="436"/>
      <c r="GJ259" s="436"/>
      <c r="GK259" s="436"/>
      <c r="GL259" s="436"/>
      <c r="GM259" s="436"/>
      <c r="GN259" s="436"/>
      <c r="GO259" s="436"/>
      <c r="GP259" s="436"/>
      <c r="GQ259" s="436"/>
      <c r="GR259" s="436"/>
      <c r="GS259" s="436"/>
      <c r="GT259" s="436"/>
      <c r="GU259" s="436"/>
      <c r="GV259" s="436"/>
      <c r="GW259" s="436"/>
      <c r="GX259" s="440"/>
      <c r="GY259" s="439"/>
      <c r="GZ259" s="436"/>
      <c r="HA259" s="436"/>
      <c r="HB259" s="436"/>
      <c r="HC259" s="436"/>
      <c r="HD259" s="436"/>
      <c r="HE259" s="436"/>
      <c r="HF259" s="436"/>
      <c r="HG259" s="436"/>
      <c r="HH259" s="436"/>
      <c r="HI259" s="436"/>
      <c r="HJ259" s="436"/>
      <c r="HK259" s="436"/>
      <c r="HL259" s="436"/>
      <c r="HM259" s="436"/>
      <c r="HN259" s="436"/>
      <c r="HO259" s="436"/>
      <c r="HP259" s="436"/>
      <c r="HQ259" s="436"/>
      <c r="HR259" s="436"/>
      <c r="HS259" s="436"/>
      <c r="HT259" s="436"/>
      <c r="HU259" s="436"/>
      <c r="HV259" s="436"/>
      <c r="HW259" s="440"/>
    </row>
    <row r="260" spans="132:231" ht="24" customHeight="1">
      <c r="EB260" s="439"/>
      <c r="EC260" s="436"/>
      <c r="ED260" s="436"/>
      <c r="EE260" s="436"/>
      <c r="EF260" s="436"/>
      <c r="EG260" s="436"/>
      <c r="EH260" s="436"/>
      <c r="EI260" s="436"/>
      <c r="EJ260" s="436"/>
      <c r="EK260" s="436"/>
      <c r="EL260" s="436"/>
      <c r="EM260" s="436"/>
      <c r="EN260" s="436"/>
      <c r="EO260" s="436"/>
      <c r="EP260" s="436"/>
      <c r="EQ260" s="436"/>
      <c r="ER260" s="436"/>
      <c r="ES260" s="436"/>
      <c r="ET260" s="436"/>
      <c r="EU260" s="436"/>
      <c r="EV260" s="436"/>
      <c r="EW260" s="436"/>
      <c r="EX260" s="436"/>
      <c r="EY260" s="436"/>
      <c r="EZ260" s="440"/>
      <c r="FZ260" s="439"/>
      <c r="GA260" s="436"/>
      <c r="GB260" s="436"/>
      <c r="GC260" s="436"/>
      <c r="GD260" s="436"/>
      <c r="GE260" s="436"/>
      <c r="GF260" s="436"/>
      <c r="GG260" s="436"/>
      <c r="GH260" s="436"/>
      <c r="GI260" s="436"/>
      <c r="GJ260" s="436"/>
      <c r="GK260" s="436"/>
      <c r="GL260" s="436"/>
      <c r="GM260" s="436"/>
      <c r="GN260" s="436"/>
      <c r="GO260" s="436"/>
      <c r="GP260" s="436"/>
      <c r="GQ260" s="436"/>
      <c r="GR260" s="436"/>
      <c r="GS260" s="436"/>
      <c r="GT260" s="436"/>
      <c r="GU260" s="436"/>
      <c r="GV260" s="436"/>
      <c r="GW260" s="436"/>
      <c r="GX260" s="440"/>
      <c r="GY260" s="439"/>
      <c r="GZ260" s="436"/>
      <c r="HA260" s="436"/>
      <c r="HB260" s="436"/>
      <c r="HC260" s="436"/>
      <c r="HD260" s="436"/>
      <c r="HE260" s="436"/>
      <c r="HF260" s="436"/>
      <c r="HG260" s="436"/>
      <c r="HH260" s="436"/>
      <c r="HI260" s="436"/>
      <c r="HJ260" s="436"/>
      <c r="HK260" s="436"/>
      <c r="HL260" s="436"/>
      <c r="HM260" s="436"/>
      <c r="HN260" s="436"/>
      <c r="HO260" s="436"/>
      <c r="HP260" s="436"/>
      <c r="HQ260" s="436"/>
      <c r="HR260" s="436"/>
      <c r="HS260" s="436"/>
      <c r="HT260" s="436"/>
      <c r="HU260" s="436"/>
      <c r="HV260" s="436"/>
      <c r="HW260" s="440"/>
    </row>
    <row r="261" spans="132:231" ht="24" customHeight="1">
      <c r="EB261" s="439"/>
      <c r="EC261" s="436"/>
      <c r="ED261" s="436"/>
      <c r="EE261" s="436"/>
      <c r="EF261" s="436"/>
      <c r="EG261" s="436"/>
      <c r="EH261" s="436"/>
      <c r="EI261" s="436"/>
      <c r="EJ261" s="436"/>
      <c r="EK261" s="436"/>
      <c r="EL261" s="436"/>
      <c r="EM261" s="436"/>
      <c r="EN261" s="436"/>
      <c r="EO261" s="436"/>
      <c r="EP261" s="436"/>
      <c r="EQ261" s="436"/>
      <c r="ER261" s="436"/>
      <c r="ES261" s="436"/>
      <c r="ET261" s="436"/>
      <c r="EU261" s="436"/>
      <c r="EV261" s="436"/>
      <c r="EW261" s="436"/>
      <c r="EX261" s="436"/>
      <c r="EY261" s="436"/>
      <c r="EZ261" s="440"/>
      <c r="FZ261" s="439"/>
      <c r="GA261" s="436"/>
      <c r="GB261" s="436"/>
      <c r="GC261" s="436"/>
      <c r="GD261" s="436"/>
      <c r="GE261" s="436"/>
      <c r="GF261" s="436"/>
      <c r="GG261" s="436"/>
      <c r="GH261" s="436"/>
      <c r="GI261" s="436"/>
      <c r="GJ261" s="436"/>
      <c r="GK261" s="436"/>
      <c r="GL261" s="436"/>
      <c r="GM261" s="436"/>
      <c r="GN261" s="436"/>
      <c r="GO261" s="436"/>
      <c r="GP261" s="436"/>
      <c r="GQ261" s="436"/>
      <c r="GR261" s="436"/>
      <c r="GS261" s="436"/>
      <c r="GT261" s="436"/>
      <c r="GU261" s="436"/>
      <c r="GV261" s="436"/>
      <c r="GW261" s="436"/>
      <c r="GX261" s="440"/>
      <c r="GY261" s="439"/>
      <c r="GZ261" s="436"/>
      <c r="HA261" s="436"/>
      <c r="HB261" s="436"/>
      <c r="HC261" s="436"/>
      <c r="HD261" s="436"/>
      <c r="HE261" s="436"/>
      <c r="HF261" s="436"/>
      <c r="HG261" s="436"/>
      <c r="HH261" s="436"/>
      <c r="HI261" s="436"/>
      <c r="HJ261" s="436"/>
      <c r="HK261" s="436"/>
      <c r="HL261" s="436"/>
      <c r="HM261" s="436"/>
      <c r="HN261" s="436"/>
      <c r="HO261" s="436"/>
      <c r="HP261" s="436"/>
      <c r="HQ261" s="436"/>
      <c r="HR261" s="436"/>
      <c r="HS261" s="436"/>
      <c r="HT261" s="436"/>
      <c r="HU261" s="436"/>
      <c r="HV261" s="436"/>
      <c r="HW261" s="440"/>
    </row>
    <row r="262" spans="132:231" ht="24" customHeight="1">
      <c r="EB262" s="439"/>
      <c r="EC262" s="436"/>
      <c r="ED262" s="436"/>
      <c r="EE262" s="436"/>
      <c r="EF262" s="436"/>
      <c r="EG262" s="436"/>
      <c r="EH262" s="436"/>
      <c r="EI262" s="436"/>
      <c r="EJ262" s="436"/>
      <c r="EK262" s="436"/>
      <c r="EL262" s="436"/>
      <c r="EM262" s="436"/>
      <c r="EN262" s="436"/>
      <c r="EO262" s="436"/>
      <c r="EP262" s="436"/>
      <c r="EQ262" s="436"/>
      <c r="ER262" s="436"/>
      <c r="ES262" s="436"/>
      <c r="ET262" s="436"/>
      <c r="EU262" s="436"/>
      <c r="EV262" s="436"/>
      <c r="EW262" s="436"/>
      <c r="EX262" s="436"/>
      <c r="EY262" s="436"/>
      <c r="EZ262" s="440"/>
      <c r="FZ262" s="439"/>
      <c r="GA262" s="436"/>
      <c r="GB262" s="436"/>
      <c r="GC262" s="436"/>
      <c r="GD262" s="436"/>
      <c r="GE262" s="436"/>
      <c r="GF262" s="436"/>
      <c r="GG262" s="436"/>
      <c r="GH262" s="436"/>
      <c r="GI262" s="436"/>
      <c r="GJ262" s="436"/>
      <c r="GK262" s="436"/>
      <c r="GL262" s="436"/>
      <c r="GM262" s="436"/>
      <c r="GN262" s="436"/>
      <c r="GO262" s="436"/>
      <c r="GP262" s="436"/>
      <c r="GQ262" s="436"/>
      <c r="GR262" s="436"/>
      <c r="GS262" s="436"/>
      <c r="GT262" s="436"/>
      <c r="GU262" s="436"/>
      <c r="GV262" s="436"/>
      <c r="GW262" s="436"/>
      <c r="GX262" s="440"/>
      <c r="GY262" s="439"/>
      <c r="GZ262" s="436"/>
      <c r="HA262" s="436"/>
      <c r="HB262" s="436"/>
      <c r="HC262" s="436"/>
      <c r="HD262" s="436"/>
      <c r="HE262" s="436"/>
      <c r="HF262" s="436"/>
      <c r="HG262" s="436"/>
      <c r="HH262" s="436"/>
      <c r="HI262" s="436"/>
      <c r="HJ262" s="436"/>
      <c r="HK262" s="436"/>
      <c r="HL262" s="436"/>
      <c r="HM262" s="436"/>
      <c r="HN262" s="436"/>
      <c r="HO262" s="436"/>
      <c r="HP262" s="436"/>
      <c r="HQ262" s="436"/>
      <c r="HR262" s="436"/>
      <c r="HS262" s="436"/>
      <c r="HT262" s="436"/>
      <c r="HU262" s="436"/>
      <c r="HV262" s="436"/>
      <c r="HW262" s="440"/>
    </row>
    <row r="263" spans="132:231" ht="24" customHeight="1">
      <c r="EB263" s="439"/>
      <c r="EC263" s="436"/>
      <c r="ED263" s="436"/>
      <c r="EE263" s="436"/>
      <c r="EF263" s="436"/>
      <c r="EG263" s="436"/>
      <c r="EH263" s="436"/>
      <c r="EI263" s="436"/>
      <c r="EJ263" s="436"/>
      <c r="EK263" s="436"/>
      <c r="EL263" s="436"/>
      <c r="EM263" s="436"/>
      <c r="EN263" s="436"/>
      <c r="EO263" s="436"/>
      <c r="EP263" s="436"/>
      <c r="EQ263" s="436"/>
      <c r="ER263" s="436"/>
      <c r="ES263" s="436"/>
      <c r="ET263" s="436"/>
      <c r="EU263" s="436"/>
      <c r="EV263" s="436"/>
      <c r="EW263" s="436"/>
      <c r="EX263" s="436"/>
      <c r="EY263" s="436"/>
      <c r="EZ263" s="440"/>
      <c r="FZ263" s="439"/>
      <c r="GA263" s="436"/>
      <c r="GB263" s="436"/>
      <c r="GC263" s="436"/>
      <c r="GD263" s="436"/>
      <c r="GE263" s="436"/>
      <c r="GF263" s="436"/>
      <c r="GG263" s="436"/>
      <c r="GH263" s="436"/>
      <c r="GI263" s="436"/>
      <c r="GJ263" s="436"/>
      <c r="GK263" s="436"/>
      <c r="GL263" s="436"/>
      <c r="GM263" s="436"/>
      <c r="GN263" s="436"/>
      <c r="GO263" s="436"/>
      <c r="GP263" s="436"/>
      <c r="GQ263" s="436"/>
      <c r="GR263" s="436"/>
      <c r="GS263" s="436"/>
      <c r="GT263" s="436"/>
      <c r="GU263" s="436"/>
      <c r="GV263" s="436"/>
      <c r="GW263" s="436"/>
      <c r="GX263" s="440"/>
      <c r="GY263" s="439"/>
      <c r="GZ263" s="436"/>
      <c r="HA263" s="436"/>
      <c r="HB263" s="436"/>
      <c r="HC263" s="436"/>
      <c r="HD263" s="436"/>
      <c r="HE263" s="436"/>
      <c r="HF263" s="436"/>
      <c r="HG263" s="436"/>
      <c r="HH263" s="436"/>
      <c r="HI263" s="436"/>
      <c r="HJ263" s="436"/>
      <c r="HK263" s="436"/>
      <c r="HL263" s="436"/>
      <c r="HM263" s="436"/>
      <c r="HN263" s="436"/>
      <c r="HO263" s="436"/>
      <c r="HP263" s="436"/>
      <c r="HQ263" s="436"/>
      <c r="HR263" s="436"/>
      <c r="HS263" s="436"/>
      <c r="HT263" s="436"/>
      <c r="HU263" s="436"/>
      <c r="HV263" s="436"/>
      <c r="HW263" s="440"/>
    </row>
    <row r="264" spans="132:231" ht="24" customHeight="1">
      <c r="EB264" s="439"/>
      <c r="EC264" s="436"/>
      <c r="ED264" s="436"/>
      <c r="EE264" s="436"/>
      <c r="EF264" s="436"/>
      <c r="EG264" s="436"/>
      <c r="EH264" s="436"/>
      <c r="EI264" s="436"/>
      <c r="EJ264" s="436"/>
      <c r="EK264" s="436"/>
      <c r="EL264" s="436"/>
      <c r="EM264" s="436"/>
      <c r="EN264" s="436"/>
      <c r="EO264" s="436"/>
      <c r="EP264" s="436"/>
      <c r="EQ264" s="436"/>
      <c r="ER264" s="436"/>
      <c r="ES264" s="436"/>
      <c r="ET264" s="436"/>
      <c r="EU264" s="436"/>
      <c r="EV264" s="436"/>
      <c r="EW264" s="436"/>
      <c r="EX264" s="436"/>
      <c r="EY264" s="436"/>
      <c r="EZ264" s="440"/>
      <c r="FZ264" s="439"/>
      <c r="GA264" s="436"/>
      <c r="GB264" s="436"/>
      <c r="GC264" s="436"/>
      <c r="GD264" s="436"/>
      <c r="GE264" s="436"/>
      <c r="GF264" s="436"/>
      <c r="GG264" s="436"/>
      <c r="GH264" s="436"/>
      <c r="GI264" s="436"/>
      <c r="GJ264" s="436"/>
      <c r="GK264" s="436"/>
      <c r="GL264" s="436"/>
      <c r="GM264" s="436"/>
      <c r="GN264" s="436"/>
      <c r="GO264" s="436"/>
      <c r="GP264" s="436"/>
      <c r="GQ264" s="436"/>
      <c r="GR264" s="436"/>
      <c r="GS264" s="436"/>
      <c r="GT264" s="436"/>
      <c r="GU264" s="436"/>
      <c r="GV264" s="436"/>
      <c r="GW264" s="436"/>
      <c r="GX264" s="440"/>
      <c r="GY264" s="439"/>
      <c r="GZ264" s="436"/>
      <c r="HA264" s="436"/>
      <c r="HB264" s="436"/>
      <c r="HC264" s="436"/>
      <c r="HD264" s="436"/>
      <c r="HE264" s="436"/>
      <c r="HF264" s="436"/>
      <c r="HG264" s="436"/>
      <c r="HH264" s="436"/>
      <c r="HI264" s="436"/>
      <c r="HJ264" s="436"/>
      <c r="HK264" s="436"/>
      <c r="HL264" s="436"/>
      <c r="HM264" s="436"/>
      <c r="HN264" s="436"/>
      <c r="HO264" s="436"/>
      <c r="HP264" s="436"/>
      <c r="HQ264" s="436"/>
      <c r="HR264" s="436"/>
      <c r="HS264" s="436"/>
      <c r="HT264" s="436"/>
      <c r="HU264" s="436"/>
      <c r="HV264" s="436"/>
      <c r="HW264" s="440"/>
    </row>
    <row r="265" spans="132:231" ht="24" customHeight="1" thickBot="1">
      <c r="EB265" s="439"/>
      <c r="EC265" s="441"/>
      <c r="ED265" s="441"/>
      <c r="EE265" s="441"/>
      <c r="EF265" s="436"/>
      <c r="EG265" s="436"/>
      <c r="EH265" s="436"/>
      <c r="EI265" s="436"/>
      <c r="EJ265" s="436"/>
      <c r="EK265" s="436"/>
      <c r="EL265" s="436"/>
      <c r="EM265" s="436"/>
      <c r="EN265" s="436"/>
      <c r="EO265" s="436"/>
      <c r="EP265" s="436"/>
      <c r="EQ265" s="436"/>
      <c r="ER265" s="436"/>
      <c r="ES265" s="436"/>
      <c r="ET265" s="436"/>
      <c r="EU265" s="436"/>
      <c r="EV265" s="436"/>
      <c r="EW265" s="436"/>
      <c r="EX265" s="436"/>
      <c r="EY265" s="436"/>
      <c r="EZ265" s="440"/>
      <c r="FZ265" s="439"/>
      <c r="GA265" s="441"/>
      <c r="GB265" s="441"/>
      <c r="GC265" s="441"/>
      <c r="GD265" s="436"/>
      <c r="GE265" s="436"/>
      <c r="GF265" s="436"/>
      <c r="GG265" s="436"/>
      <c r="GH265" s="436"/>
      <c r="GI265" s="436"/>
      <c r="GJ265" s="436"/>
      <c r="GK265" s="436"/>
      <c r="GL265" s="436"/>
      <c r="GM265" s="436"/>
      <c r="GN265" s="436"/>
      <c r="GO265" s="436"/>
      <c r="GP265" s="436"/>
      <c r="GQ265" s="436"/>
      <c r="GR265" s="436"/>
      <c r="GS265" s="436"/>
      <c r="GT265" s="436"/>
      <c r="GU265" s="436"/>
      <c r="GV265" s="436"/>
      <c r="GW265" s="436"/>
      <c r="GX265" s="440"/>
      <c r="GY265" s="439"/>
      <c r="GZ265" s="441"/>
      <c r="HA265" s="441"/>
      <c r="HB265" s="441"/>
      <c r="HC265" s="436"/>
      <c r="HD265" s="436"/>
      <c r="HE265" s="436"/>
      <c r="HF265" s="436"/>
      <c r="HG265" s="436"/>
      <c r="HH265" s="436"/>
      <c r="HI265" s="436"/>
      <c r="HJ265" s="436"/>
      <c r="HK265" s="436"/>
      <c r="HL265" s="436"/>
      <c r="HM265" s="436"/>
      <c r="HN265" s="436"/>
      <c r="HO265" s="436"/>
      <c r="HP265" s="436"/>
      <c r="HQ265" s="436"/>
      <c r="HR265" s="436"/>
      <c r="HS265" s="436"/>
      <c r="HT265" s="436"/>
      <c r="HU265" s="436"/>
      <c r="HV265" s="436"/>
      <c r="HW265" s="440"/>
    </row>
    <row r="266" spans="132:231" ht="24" customHeight="1" thickBot="1">
      <c r="EB266" s="444"/>
      <c r="EC266" s="1917" t="str">
        <f>'Вывод расчетов'!$CC$9</f>
        <v>Раздел 3</v>
      </c>
      <c r="ED266" s="1915"/>
      <c r="EE266" s="1915"/>
      <c r="EF266" s="445"/>
      <c r="EG266" s="1917" t="str">
        <f>'Вывод расчетов'!$CF$9</f>
        <v>Расчет обмотки статора</v>
      </c>
      <c r="EH266" s="1915"/>
      <c r="EI266" s="1915"/>
      <c r="EJ266" s="1915"/>
      <c r="EK266" s="1915"/>
      <c r="EL266" s="1915"/>
      <c r="EM266" s="1915"/>
      <c r="EN266" s="1915"/>
      <c r="EO266" s="1915"/>
      <c r="EP266" s="1915"/>
      <c r="EQ266" s="1915"/>
      <c r="ER266" s="1918"/>
      <c r="ES266" s="445"/>
      <c r="ET266" s="1917" t="s">
        <v>1502</v>
      </c>
      <c r="EU266" s="1915"/>
      <c r="EV266" s="1918"/>
      <c r="EW266" s="445"/>
      <c r="EX266" s="1917">
        <v>11</v>
      </c>
      <c r="EY266" s="1918"/>
      <c r="EZ266" s="446"/>
      <c r="FZ266" s="444"/>
      <c r="GA266" s="1917" t="str">
        <f>'Вывод расчетов'!$CC$9</f>
        <v>Раздел 3</v>
      </c>
      <c r="GB266" s="1915"/>
      <c r="GC266" s="1915"/>
      <c r="GD266" s="445"/>
      <c r="GE266" s="1917" t="str">
        <f>'Вывод расчетов'!$CF$9</f>
        <v>Расчет обмотки статора</v>
      </c>
      <c r="GF266" s="1915"/>
      <c r="GG266" s="1915"/>
      <c r="GH266" s="1915"/>
      <c r="GI266" s="1915"/>
      <c r="GJ266" s="1915"/>
      <c r="GK266" s="1915"/>
      <c r="GL266" s="1915"/>
      <c r="GM266" s="1915"/>
      <c r="GN266" s="1915"/>
      <c r="GO266" s="1915"/>
      <c r="GP266" s="1918"/>
      <c r="GQ266" s="445"/>
      <c r="GR266" s="1917" t="s">
        <v>1502</v>
      </c>
      <c r="GS266" s="1915"/>
      <c r="GT266" s="1918"/>
      <c r="GU266" s="445"/>
      <c r="GV266" s="1917">
        <v>11</v>
      </c>
      <c r="GW266" s="1918"/>
      <c r="GX266" s="446"/>
      <c r="GY266" s="444"/>
      <c r="GZ266" s="1917" t="str">
        <f>'Вывод расчетов'!$CC$9</f>
        <v>Раздел 3</v>
      </c>
      <c r="HA266" s="1915"/>
      <c r="HB266" s="1915"/>
      <c r="HC266" s="445"/>
      <c r="HD266" s="1917" t="str">
        <f>'Вывод расчетов'!$CF$9</f>
        <v>Расчет обмотки статора</v>
      </c>
      <c r="HE266" s="1915"/>
      <c r="HF266" s="1915"/>
      <c r="HG266" s="1915"/>
      <c r="HH266" s="1915"/>
      <c r="HI266" s="1915"/>
      <c r="HJ266" s="1915"/>
      <c r="HK266" s="1915"/>
      <c r="HL266" s="1915"/>
      <c r="HM266" s="1915"/>
      <c r="HN266" s="1915"/>
      <c r="HO266" s="1918"/>
      <c r="HP266" s="445"/>
      <c r="HQ266" s="1917" t="s">
        <v>1502</v>
      </c>
      <c r="HR266" s="1915"/>
      <c r="HS266" s="1918"/>
      <c r="HT266" s="445"/>
      <c r="HU266" s="1917">
        <v>11</v>
      </c>
      <c r="HV266" s="1918"/>
      <c r="HW266" s="446"/>
    </row>
    <row r="267" spans="132:231" ht="24" customHeight="1" thickBot="1">
      <c r="EB267" s="1914" t="s">
        <v>1230</v>
      </c>
      <c r="EC267" s="1915"/>
      <c r="ED267" s="1915"/>
      <c r="EE267" s="1915"/>
      <c r="EF267" s="1915"/>
      <c r="EG267" s="1915"/>
      <c r="EH267" s="1915"/>
      <c r="EI267" s="1915"/>
      <c r="EJ267" s="1915"/>
      <c r="EK267" s="1915"/>
      <c r="EL267" s="1915"/>
      <c r="EM267" s="1915"/>
      <c r="EN267" s="1915"/>
      <c r="EO267" s="1915"/>
      <c r="EP267" s="1915"/>
      <c r="EQ267" s="1915"/>
      <c r="ER267" s="1915"/>
      <c r="ES267" s="1915"/>
      <c r="ET267" s="1915"/>
      <c r="EU267" s="1915"/>
      <c r="EV267" s="1915"/>
      <c r="EW267" s="1915"/>
      <c r="EX267" s="1915"/>
      <c r="EY267" s="1915"/>
      <c r="EZ267" s="1916"/>
      <c r="FZ267" s="1914" t="s">
        <v>1230</v>
      </c>
      <c r="GA267" s="1915"/>
      <c r="GB267" s="1915"/>
      <c r="GC267" s="1915"/>
      <c r="GD267" s="1915"/>
      <c r="GE267" s="1915"/>
      <c r="GF267" s="1915"/>
      <c r="GG267" s="1915"/>
      <c r="GH267" s="1915"/>
      <c r="GI267" s="1915"/>
      <c r="GJ267" s="1915"/>
      <c r="GK267" s="1915"/>
      <c r="GL267" s="1915"/>
      <c r="GM267" s="1915"/>
      <c r="GN267" s="1915"/>
      <c r="GO267" s="1915"/>
      <c r="GP267" s="1915"/>
      <c r="GQ267" s="1915"/>
      <c r="GR267" s="1915"/>
      <c r="GS267" s="1915"/>
      <c r="GT267" s="1915"/>
      <c r="GU267" s="1915"/>
      <c r="GV267" s="1915"/>
      <c r="GW267" s="1915"/>
      <c r="GX267" s="1916"/>
    </row>
    <row r="268" spans="132:231" ht="24" customHeight="1">
      <c r="EB268" s="437"/>
      <c r="EC268" s="438"/>
      <c r="ED268" s="438"/>
      <c r="EE268" s="438"/>
      <c r="EF268" s="438"/>
      <c r="EG268" s="438"/>
      <c r="EH268" s="438"/>
      <c r="EI268" s="438"/>
      <c r="EJ268" s="438"/>
      <c r="EK268" s="438"/>
      <c r="EL268" s="438"/>
      <c r="EM268" s="438"/>
      <c r="EN268" s="438"/>
      <c r="EO268" s="438"/>
      <c r="EP268" s="438"/>
      <c r="EQ268" s="438"/>
      <c r="ER268" s="438"/>
      <c r="ES268" s="438"/>
      <c r="ET268" s="438"/>
      <c r="EU268" s="438"/>
      <c r="EV268" s="438"/>
      <c r="EW268" s="438"/>
      <c r="EX268" s="438"/>
      <c r="EY268" s="438"/>
      <c r="EZ268" s="447"/>
      <c r="FZ268" s="437"/>
      <c r="GA268" s="438"/>
      <c r="GB268" s="438"/>
      <c r="GC268" s="438"/>
      <c r="GD268" s="438"/>
      <c r="GE268" s="438"/>
      <c r="GF268" s="438"/>
      <c r="GG268" s="438"/>
      <c r="GH268" s="438"/>
      <c r="GI268" s="438"/>
      <c r="GJ268" s="438"/>
      <c r="GK268" s="438"/>
      <c r="GL268" s="438"/>
      <c r="GM268" s="438"/>
      <c r="GN268" s="438"/>
      <c r="GO268" s="438"/>
      <c r="GP268" s="438"/>
      <c r="GQ268" s="438"/>
      <c r="GR268" s="438"/>
      <c r="GS268" s="438"/>
      <c r="GT268" s="438"/>
      <c r="GU268" s="438"/>
      <c r="GV268" s="438"/>
      <c r="GW268" s="438"/>
      <c r="GX268" s="447"/>
    </row>
    <row r="269" spans="132:231" ht="24" customHeight="1">
      <c r="EB269" s="439"/>
      <c r="EC269" s="436"/>
      <c r="ED269" s="436"/>
      <c r="EE269" s="436"/>
      <c r="EF269" s="436"/>
      <c r="EG269" s="436"/>
      <c r="EH269" s="436"/>
      <c r="EI269" s="436"/>
      <c r="EJ269" s="436"/>
      <c r="EK269" s="436"/>
      <c r="EL269" s="436"/>
      <c r="EM269" s="436"/>
      <c r="EN269" s="436"/>
      <c r="EO269" s="436"/>
      <c r="EP269" s="436"/>
      <c r="EQ269" s="436"/>
      <c r="ER269" s="436"/>
      <c r="ES269" s="436"/>
      <c r="ET269" s="436"/>
      <c r="EU269" s="436"/>
      <c r="EV269" s="436"/>
      <c r="EW269" s="436"/>
      <c r="EX269" s="436"/>
      <c r="EY269" s="436"/>
      <c r="EZ269" s="440"/>
      <c r="FZ269" s="439"/>
      <c r="GA269" s="436"/>
      <c r="GB269" s="436"/>
      <c r="GC269" s="436"/>
      <c r="GD269" s="436"/>
      <c r="GE269" s="436"/>
      <c r="GF269" s="436"/>
      <c r="GG269" s="436"/>
      <c r="GH269" s="436"/>
      <c r="GI269" s="436"/>
      <c r="GJ269" s="436"/>
      <c r="GK269" s="436"/>
      <c r="GL269" s="436"/>
      <c r="GM269" s="436"/>
      <c r="GN269" s="436"/>
      <c r="GO269" s="436"/>
      <c r="GP269" s="436"/>
      <c r="GQ269" s="436"/>
      <c r="GR269" s="436"/>
      <c r="GS269" s="436"/>
      <c r="GT269" s="436"/>
      <c r="GU269" s="436"/>
      <c r="GV269" s="436"/>
      <c r="GW269" s="436"/>
      <c r="GX269" s="440"/>
    </row>
    <row r="270" spans="132:231" ht="24" customHeight="1">
      <c r="EB270" s="439"/>
      <c r="EC270" s="436"/>
      <c r="ED270" s="436"/>
      <c r="EE270" s="436"/>
      <c r="EF270" s="436"/>
      <c r="EG270" s="436"/>
      <c r="EH270" s="436"/>
      <c r="EI270" s="436"/>
      <c r="EJ270" s="436"/>
      <c r="EK270" s="436"/>
      <c r="EL270" s="436"/>
      <c r="EM270" s="436"/>
      <c r="EN270" s="436"/>
      <c r="EO270" s="436"/>
      <c r="EP270" s="436"/>
      <c r="EQ270" s="436"/>
      <c r="ER270" s="436"/>
      <c r="ES270" s="436"/>
      <c r="ET270" s="436"/>
      <c r="EU270" s="436"/>
      <c r="EV270" s="436"/>
      <c r="EW270" s="436"/>
      <c r="EX270" s="436"/>
      <c r="EY270" s="436"/>
      <c r="EZ270" s="440"/>
      <c r="FZ270" s="439"/>
      <c r="GA270" s="436"/>
      <c r="GB270" s="436"/>
      <c r="GC270" s="436"/>
      <c r="GD270" s="436"/>
      <c r="GE270" s="436"/>
      <c r="GF270" s="436"/>
      <c r="GG270" s="436"/>
      <c r="GH270" s="436"/>
      <c r="GI270" s="436"/>
      <c r="GJ270" s="436"/>
      <c r="GK270" s="436"/>
      <c r="GL270" s="436"/>
      <c r="GM270" s="436"/>
      <c r="GN270" s="436"/>
      <c r="GO270" s="436"/>
      <c r="GP270" s="436"/>
      <c r="GQ270" s="436"/>
      <c r="GR270" s="436"/>
      <c r="GS270" s="436"/>
      <c r="GT270" s="436"/>
      <c r="GU270" s="436"/>
      <c r="GV270" s="436"/>
      <c r="GW270" s="436"/>
      <c r="GX270" s="440"/>
    </row>
    <row r="271" spans="132:231" ht="24" customHeight="1">
      <c r="EB271" s="439"/>
      <c r="EC271" s="436"/>
      <c r="ED271" s="436"/>
      <c r="EE271" s="436"/>
      <c r="EF271" s="436"/>
      <c r="EG271" s="436"/>
      <c r="EH271" s="436"/>
      <c r="EI271" s="436"/>
      <c r="EJ271" s="436"/>
      <c r="EK271" s="436"/>
      <c r="EL271" s="436"/>
      <c r="EM271" s="436"/>
      <c r="EN271" s="436"/>
      <c r="EO271" s="436"/>
      <c r="EP271" s="436"/>
      <c r="EQ271" s="436"/>
      <c r="ER271" s="436"/>
      <c r="ES271" s="436"/>
      <c r="ET271" s="436"/>
      <c r="EU271" s="436"/>
      <c r="EV271" s="436"/>
      <c r="EW271" s="436"/>
      <c r="EX271" s="436"/>
      <c r="EY271" s="436"/>
      <c r="EZ271" s="440"/>
      <c r="FZ271" s="439"/>
      <c r="GA271" s="436"/>
      <c r="GB271" s="436"/>
      <c r="GC271" s="436"/>
      <c r="GD271" s="436"/>
      <c r="GE271" s="436"/>
      <c r="GF271" s="436"/>
      <c r="GG271" s="436"/>
      <c r="GH271" s="436"/>
      <c r="GI271" s="436"/>
      <c r="GJ271" s="436"/>
      <c r="GK271" s="436"/>
      <c r="GL271" s="436"/>
      <c r="GM271" s="436"/>
      <c r="GN271" s="436"/>
      <c r="GO271" s="436"/>
      <c r="GP271" s="436"/>
      <c r="GQ271" s="436"/>
      <c r="GR271" s="436"/>
      <c r="GS271" s="436"/>
      <c r="GT271" s="436"/>
      <c r="GU271" s="436"/>
      <c r="GV271" s="436"/>
      <c r="GW271" s="436"/>
      <c r="GX271" s="440"/>
    </row>
    <row r="272" spans="132:231" ht="24" customHeight="1">
      <c r="EB272" s="439"/>
      <c r="EC272" s="436"/>
      <c r="ED272" s="436"/>
      <c r="EE272" s="436"/>
      <c r="EF272" s="436"/>
      <c r="EG272" s="436"/>
      <c r="EH272" s="436"/>
      <c r="EI272" s="436"/>
      <c r="EJ272" s="436"/>
      <c r="EK272" s="436"/>
      <c r="EL272" s="436"/>
      <c r="EM272" s="436"/>
      <c r="EN272" s="436"/>
      <c r="EO272" s="436"/>
      <c r="EP272" s="436"/>
      <c r="EQ272" s="436"/>
      <c r="ER272" s="436"/>
      <c r="ES272" s="436"/>
      <c r="ET272" s="436"/>
      <c r="EU272" s="436"/>
      <c r="EV272" s="436"/>
      <c r="EW272" s="436"/>
      <c r="EX272" s="436"/>
      <c r="EY272" s="436"/>
      <c r="EZ272" s="440"/>
      <c r="FZ272" s="439"/>
      <c r="GA272" s="436"/>
      <c r="GB272" s="436"/>
      <c r="GC272" s="436"/>
      <c r="GD272" s="436"/>
      <c r="GE272" s="436"/>
      <c r="GF272" s="436"/>
      <c r="GG272" s="436"/>
      <c r="GH272" s="436"/>
      <c r="GI272" s="436"/>
      <c r="GJ272" s="436"/>
      <c r="GK272" s="436"/>
      <c r="GL272" s="436"/>
      <c r="GM272" s="436"/>
      <c r="GN272" s="436"/>
      <c r="GO272" s="436"/>
      <c r="GP272" s="436"/>
      <c r="GQ272" s="436"/>
      <c r="GR272" s="436"/>
      <c r="GS272" s="436"/>
      <c r="GT272" s="436"/>
      <c r="GU272" s="436"/>
      <c r="GV272" s="436"/>
      <c r="GW272" s="436"/>
      <c r="GX272" s="440"/>
    </row>
    <row r="273" spans="132:206" ht="24" customHeight="1">
      <c r="EB273" s="439"/>
      <c r="EC273" s="436"/>
      <c r="ED273" s="436"/>
      <c r="EE273" s="436"/>
      <c r="EF273" s="436"/>
      <c r="EG273" s="436"/>
      <c r="EH273" s="436"/>
      <c r="EI273" s="436"/>
      <c r="EJ273" s="436"/>
      <c r="EK273" s="436"/>
      <c r="EL273" s="436"/>
      <c r="EM273" s="436"/>
      <c r="EN273" s="436"/>
      <c r="EO273" s="436"/>
      <c r="EP273" s="436"/>
      <c r="EQ273" s="436"/>
      <c r="ER273" s="436"/>
      <c r="ES273" s="436"/>
      <c r="ET273" s="436"/>
      <c r="EU273" s="436"/>
      <c r="EV273" s="436"/>
      <c r="EW273" s="436"/>
      <c r="EX273" s="436"/>
      <c r="EY273" s="436"/>
      <c r="EZ273" s="440"/>
      <c r="FZ273" s="439"/>
      <c r="GA273" s="436"/>
      <c r="GB273" s="436"/>
      <c r="GC273" s="436"/>
      <c r="GD273" s="436"/>
      <c r="GE273" s="436"/>
      <c r="GF273" s="436"/>
      <c r="GG273" s="436"/>
      <c r="GH273" s="436"/>
      <c r="GI273" s="436"/>
      <c r="GJ273" s="436"/>
      <c r="GK273" s="436"/>
      <c r="GL273" s="436"/>
      <c r="GM273" s="436"/>
      <c r="GN273" s="436"/>
      <c r="GO273" s="436"/>
      <c r="GP273" s="436"/>
      <c r="GQ273" s="436"/>
      <c r="GR273" s="436"/>
      <c r="GS273" s="436"/>
      <c r="GT273" s="436"/>
      <c r="GU273" s="436"/>
      <c r="GV273" s="436"/>
      <c r="GW273" s="436"/>
      <c r="GX273" s="440"/>
    </row>
    <row r="274" spans="132:206" ht="24" customHeight="1">
      <c r="EB274" s="439"/>
      <c r="EC274" s="436"/>
      <c r="ED274" s="436"/>
      <c r="EE274" s="436"/>
      <c r="EF274" s="436"/>
      <c r="EG274" s="436"/>
      <c r="EH274" s="436"/>
      <c r="EI274" s="436"/>
      <c r="EJ274" s="436"/>
      <c r="EK274" s="436"/>
      <c r="EL274" s="436"/>
      <c r="EM274" s="436"/>
      <c r="EN274" s="436"/>
      <c r="EO274" s="436"/>
      <c r="EP274" s="436"/>
      <c r="EQ274" s="436"/>
      <c r="ER274" s="436"/>
      <c r="ES274" s="436"/>
      <c r="ET274" s="436"/>
      <c r="EU274" s="436"/>
      <c r="EV274" s="436"/>
      <c r="EW274" s="436"/>
      <c r="EX274" s="436"/>
      <c r="EY274" s="436"/>
      <c r="EZ274" s="440"/>
      <c r="FZ274" s="439"/>
      <c r="GA274" s="436"/>
      <c r="GB274" s="436"/>
      <c r="GC274" s="436"/>
      <c r="GD274" s="436"/>
      <c r="GE274" s="436"/>
      <c r="GF274" s="436"/>
      <c r="GG274" s="436"/>
      <c r="GH274" s="436"/>
      <c r="GI274" s="436"/>
      <c r="GJ274" s="436"/>
      <c r="GK274" s="436"/>
      <c r="GL274" s="436"/>
      <c r="GM274" s="436"/>
      <c r="GN274" s="436"/>
      <c r="GO274" s="436"/>
      <c r="GP274" s="436"/>
      <c r="GQ274" s="436"/>
      <c r="GR274" s="436"/>
      <c r="GS274" s="436"/>
      <c r="GT274" s="436"/>
      <c r="GU274" s="436"/>
      <c r="GV274" s="436"/>
      <c r="GW274" s="436"/>
      <c r="GX274" s="440"/>
    </row>
    <row r="275" spans="132:206" ht="24" customHeight="1">
      <c r="EB275" s="439"/>
      <c r="EC275" s="436"/>
      <c r="ED275" s="436"/>
      <c r="EE275" s="436"/>
      <c r="EF275" s="436"/>
      <c r="EG275" s="436"/>
      <c r="EH275" s="436"/>
      <c r="EI275" s="436"/>
      <c r="EJ275" s="436"/>
      <c r="EK275" s="436"/>
      <c r="EL275" s="436"/>
      <c r="EM275" s="436"/>
      <c r="EN275" s="436"/>
      <c r="EO275" s="436"/>
      <c r="EP275" s="436"/>
      <c r="EQ275" s="436"/>
      <c r="ER275" s="436"/>
      <c r="ES275" s="436"/>
      <c r="ET275" s="436"/>
      <c r="EU275" s="436"/>
      <c r="EV275" s="436"/>
      <c r="EW275" s="436"/>
      <c r="EX275" s="436"/>
      <c r="EY275" s="436"/>
      <c r="EZ275" s="440"/>
      <c r="FZ275" s="439"/>
      <c r="GA275" s="436"/>
      <c r="GB275" s="436"/>
      <c r="GC275" s="436"/>
      <c r="GD275" s="436"/>
      <c r="GE275" s="436"/>
      <c r="GF275" s="436"/>
      <c r="GG275" s="436"/>
      <c r="GH275" s="436"/>
      <c r="GI275" s="436"/>
      <c r="GJ275" s="436"/>
      <c r="GK275" s="436"/>
      <c r="GL275" s="436"/>
      <c r="GM275" s="436"/>
      <c r="GN275" s="436"/>
      <c r="GO275" s="436"/>
      <c r="GP275" s="436"/>
      <c r="GQ275" s="436"/>
      <c r="GR275" s="436"/>
      <c r="GS275" s="436"/>
      <c r="GT275" s="436"/>
      <c r="GU275" s="436"/>
      <c r="GV275" s="436"/>
      <c r="GW275" s="436"/>
      <c r="GX275" s="440"/>
    </row>
    <row r="276" spans="132:206" ht="24" customHeight="1">
      <c r="EB276" s="439"/>
      <c r="EC276" s="436"/>
      <c r="ED276" s="436"/>
      <c r="EE276" s="436"/>
      <c r="EF276" s="436"/>
      <c r="EG276" s="436"/>
      <c r="EH276" s="436"/>
      <c r="EI276" s="436"/>
      <c r="EJ276" s="436"/>
      <c r="EK276" s="436"/>
      <c r="EL276" s="436"/>
      <c r="EM276" s="436"/>
      <c r="EN276" s="436"/>
      <c r="EO276" s="436"/>
      <c r="EP276" s="436"/>
      <c r="EQ276" s="436"/>
      <c r="ER276" s="436"/>
      <c r="ES276" s="436"/>
      <c r="ET276" s="436"/>
      <c r="EU276" s="436"/>
      <c r="EV276" s="436"/>
      <c r="EW276" s="436"/>
      <c r="EX276" s="436"/>
      <c r="EY276" s="436"/>
      <c r="EZ276" s="440"/>
      <c r="FZ276" s="439"/>
      <c r="GA276" s="436"/>
      <c r="GB276" s="436"/>
      <c r="GC276" s="436"/>
      <c r="GD276" s="436"/>
      <c r="GE276" s="436"/>
      <c r="GF276" s="436"/>
      <c r="GG276" s="436"/>
      <c r="GH276" s="436"/>
      <c r="GI276" s="436"/>
      <c r="GJ276" s="436"/>
      <c r="GK276" s="436"/>
      <c r="GL276" s="436"/>
      <c r="GM276" s="436"/>
      <c r="GN276" s="436"/>
      <c r="GO276" s="436"/>
      <c r="GP276" s="436"/>
      <c r="GQ276" s="436"/>
      <c r="GR276" s="436"/>
      <c r="GS276" s="436"/>
      <c r="GT276" s="436"/>
      <c r="GU276" s="436"/>
      <c r="GV276" s="436"/>
      <c r="GW276" s="436"/>
      <c r="GX276" s="440"/>
    </row>
    <row r="277" spans="132:206" ht="24" customHeight="1">
      <c r="EB277" s="439"/>
      <c r="EC277" s="436"/>
      <c r="ED277" s="436"/>
      <c r="EE277" s="436"/>
      <c r="EF277" s="436"/>
      <c r="EG277" s="436"/>
      <c r="EH277" s="436"/>
      <c r="EI277" s="436"/>
      <c r="EJ277" s="436"/>
      <c r="EK277" s="436"/>
      <c r="EL277" s="436"/>
      <c r="EM277" s="436"/>
      <c r="EN277" s="436"/>
      <c r="EO277" s="436"/>
      <c r="EP277" s="436"/>
      <c r="EQ277" s="436"/>
      <c r="ER277" s="436"/>
      <c r="ES277" s="436"/>
      <c r="ET277" s="436"/>
      <c r="EU277" s="436"/>
      <c r="EV277" s="436"/>
      <c r="EW277" s="436"/>
      <c r="EX277" s="436"/>
      <c r="EY277" s="436"/>
      <c r="EZ277" s="440"/>
      <c r="FZ277" s="439"/>
      <c r="GA277" s="436"/>
      <c r="GB277" s="436"/>
      <c r="GC277" s="436"/>
      <c r="GD277" s="436"/>
      <c r="GE277" s="436"/>
      <c r="GF277" s="436"/>
      <c r="GG277" s="436"/>
      <c r="GH277" s="436"/>
      <c r="GI277" s="436"/>
      <c r="GJ277" s="436"/>
      <c r="GK277" s="436"/>
      <c r="GL277" s="436"/>
      <c r="GM277" s="436"/>
      <c r="GN277" s="436"/>
      <c r="GO277" s="436"/>
      <c r="GP277" s="436"/>
      <c r="GQ277" s="436"/>
      <c r="GR277" s="436"/>
      <c r="GS277" s="436"/>
      <c r="GT277" s="436"/>
      <c r="GU277" s="436"/>
      <c r="GV277" s="436"/>
      <c r="GW277" s="436"/>
      <c r="GX277" s="440"/>
    </row>
    <row r="278" spans="132:206" ht="24" customHeight="1">
      <c r="EB278" s="439"/>
      <c r="EC278" s="436"/>
      <c r="ED278" s="436"/>
      <c r="EE278" s="436"/>
      <c r="EF278" s="436"/>
      <c r="EG278" s="436"/>
      <c r="EH278" s="436"/>
      <c r="EI278" s="436"/>
      <c r="EJ278" s="436"/>
      <c r="EK278" s="436"/>
      <c r="EL278" s="436"/>
      <c r="EM278" s="436"/>
      <c r="EN278" s="436"/>
      <c r="EO278" s="436"/>
      <c r="EP278" s="436"/>
      <c r="EQ278" s="436"/>
      <c r="ER278" s="436"/>
      <c r="ES278" s="436"/>
      <c r="ET278" s="436"/>
      <c r="EU278" s="436"/>
      <c r="EV278" s="436"/>
      <c r="EW278" s="436"/>
      <c r="EX278" s="436"/>
      <c r="EY278" s="436"/>
      <c r="EZ278" s="440"/>
      <c r="FZ278" s="439"/>
      <c r="GA278" s="436"/>
      <c r="GB278" s="436"/>
      <c r="GC278" s="436"/>
      <c r="GD278" s="436"/>
      <c r="GE278" s="436"/>
      <c r="GF278" s="436"/>
      <c r="GG278" s="436"/>
      <c r="GH278" s="436"/>
      <c r="GI278" s="436"/>
      <c r="GJ278" s="436"/>
      <c r="GK278" s="436"/>
      <c r="GL278" s="436"/>
      <c r="GM278" s="436"/>
      <c r="GN278" s="436"/>
      <c r="GO278" s="436"/>
      <c r="GP278" s="436"/>
      <c r="GQ278" s="436"/>
      <c r="GR278" s="436"/>
      <c r="GS278" s="436"/>
      <c r="GT278" s="436"/>
      <c r="GU278" s="436"/>
      <c r="GV278" s="436"/>
      <c r="GW278" s="436"/>
      <c r="GX278" s="440"/>
    </row>
    <row r="279" spans="132:206" ht="24" customHeight="1">
      <c r="EB279" s="439"/>
      <c r="EC279" s="436"/>
      <c r="ED279" s="436"/>
      <c r="EE279" s="436"/>
      <c r="EF279" s="436"/>
      <c r="EG279" s="436"/>
      <c r="EH279" s="436"/>
      <c r="EI279" s="436"/>
      <c r="EJ279" s="436"/>
      <c r="EK279" s="436"/>
      <c r="EL279" s="436"/>
      <c r="EM279" s="436"/>
      <c r="EN279" s="436"/>
      <c r="EO279" s="436"/>
      <c r="EP279" s="436"/>
      <c r="EQ279" s="436"/>
      <c r="ER279" s="436"/>
      <c r="ES279" s="436"/>
      <c r="ET279" s="436"/>
      <c r="EU279" s="436"/>
      <c r="EV279" s="436"/>
      <c r="EW279" s="436"/>
      <c r="EX279" s="436"/>
      <c r="EY279" s="436"/>
      <c r="EZ279" s="440"/>
      <c r="FZ279" s="439"/>
      <c r="GA279" s="436"/>
      <c r="GB279" s="436"/>
      <c r="GC279" s="436"/>
      <c r="GD279" s="436"/>
      <c r="GE279" s="436"/>
      <c r="GF279" s="436"/>
      <c r="GG279" s="436"/>
      <c r="GH279" s="436"/>
      <c r="GI279" s="436"/>
      <c r="GJ279" s="436"/>
      <c r="GK279" s="436"/>
      <c r="GL279" s="436"/>
      <c r="GM279" s="436"/>
      <c r="GN279" s="436"/>
      <c r="GO279" s="436"/>
      <c r="GP279" s="436"/>
      <c r="GQ279" s="436"/>
      <c r="GR279" s="436"/>
      <c r="GS279" s="436"/>
      <c r="GT279" s="436"/>
      <c r="GU279" s="436"/>
      <c r="GV279" s="436"/>
      <c r="GW279" s="436"/>
      <c r="GX279" s="440"/>
    </row>
    <row r="280" spans="132:206" ht="24" customHeight="1">
      <c r="EB280" s="439"/>
      <c r="EC280" s="436"/>
      <c r="ED280" s="436"/>
      <c r="EE280" s="436"/>
      <c r="EF280" s="436"/>
      <c r="EG280" s="436"/>
      <c r="EH280" s="436"/>
      <c r="EI280" s="436"/>
      <c r="EJ280" s="436"/>
      <c r="EK280" s="436"/>
      <c r="EL280" s="436"/>
      <c r="EM280" s="436"/>
      <c r="EN280" s="436"/>
      <c r="EO280" s="436"/>
      <c r="EP280" s="436"/>
      <c r="EQ280" s="436"/>
      <c r="ER280" s="436"/>
      <c r="ES280" s="436"/>
      <c r="ET280" s="436"/>
      <c r="EU280" s="436"/>
      <c r="EV280" s="436"/>
      <c r="EW280" s="436"/>
      <c r="EX280" s="436"/>
      <c r="EY280" s="436"/>
      <c r="EZ280" s="440"/>
      <c r="FZ280" s="439"/>
      <c r="GA280" s="436"/>
      <c r="GB280" s="436"/>
      <c r="GC280" s="436"/>
      <c r="GD280" s="436"/>
      <c r="GE280" s="436"/>
      <c r="GF280" s="436"/>
      <c r="GG280" s="436"/>
      <c r="GH280" s="436"/>
      <c r="GI280" s="436"/>
      <c r="GJ280" s="436"/>
      <c r="GK280" s="436"/>
      <c r="GL280" s="436"/>
      <c r="GM280" s="436"/>
      <c r="GN280" s="436"/>
      <c r="GO280" s="436"/>
      <c r="GP280" s="436"/>
      <c r="GQ280" s="436"/>
      <c r="GR280" s="436"/>
      <c r="GS280" s="436"/>
      <c r="GT280" s="436"/>
      <c r="GU280" s="436"/>
      <c r="GV280" s="436"/>
      <c r="GW280" s="436"/>
      <c r="GX280" s="440"/>
    </row>
    <row r="281" spans="132:206" ht="24" customHeight="1">
      <c r="EB281" s="439"/>
      <c r="EC281" s="436"/>
      <c r="ED281" s="436"/>
      <c r="EE281" s="436"/>
      <c r="EF281" s="436"/>
      <c r="EG281" s="436"/>
      <c r="EH281" s="436"/>
      <c r="EI281" s="436"/>
      <c r="EJ281" s="436"/>
      <c r="EK281" s="436"/>
      <c r="EL281" s="436"/>
      <c r="EM281" s="436"/>
      <c r="EN281" s="436"/>
      <c r="EO281" s="436"/>
      <c r="EP281" s="436"/>
      <c r="EQ281" s="436"/>
      <c r="ER281" s="436"/>
      <c r="ES281" s="436"/>
      <c r="ET281" s="436"/>
      <c r="EU281" s="436"/>
      <c r="EV281" s="436"/>
      <c r="EW281" s="436"/>
      <c r="EX281" s="436"/>
      <c r="EY281" s="436"/>
      <c r="EZ281" s="440"/>
      <c r="FZ281" s="439"/>
      <c r="GA281" s="436"/>
      <c r="GB281" s="436"/>
      <c r="GC281" s="436"/>
      <c r="GD281" s="436"/>
      <c r="GE281" s="436"/>
      <c r="GF281" s="436"/>
      <c r="GG281" s="436"/>
      <c r="GH281" s="436"/>
      <c r="GI281" s="436"/>
      <c r="GJ281" s="436"/>
      <c r="GK281" s="436"/>
      <c r="GL281" s="436"/>
      <c r="GM281" s="436"/>
      <c r="GN281" s="436"/>
      <c r="GO281" s="436"/>
      <c r="GP281" s="436"/>
      <c r="GQ281" s="436"/>
      <c r="GR281" s="436"/>
      <c r="GS281" s="436"/>
      <c r="GT281" s="436"/>
      <c r="GU281" s="436"/>
      <c r="GV281" s="436"/>
      <c r="GW281" s="436"/>
      <c r="GX281" s="440"/>
    </row>
    <row r="282" spans="132:206" ht="24" customHeight="1">
      <c r="EB282" s="439"/>
      <c r="EC282" s="436"/>
      <c r="ED282" s="436"/>
      <c r="EE282" s="436"/>
      <c r="EF282" s="436"/>
      <c r="EG282" s="436"/>
      <c r="EH282" s="436"/>
      <c r="EI282" s="436"/>
      <c r="EJ282" s="436"/>
      <c r="EK282" s="436"/>
      <c r="EL282" s="436"/>
      <c r="EM282" s="436"/>
      <c r="EN282" s="436"/>
      <c r="EO282" s="436"/>
      <c r="EP282" s="436"/>
      <c r="EQ282" s="436"/>
      <c r="ER282" s="436"/>
      <c r="ES282" s="436"/>
      <c r="ET282" s="436"/>
      <c r="EU282" s="436"/>
      <c r="EV282" s="436"/>
      <c r="EW282" s="436"/>
      <c r="EX282" s="436"/>
      <c r="EY282" s="436"/>
      <c r="EZ282" s="440"/>
      <c r="FZ282" s="439"/>
      <c r="GA282" s="436"/>
      <c r="GB282" s="436"/>
      <c r="GC282" s="436"/>
      <c r="GD282" s="436"/>
      <c r="GE282" s="436"/>
      <c r="GF282" s="436"/>
      <c r="GG282" s="436"/>
      <c r="GH282" s="436"/>
      <c r="GI282" s="436"/>
      <c r="GJ282" s="436"/>
      <c r="GK282" s="436"/>
      <c r="GL282" s="436"/>
      <c r="GM282" s="436"/>
      <c r="GN282" s="436"/>
      <c r="GO282" s="436"/>
      <c r="GP282" s="436"/>
      <c r="GQ282" s="436"/>
      <c r="GR282" s="436"/>
      <c r="GS282" s="436"/>
      <c r="GT282" s="436"/>
      <c r="GU282" s="436"/>
      <c r="GV282" s="436"/>
      <c r="GW282" s="436"/>
      <c r="GX282" s="440"/>
    </row>
    <row r="283" spans="132:206" ht="24" customHeight="1">
      <c r="EB283" s="439"/>
      <c r="EC283" s="436"/>
      <c r="ED283" s="436"/>
      <c r="EE283" s="436"/>
      <c r="EF283" s="436"/>
      <c r="EG283" s="436"/>
      <c r="EH283" s="436"/>
      <c r="EI283" s="436"/>
      <c r="EJ283" s="436"/>
      <c r="EK283" s="436"/>
      <c r="EL283" s="436"/>
      <c r="EM283" s="436"/>
      <c r="EN283" s="436"/>
      <c r="EO283" s="436"/>
      <c r="EP283" s="436"/>
      <c r="EQ283" s="436"/>
      <c r="ER283" s="436"/>
      <c r="ES283" s="436"/>
      <c r="ET283" s="436"/>
      <c r="EU283" s="436"/>
      <c r="EV283" s="436"/>
      <c r="EW283" s="436"/>
      <c r="EX283" s="436"/>
      <c r="EY283" s="436"/>
      <c r="EZ283" s="440"/>
      <c r="FZ283" s="439"/>
      <c r="GA283" s="436"/>
      <c r="GB283" s="436"/>
      <c r="GC283" s="436"/>
      <c r="GD283" s="436"/>
      <c r="GE283" s="436"/>
      <c r="GF283" s="436"/>
      <c r="GG283" s="436"/>
      <c r="GH283" s="436"/>
      <c r="GI283" s="436"/>
      <c r="GJ283" s="436"/>
      <c r="GK283" s="436"/>
      <c r="GL283" s="436"/>
      <c r="GM283" s="436"/>
      <c r="GN283" s="436"/>
      <c r="GO283" s="436"/>
      <c r="GP283" s="436"/>
      <c r="GQ283" s="436"/>
      <c r="GR283" s="436"/>
      <c r="GS283" s="436"/>
      <c r="GT283" s="436"/>
      <c r="GU283" s="436"/>
      <c r="GV283" s="436"/>
      <c r="GW283" s="436"/>
      <c r="GX283" s="440"/>
    </row>
    <row r="284" spans="132:206" ht="24" customHeight="1" thickBot="1">
      <c r="EB284" s="439"/>
      <c r="EC284" s="441"/>
      <c r="ED284" s="441"/>
      <c r="EE284" s="441"/>
      <c r="EF284" s="436"/>
      <c r="EG284" s="436"/>
      <c r="EH284" s="436"/>
      <c r="EI284" s="436"/>
      <c r="EJ284" s="436"/>
      <c r="EK284" s="436"/>
      <c r="EL284" s="436"/>
      <c r="EM284" s="436"/>
      <c r="EN284" s="436"/>
      <c r="EO284" s="436"/>
      <c r="EP284" s="436"/>
      <c r="EQ284" s="436"/>
      <c r="ER284" s="436"/>
      <c r="ES284" s="436"/>
      <c r="ET284" s="436"/>
      <c r="EU284" s="436"/>
      <c r="EV284" s="436"/>
      <c r="EW284" s="436"/>
      <c r="EX284" s="436"/>
      <c r="EY284" s="436"/>
      <c r="EZ284" s="440"/>
      <c r="FZ284" s="439"/>
      <c r="GA284" s="441"/>
      <c r="GB284" s="441"/>
      <c r="GC284" s="441"/>
      <c r="GD284" s="436"/>
      <c r="GE284" s="436"/>
      <c r="GF284" s="436"/>
      <c r="GG284" s="436"/>
      <c r="GH284" s="436"/>
      <c r="GI284" s="436"/>
      <c r="GJ284" s="436"/>
      <c r="GK284" s="436"/>
      <c r="GL284" s="436"/>
      <c r="GM284" s="436"/>
      <c r="GN284" s="436"/>
      <c r="GO284" s="436"/>
      <c r="GP284" s="436"/>
      <c r="GQ284" s="436"/>
      <c r="GR284" s="436"/>
      <c r="GS284" s="436"/>
      <c r="GT284" s="436"/>
      <c r="GU284" s="436"/>
      <c r="GV284" s="436"/>
      <c r="GW284" s="436"/>
      <c r="GX284" s="440"/>
    </row>
    <row r="285" spans="132:206" ht="24" customHeight="1" thickBot="1">
      <c r="EB285" s="444"/>
      <c r="EC285" s="1917" t="str">
        <f>'Вывод расчетов'!$CC$9</f>
        <v>Раздел 3</v>
      </c>
      <c r="ED285" s="1915"/>
      <c r="EE285" s="1915"/>
      <c r="EF285" s="445"/>
      <c r="EG285" s="1917" t="str">
        <f>'Вывод расчетов'!$CF$9</f>
        <v>Расчет обмотки статора</v>
      </c>
      <c r="EH285" s="1915"/>
      <c r="EI285" s="1915"/>
      <c r="EJ285" s="1915"/>
      <c r="EK285" s="1915"/>
      <c r="EL285" s="1915"/>
      <c r="EM285" s="1915"/>
      <c r="EN285" s="1915"/>
      <c r="EO285" s="1915"/>
      <c r="EP285" s="1915"/>
      <c r="EQ285" s="1915"/>
      <c r="ER285" s="1918"/>
      <c r="ES285" s="445"/>
      <c r="ET285" s="1917" t="s">
        <v>1502</v>
      </c>
      <c r="EU285" s="1915"/>
      <c r="EV285" s="1918"/>
      <c r="EW285" s="445"/>
      <c r="EX285" s="1917">
        <v>11</v>
      </c>
      <c r="EY285" s="1918"/>
      <c r="EZ285" s="446"/>
      <c r="FZ285" s="444"/>
      <c r="GA285" s="1917" t="str">
        <f>'Вывод расчетов'!$CC$9</f>
        <v>Раздел 3</v>
      </c>
      <c r="GB285" s="1915"/>
      <c r="GC285" s="1915"/>
      <c r="GD285" s="445"/>
      <c r="GE285" s="1917" t="str">
        <f>'Вывод расчетов'!$CF$9</f>
        <v>Расчет обмотки статора</v>
      </c>
      <c r="GF285" s="1915"/>
      <c r="GG285" s="1915"/>
      <c r="GH285" s="1915"/>
      <c r="GI285" s="1915"/>
      <c r="GJ285" s="1915"/>
      <c r="GK285" s="1915"/>
      <c r="GL285" s="1915"/>
      <c r="GM285" s="1915"/>
      <c r="GN285" s="1915"/>
      <c r="GO285" s="1915"/>
      <c r="GP285" s="1918"/>
      <c r="GQ285" s="445"/>
      <c r="GR285" s="1917" t="s">
        <v>1502</v>
      </c>
      <c r="GS285" s="1915"/>
      <c r="GT285" s="1918"/>
      <c r="GU285" s="445"/>
      <c r="GV285" s="1917">
        <v>11</v>
      </c>
      <c r="GW285" s="1918"/>
      <c r="GX285" s="446"/>
    </row>
    <row r="286" spans="132:206" ht="24" customHeight="1" thickBot="1">
      <c r="EB286" s="1914" t="s">
        <v>1230</v>
      </c>
      <c r="EC286" s="1915"/>
      <c r="ED286" s="1915"/>
      <c r="EE286" s="1915"/>
      <c r="EF286" s="1915"/>
      <c r="EG286" s="1915"/>
      <c r="EH286" s="1915"/>
      <c r="EI286" s="1915"/>
      <c r="EJ286" s="1915"/>
      <c r="EK286" s="1915"/>
      <c r="EL286" s="1915"/>
      <c r="EM286" s="1915"/>
      <c r="EN286" s="1915"/>
      <c r="EO286" s="1915"/>
      <c r="EP286" s="1915"/>
      <c r="EQ286" s="1915"/>
      <c r="ER286" s="1915"/>
      <c r="ES286" s="1915"/>
      <c r="ET286" s="1915"/>
      <c r="EU286" s="1915"/>
      <c r="EV286" s="1915"/>
      <c r="EW286" s="1915"/>
      <c r="EX286" s="1915"/>
      <c r="EY286" s="1915"/>
      <c r="EZ286" s="1916"/>
      <c r="FZ286" s="1914" t="s">
        <v>1230</v>
      </c>
      <c r="GA286" s="1915"/>
      <c r="GB286" s="1915"/>
      <c r="GC286" s="1915"/>
      <c r="GD286" s="1915"/>
      <c r="GE286" s="1915"/>
      <c r="GF286" s="1915"/>
      <c r="GG286" s="1915"/>
      <c r="GH286" s="1915"/>
      <c r="GI286" s="1915"/>
      <c r="GJ286" s="1915"/>
      <c r="GK286" s="1915"/>
      <c r="GL286" s="1915"/>
      <c r="GM286" s="1915"/>
      <c r="GN286" s="1915"/>
      <c r="GO286" s="1915"/>
      <c r="GP286" s="1915"/>
      <c r="GQ286" s="1915"/>
      <c r="GR286" s="1915"/>
      <c r="GS286" s="1915"/>
      <c r="GT286" s="1915"/>
      <c r="GU286" s="1915"/>
      <c r="GV286" s="1915"/>
      <c r="GW286" s="1915"/>
      <c r="GX286" s="1916"/>
    </row>
    <row r="287" spans="132:206" ht="24" customHeight="1">
      <c r="EB287" s="437"/>
      <c r="EC287" s="438"/>
      <c r="ED287" s="438"/>
      <c r="EE287" s="438"/>
      <c r="EF287" s="438"/>
      <c r="EG287" s="438"/>
      <c r="EH287" s="438"/>
      <c r="EI287" s="438"/>
      <c r="EJ287" s="438"/>
      <c r="EK287" s="438"/>
      <c r="EL287" s="438"/>
      <c r="EM287" s="438"/>
      <c r="EN287" s="438"/>
      <c r="EO287" s="438"/>
      <c r="EP287" s="438"/>
      <c r="EQ287" s="438"/>
      <c r="ER287" s="438"/>
      <c r="ES287" s="438"/>
      <c r="ET287" s="438"/>
      <c r="EU287" s="438"/>
      <c r="EV287" s="438"/>
      <c r="EW287" s="438"/>
      <c r="EX287" s="438"/>
      <c r="EY287" s="438"/>
      <c r="EZ287" s="447"/>
      <c r="FZ287" s="437"/>
      <c r="GA287" s="438"/>
      <c r="GB287" s="438"/>
      <c r="GC287" s="438"/>
      <c r="GD287" s="438"/>
      <c r="GE287" s="438"/>
      <c r="GF287" s="438"/>
      <c r="GG287" s="438"/>
      <c r="GH287" s="438"/>
      <c r="GI287" s="438"/>
      <c r="GJ287" s="438"/>
      <c r="GK287" s="438"/>
      <c r="GL287" s="438"/>
      <c r="GM287" s="438"/>
      <c r="GN287" s="438"/>
      <c r="GO287" s="438"/>
      <c r="GP287" s="438"/>
      <c r="GQ287" s="438"/>
      <c r="GR287" s="438"/>
      <c r="GS287" s="438"/>
      <c r="GT287" s="438"/>
      <c r="GU287" s="438"/>
      <c r="GV287" s="438"/>
      <c r="GW287" s="438"/>
      <c r="GX287" s="447"/>
    </row>
    <row r="288" spans="132:206" ht="24" customHeight="1">
      <c r="EB288" s="439"/>
      <c r="EC288" s="436"/>
      <c r="ED288" s="436"/>
      <c r="EE288" s="436"/>
      <c r="EF288" s="436"/>
      <c r="EG288" s="436"/>
      <c r="EH288" s="436"/>
      <c r="EI288" s="436"/>
      <c r="EJ288" s="436"/>
      <c r="EK288" s="436"/>
      <c r="EL288" s="436"/>
      <c r="EM288" s="436"/>
      <c r="EN288" s="436"/>
      <c r="EO288" s="436"/>
      <c r="EP288" s="436"/>
      <c r="EQ288" s="436"/>
      <c r="ER288" s="436"/>
      <c r="ES288" s="436"/>
      <c r="ET288" s="436"/>
      <c r="EU288" s="436"/>
      <c r="EV288" s="436"/>
      <c r="EW288" s="436"/>
      <c r="EX288" s="436"/>
      <c r="EY288" s="436"/>
      <c r="EZ288" s="440"/>
      <c r="FZ288" s="439"/>
      <c r="GA288" s="436"/>
      <c r="GB288" s="436"/>
      <c r="GC288" s="436"/>
      <c r="GD288" s="436"/>
      <c r="GE288" s="436"/>
      <c r="GF288" s="436"/>
      <c r="GG288" s="436"/>
      <c r="GH288" s="436"/>
      <c r="GI288" s="436"/>
      <c r="GJ288" s="436"/>
      <c r="GK288" s="436"/>
      <c r="GL288" s="436"/>
      <c r="GM288" s="436"/>
      <c r="GN288" s="436"/>
      <c r="GO288" s="436"/>
      <c r="GP288" s="436"/>
      <c r="GQ288" s="436"/>
      <c r="GR288" s="436"/>
      <c r="GS288" s="436"/>
      <c r="GT288" s="436"/>
      <c r="GU288" s="436"/>
      <c r="GV288" s="436"/>
      <c r="GW288" s="436"/>
      <c r="GX288" s="440"/>
    </row>
    <row r="289" spans="132:206" ht="24" customHeight="1">
      <c r="EB289" s="439"/>
      <c r="EC289" s="436"/>
      <c r="ED289" s="436"/>
      <c r="EE289" s="436"/>
      <c r="EF289" s="436"/>
      <c r="EG289" s="436"/>
      <c r="EH289" s="436"/>
      <c r="EI289" s="436"/>
      <c r="EJ289" s="436"/>
      <c r="EK289" s="436"/>
      <c r="EL289" s="436"/>
      <c r="EM289" s="436"/>
      <c r="EN289" s="436"/>
      <c r="EO289" s="436"/>
      <c r="EP289" s="436"/>
      <c r="EQ289" s="436"/>
      <c r="ER289" s="436"/>
      <c r="ES289" s="436"/>
      <c r="ET289" s="436"/>
      <c r="EU289" s="436"/>
      <c r="EV289" s="436"/>
      <c r="EW289" s="436"/>
      <c r="EX289" s="436"/>
      <c r="EY289" s="436"/>
      <c r="EZ289" s="440"/>
      <c r="FZ289" s="439"/>
      <c r="GA289" s="436"/>
      <c r="GB289" s="436"/>
      <c r="GC289" s="436"/>
      <c r="GD289" s="436"/>
      <c r="GE289" s="436"/>
      <c r="GF289" s="436"/>
      <c r="GG289" s="436"/>
      <c r="GH289" s="436"/>
      <c r="GI289" s="436"/>
      <c r="GJ289" s="436"/>
      <c r="GK289" s="436"/>
      <c r="GL289" s="436"/>
      <c r="GM289" s="436"/>
      <c r="GN289" s="436"/>
      <c r="GO289" s="436"/>
      <c r="GP289" s="436"/>
      <c r="GQ289" s="436"/>
      <c r="GR289" s="436"/>
      <c r="GS289" s="436"/>
      <c r="GT289" s="436"/>
      <c r="GU289" s="436"/>
      <c r="GV289" s="436"/>
      <c r="GW289" s="436"/>
      <c r="GX289" s="440"/>
    </row>
    <row r="290" spans="132:206" ht="24" customHeight="1">
      <c r="EB290" s="439"/>
      <c r="EC290" s="436"/>
      <c r="ED290" s="436"/>
      <c r="EE290" s="436"/>
      <c r="EF290" s="436"/>
      <c r="EG290" s="436"/>
      <c r="EH290" s="436"/>
      <c r="EI290" s="436"/>
      <c r="EJ290" s="436"/>
      <c r="EK290" s="436"/>
      <c r="EL290" s="436"/>
      <c r="EM290" s="436"/>
      <c r="EN290" s="436"/>
      <c r="EO290" s="436"/>
      <c r="EP290" s="436"/>
      <c r="EQ290" s="436"/>
      <c r="ER290" s="436"/>
      <c r="ES290" s="436"/>
      <c r="ET290" s="436"/>
      <c r="EU290" s="436"/>
      <c r="EV290" s="436"/>
      <c r="EW290" s="436"/>
      <c r="EX290" s="436"/>
      <c r="EY290" s="436"/>
      <c r="EZ290" s="440"/>
      <c r="FZ290" s="439"/>
      <c r="GA290" s="436"/>
      <c r="GB290" s="436"/>
      <c r="GC290" s="436"/>
      <c r="GD290" s="436"/>
      <c r="GE290" s="436"/>
      <c r="GF290" s="436"/>
      <c r="GG290" s="436"/>
      <c r="GH290" s="436"/>
      <c r="GI290" s="436"/>
      <c r="GJ290" s="436"/>
      <c r="GK290" s="436"/>
      <c r="GL290" s="436"/>
      <c r="GM290" s="436"/>
      <c r="GN290" s="436"/>
      <c r="GO290" s="436"/>
      <c r="GP290" s="436"/>
      <c r="GQ290" s="436"/>
      <c r="GR290" s="436"/>
      <c r="GS290" s="436"/>
      <c r="GT290" s="436"/>
      <c r="GU290" s="436"/>
      <c r="GV290" s="436"/>
      <c r="GW290" s="436"/>
      <c r="GX290" s="440"/>
    </row>
    <row r="291" spans="132:206" ht="24" customHeight="1">
      <c r="EB291" s="439"/>
      <c r="EC291" s="436"/>
      <c r="ED291" s="436"/>
      <c r="EE291" s="436"/>
      <c r="EF291" s="436"/>
      <c r="EG291" s="436"/>
      <c r="EH291" s="436"/>
      <c r="EI291" s="436"/>
      <c r="EJ291" s="436"/>
      <c r="EK291" s="436"/>
      <c r="EL291" s="436"/>
      <c r="EM291" s="436"/>
      <c r="EN291" s="436"/>
      <c r="EO291" s="436"/>
      <c r="EP291" s="436"/>
      <c r="EQ291" s="436"/>
      <c r="ER291" s="436"/>
      <c r="ES291" s="436"/>
      <c r="ET291" s="436"/>
      <c r="EU291" s="436"/>
      <c r="EV291" s="436"/>
      <c r="EW291" s="436"/>
      <c r="EX291" s="436"/>
      <c r="EY291" s="436"/>
      <c r="EZ291" s="440"/>
      <c r="FZ291" s="439"/>
      <c r="GA291" s="436"/>
      <c r="GB291" s="436"/>
      <c r="GC291" s="436"/>
      <c r="GD291" s="436"/>
      <c r="GE291" s="436"/>
      <c r="GF291" s="436"/>
      <c r="GG291" s="436"/>
      <c r="GH291" s="436"/>
      <c r="GI291" s="436"/>
      <c r="GJ291" s="436"/>
      <c r="GK291" s="436"/>
      <c r="GL291" s="436"/>
      <c r="GM291" s="436"/>
      <c r="GN291" s="436"/>
      <c r="GO291" s="436"/>
      <c r="GP291" s="436"/>
      <c r="GQ291" s="436"/>
      <c r="GR291" s="436"/>
      <c r="GS291" s="436"/>
      <c r="GT291" s="436"/>
      <c r="GU291" s="436"/>
      <c r="GV291" s="436"/>
      <c r="GW291" s="436"/>
      <c r="GX291" s="440"/>
    </row>
    <row r="292" spans="132:206" ht="24" customHeight="1">
      <c r="EB292" s="439"/>
      <c r="EC292" s="436"/>
      <c r="ED292" s="436"/>
      <c r="EE292" s="436"/>
      <c r="EF292" s="436"/>
      <c r="EG292" s="436"/>
      <c r="EH292" s="436"/>
      <c r="EI292" s="436"/>
      <c r="EJ292" s="436"/>
      <c r="EK292" s="436"/>
      <c r="EL292" s="436"/>
      <c r="EM292" s="436"/>
      <c r="EN292" s="436"/>
      <c r="EO292" s="436"/>
      <c r="EP292" s="436"/>
      <c r="EQ292" s="436"/>
      <c r="ER292" s="436"/>
      <c r="ES292" s="436"/>
      <c r="ET292" s="436"/>
      <c r="EU292" s="436"/>
      <c r="EV292" s="436"/>
      <c r="EW292" s="436"/>
      <c r="EX292" s="436"/>
      <c r="EY292" s="436"/>
      <c r="EZ292" s="440"/>
      <c r="FZ292" s="439"/>
      <c r="GA292" s="436"/>
      <c r="GB292" s="436"/>
      <c r="GC292" s="436"/>
      <c r="GD292" s="436"/>
      <c r="GE292" s="436"/>
      <c r="GF292" s="436"/>
      <c r="GG292" s="436"/>
      <c r="GH292" s="436"/>
      <c r="GI292" s="436"/>
      <c r="GJ292" s="436"/>
      <c r="GK292" s="436"/>
      <c r="GL292" s="436"/>
      <c r="GM292" s="436"/>
      <c r="GN292" s="436"/>
      <c r="GO292" s="436"/>
      <c r="GP292" s="436"/>
      <c r="GQ292" s="436"/>
      <c r="GR292" s="436"/>
      <c r="GS292" s="436"/>
      <c r="GT292" s="436"/>
      <c r="GU292" s="436"/>
      <c r="GV292" s="436"/>
      <c r="GW292" s="436"/>
      <c r="GX292" s="440"/>
    </row>
    <row r="293" spans="132:206" ht="24" customHeight="1">
      <c r="EB293" s="439"/>
      <c r="EC293" s="436"/>
      <c r="ED293" s="436"/>
      <c r="EE293" s="436"/>
      <c r="EF293" s="436"/>
      <c r="EG293" s="436"/>
      <c r="EH293" s="436"/>
      <c r="EI293" s="436"/>
      <c r="EJ293" s="436"/>
      <c r="EK293" s="436"/>
      <c r="EL293" s="436"/>
      <c r="EM293" s="436"/>
      <c r="EN293" s="436"/>
      <c r="EO293" s="436"/>
      <c r="EP293" s="436"/>
      <c r="EQ293" s="436"/>
      <c r="ER293" s="436"/>
      <c r="ES293" s="436"/>
      <c r="ET293" s="436"/>
      <c r="EU293" s="436"/>
      <c r="EV293" s="436"/>
      <c r="EW293" s="436"/>
      <c r="EX293" s="436"/>
      <c r="EY293" s="436"/>
      <c r="EZ293" s="440"/>
      <c r="FZ293" s="439"/>
      <c r="GA293" s="436"/>
      <c r="GB293" s="436"/>
      <c r="GC293" s="436"/>
      <c r="GD293" s="436"/>
      <c r="GE293" s="436"/>
      <c r="GF293" s="436"/>
      <c r="GG293" s="436"/>
      <c r="GH293" s="436"/>
      <c r="GI293" s="436"/>
      <c r="GJ293" s="436"/>
      <c r="GK293" s="436"/>
      <c r="GL293" s="436"/>
      <c r="GM293" s="436"/>
      <c r="GN293" s="436"/>
      <c r="GO293" s="436"/>
      <c r="GP293" s="436"/>
      <c r="GQ293" s="436"/>
      <c r="GR293" s="436"/>
      <c r="GS293" s="436"/>
      <c r="GT293" s="436"/>
      <c r="GU293" s="436"/>
      <c r="GV293" s="436"/>
      <c r="GW293" s="436"/>
      <c r="GX293" s="440"/>
    </row>
    <row r="294" spans="132:206" ht="24" customHeight="1">
      <c r="EB294" s="439"/>
      <c r="EC294" s="436"/>
      <c r="ED294" s="436"/>
      <c r="EE294" s="436"/>
      <c r="EF294" s="436"/>
      <c r="EG294" s="436"/>
      <c r="EH294" s="436"/>
      <c r="EI294" s="436"/>
      <c r="EJ294" s="436"/>
      <c r="EK294" s="436"/>
      <c r="EL294" s="436"/>
      <c r="EM294" s="436"/>
      <c r="EN294" s="436"/>
      <c r="EO294" s="436"/>
      <c r="EP294" s="436"/>
      <c r="EQ294" s="436"/>
      <c r="ER294" s="436"/>
      <c r="ES294" s="436"/>
      <c r="ET294" s="436"/>
      <c r="EU294" s="436"/>
      <c r="EV294" s="436"/>
      <c r="EW294" s="436"/>
      <c r="EX294" s="436"/>
      <c r="EY294" s="436"/>
      <c r="EZ294" s="440"/>
      <c r="FZ294" s="439"/>
      <c r="GA294" s="436"/>
      <c r="GB294" s="436"/>
      <c r="GC294" s="436"/>
      <c r="GD294" s="436"/>
      <c r="GE294" s="436"/>
      <c r="GF294" s="436"/>
      <c r="GG294" s="436"/>
      <c r="GH294" s="436"/>
      <c r="GI294" s="436"/>
      <c r="GJ294" s="436"/>
      <c r="GK294" s="436"/>
      <c r="GL294" s="436"/>
      <c r="GM294" s="436"/>
      <c r="GN294" s="436"/>
      <c r="GO294" s="436"/>
      <c r="GP294" s="436"/>
      <c r="GQ294" s="436"/>
      <c r="GR294" s="436"/>
      <c r="GS294" s="436"/>
      <c r="GT294" s="436"/>
      <c r="GU294" s="436"/>
      <c r="GV294" s="436"/>
      <c r="GW294" s="436"/>
      <c r="GX294" s="440"/>
    </row>
    <row r="295" spans="132:206" ht="24" customHeight="1">
      <c r="EB295" s="439"/>
      <c r="EC295" s="436"/>
      <c r="ED295" s="436"/>
      <c r="EE295" s="436"/>
      <c r="EF295" s="436"/>
      <c r="EG295" s="436"/>
      <c r="EH295" s="436"/>
      <c r="EI295" s="436"/>
      <c r="EJ295" s="436"/>
      <c r="EK295" s="436"/>
      <c r="EL295" s="436"/>
      <c r="EM295" s="436"/>
      <c r="EN295" s="436"/>
      <c r="EO295" s="436"/>
      <c r="EP295" s="436"/>
      <c r="EQ295" s="436"/>
      <c r="ER295" s="436"/>
      <c r="ES295" s="436"/>
      <c r="ET295" s="436"/>
      <c r="EU295" s="436"/>
      <c r="EV295" s="436"/>
      <c r="EW295" s="436"/>
      <c r="EX295" s="436"/>
      <c r="EY295" s="436"/>
      <c r="EZ295" s="440"/>
      <c r="FZ295" s="439"/>
      <c r="GA295" s="436"/>
      <c r="GB295" s="436"/>
      <c r="GC295" s="436"/>
      <c r="GD295" s="436"/>
      <c r="GE295" s="436"/>
      <c r="GF295" s="436"/>
      <c r="GG295" s="436"/>
      <c r="GH295" s="436"/>
      <c r="GI295" s="436"/>
      <c r="GJ295" s="436"/>
      <c r="GK295" s="436"/>
      <c r="GL295" s="436"/>
      <c r="GM295" s="436"/>
      <c r="GN295" s="436"/>
      <c r="GO295" s="436"/>
      <c r="GP295" s="436"/>
      <c r="GQ295" s="436"/>
      <c r="GR295" s="436"/>
      <c r="GS295" s="436"/>
      <c r="GT295" s="436"/>
      <c r="GU295" s="436"/>
      <c r="GV295" s="436"/>
      <c r="GW295" s="436"/>
      <c r="GX295" s="440"/>
    </row>
    <row r="296" spans="132:206" ht="24" customHeight="1">
      <c r="EB296" s="439"/>
      <c r="EC296" s="436"/>
      <c r="ED296" s="436"/>
      <c r="EE296" s="436"/>
      <c r="EF296" s="436"/>
      <c r="EG296" s="436"/>
      <c r="EH296" s="436"/>
      <c r="EI296" s="436"/>
      <c r="EJ296" s="436"/>
      <c r="EK296" s="436"/>
      <c r="EL296" s="436"/>
      <c r="EM296" s="436"/>
      <c r="EN296" s="436"/>
      <c r="EO296" s="436"/>
      <c r="EP296" s="436"/>
      <c r="EQ296" s="436"/>
      <c r="ER296" s="436"/>
      <c r="ES296" s="436"/>
      <c r="ET296" s="436"/>
      <c r="EU296" s="436"/>
      <c r="EV296" s="436"/>
      <c r="EW296" s="436"/>
      <c r="EX296" s="436"/>
      <c r="EY296" s="436"/>
      <c r="EZ296" s="440"/>
      <c r="FZ296" s="439"/>
      <c r="GA296" s="436"/>
      <c r="GB296" s="436"/>
      <c r="GC296" s="436"/>
      <c r="GD296" s="436"/>
      <c r="GE296" s="436"/>
      <c r="GF296" s="436"/>
      <c r="GG296" s="436"/>
      <c r="GH296" s="436"/>
      <c r="GI296" s="436"/>
      <c r="GJ296" s="436"/>
      <c r="GK296" s="436"/>
      <c r="GL296" s="436"/>
      <c r="GM296" s="436"/>
      <c r="GN296" s="436"/>
      <c r="GO296" s="436"/>
      <c r="GP296" s="436"/>
      <c r="GQ296" s="436"/>
      <c r="GR296" s="436"/>
      <c r="GS296" s="436"/>
      <c r="GT296" s="436"/>
      <c r="GU296" s="436"/>
      <c r="GV296" s="436"/>
      <c r="GW296" s="436"/>
      <c r="GX296" s="440"/>
    </row>
    <row r="297" spans="132:206" ht="24" customHeight="1">
      <c r="EB297" s="439"/>
      <c r="EC297" s="436"/>
      <c r="ED297" s="436"/>
      <c r="EE297" s="436"/>
      <c r="EF297" s="436"/>
      <c r="EG297" s="436"/>
      <c r="EH297" s="436"/>
      <c r="EI297" s="436"/>
      <c r="EJ297" s="436"/>
      <c r="EK297" s="436"/>
      <c r="EL297" s="436"/>
      <c r="EM297" s="436"/>
      <c r="EN297" s="436"/>
      <c r="EO297" s="436"/>
      <c r="EP297" s="436"/>
      <c r="EQ297" s="436"/>
      <c r="ER297" s="436"/>
      <c r="ES297" s="436"/>
      <c r="ET297" s="436"/>
      <c r="EU297" s="436"/>
      <c r="EV297" s="436"/>
      <c r="EW297" s="436"/>
      <c r="EX297" s="436"/>
      <c r="EY297" s="436"/>
      <c r="EZ297" s="440"/>
      <c r="FZ297" s="439"/>
      <c r="GA297" s="436"/>
      <c r="GB297" s="436"/>
      <c r="GC297" s="436"/>
      <c r="GD297" s="436"/>
      <c r="GE297" s="436"/>
      <c r="GF297" s="436"/>
      <c r="GG297" s="436"/>
      <c r="GH297" s="436"/>
      <c r="GI297" s="436"/>
      <c r="GJ297" s="436"/>
      <c r="GK297" s="436"/>
      <c r="GL297" s="436"/>
      <c r="GM297" s="436"/>
      <c r="GN297" s="436"/>
      <c r="GO297" s="436"/>
      <c r="GP297" s="436"/>
      <c r="GQ297" s="436"/>
      <c r="GR297" s="436"/>
      <c r="GS297" s="436"/>
      <c r="GT297" s="436"/>
      <c r="GU297" s="436"/>
      <c r="GV297" s="436"/>
      <c r="GW297" s="436"/>
      <c r="GX297" s="440"/>
    </row>
    <row r="298" spans="132:206" ht="24" customHeight="1">
      <c r="EB298" s="439"/>
      <c r="EC298" s="436"/>
      <c r="ED298" s="436"/>
      <c r="EE298" s="436"/>
      <c r="EF298" s="436"/>
      <c r="EG298" s="436"/>
      <c r="EH298" s="436"/>
      <c r="EI298" s="436"/>
      <c r="EJ298" s="436"/>
      <c r="EK298" s="436"/>
      <c r="EL298" s="436"/>
      <c r="EM298" s="436"/>
      <c r="EN298" s="436"/>
      <c r="EO298" s="436"/>
      <c r="EP298" s="436"/>
      <c r="EQ298" s="436"/>
      <c r="ER298" s="436"/>
      <c r="ES298" s="436"/>
      <c r="ET298" s="436"/>
      <c r="EU298" s="436"/>
      <c r="EV298" s="436"/>
      <c r="EW298" s="436"/>
      <c r="EX298" s="436"/>
      <c r="EY298" s="436"/>
      <c r="EZ298" s="440"/>
      <c r="FZ298" s="439"/>
      <c r="GA298" s="436"/>
      <c r="GB298" s="436"/>
      <c r="GC298" s="436"/>
      <c r="GD298" s="436"/>
      <c r="GE298" s="436"/>
      <c r="GF298" s="436"/>
      <c r="GG298" s="436"/>
      <c r="GH298" s="436"/>
      <c r="GI298" s="436"/>
      <c r="GJ298" s="436"/>
      <c r="GK298" s="436"/>
      <c r="GL298" s="436"/>
      <c r="GM298" s="436"/>
      <c r="GN298" s="436"/>
      <c r="GO298" s="436"/>
      <c r="GP298" s="436"/>
      <c r="GQ298" s="436"/>
      <c r="GR298" s="436"/>
      <c r="GS298" s="436"/>
      <c r="GT298" s="436"/>
      <c r="GU298" s="436"/>
      <c r="GV298" s="436"/>
      <c r="GW298" s="436"/>
      <c r="GX298" s="440"/>
    </row>
    <row r="299" spans="132:206" ht="24" customHeight="1">
      <c r="EB299" s="439"/>
      <c r="EC299" s="436"/>
      <c r="ED299" s="436"/>
      <c r="EE299" s="436"/>
      <c r="EF299" s="436"/>
      <c r="EG299" s="436"/>
      <c r="EH299" s="436"/>
      <c r="EI299" s="436"/>
      <c r="EJ299" s="436"/>
      <c r="EK299" s="436"/>
      <c r="EL299" s="436"/>
      <c r="EM299" s="436"/>
      <c r="EN299" s="436"/>
      <c r="EO299" s="436"/>
      <c r="EP299" s="436"/>
      <c r="EQ299" s="436"/>
      <c r="ER299" s="436"/>
      <c r="ES299" s="436"/>
      <c r="ET299" s="436"/>
      <c r="EU299" s="436"/>
      <c r="EV299" s="436"/>
      <c r="EW299" s="436"/>
      <c r="EX299" s="436"/>
      <c r="EY299" s="436"/>
      <c r="EZ299" s="440"/>
      <c r="FZ299" s="439"/>
      <c r="GA299" s="436"/>
      <c r="GB299" s="436"/>
      <c r="GC299" s="436"/>
      <c r="GD299" s="436"/>
      <c r="GE299" s="436"/>
      <c r="GF299" s="436"/>
      <c r="GG299" s="436"/>
      <c r="GH299" s="436"/>
      <c r="GI299" s="436"/>
      <c r="GJ299" s="436"/>
      <c r="GK299" s="436"/>
      <c r="GL299" s="436"/>
      <c r="GM299" s="436"/>
      <c r="GN299" s="436"/>
      <c r="GO299" s="436"/>
      <c r="GP299" s="436"/>
      <c r="GQ299" s="436"/>
      <c r="GR299" s="436"/>
      <c r="GS299" s="436"/>
      <c r="GT299" s="436"/>
      <c r="GU299" s="436"/>
      <c r="GV299" s="436"/>
      <c r="GW299" s="436"/>
      <c r="GX299" s="440"/>
    </row>
    <row r="300" spans="132:206" ht="24" customHeight="1">
      <c r="EB300" s="439"/>
      <c r="EC300" s="436"/>
      <c r="ED300" s="436"/>
      <c r="EE300" s="436"/>
      <c r="EF300" s="436"/>
      <c r="EG300" s="436"/>
      <c r="EH300" s="436"/>
      <c r="EI300" s="436"/>
      <c r="EJ300" s="436"/>
      <c r="EK300" s="436"/>
      <c r="EL300" s="436"/>
      <c r="EM300" s="436"/>
      <c r="EN300" s="436"/>
      <c r="EO300" s="436"/>
      <c r="EP300" s="436"/>
      <c r="EQ300" s="436"/>
      <c r="ER300" s="436"/>
      <c r="ES300" s="436"/>
      <c r="ET300" s="436"/>
      <c r="EU300" s="436"/>
      <c r="EV300" s="436"/>
      <c r="EW300" s="436"/>
      <c r="EX300" s="436"/>
      <c r="EY300" s="436"/>
      <c r="EZ300" s="440"/>
      <c r="FZ300" s="439"/>
      <c r="GA300" s="436"/>
      <c r="GB300" s="436"/>
      <c r="GC300" s="436"/>
      <c r="GD300" s="436"/>
      <c r="GE300" s="436"/>
      <c r="GF300" s="436"/>
      <c r="GG300" s="436"/>
      <c r="GH300" s="436"/>
      <c r="GI300" s="436"/>
      <c r="GJ300" s="436"/>
      <c r="GK300" s="436"/>
      <c r="GL300" s="436"/>
      <c r="GM300" s="436"/>
      <c r="GN300" s="436"/>
      <c r="GO300" s="436"/>
      <c r="GP300" s="436"/>
      <c r="GQ300" s="436"/>
      <c r="GR300" s="436"/>
      <c r="GS300" s="436"/>
      <c r="GT300" s="436"/>
      <c r="GU300" s="436"/>
      <c r="GV300" s="436"/>
      <c r="GW300" s="436"/>
      <c r="GX300" s="440"/>
    </row>
    <row r="301" spans="132:206" ht="24" customHeight="1">
      <c r="EB301" s="439"/>
      <c r="EC301" s="436"/>
      <c r="ED301" s="436"/>
      <c r="EE301" s="436"/>
      <c r="EF301" s="436"/>
      <c r="EG301" s="436"/>
      <c r="EH301" s="436"/>
      <c r="EI301" s="436"/>
      <c r="EJ301" s="436"/>
      <c r="EK301" s="436"/>
      <c r="EL301" s="436"/>
      <c r="EM301" s="436"/>
      <c r="EN301" s="436"/>
      <c r="EO301" s="436"/>
      <c r="EP301" s="436"/>
      <c r="EQ301" s="436"/>
      <c r="ER301" s="436"/>
      <c r="ES301" s="436"/>
      <c r="ET301" s="436"/>
      <c r="EU301" s="436"/>
      <c r="EV301" s="436"/>
      <c r="EW301" s="436"/>
      <c r="EX301" s="436"/>
      <c r="EY301" s="436"/>
      <c r="EZ301" s="440"/>
      <c r="FZ301" s="439"/>
      <c r="GA301" s="436"/>
      <c r="GB301" s="436"/>
      <c r="GC301" s="436"/>
      <c r="GD301" s="436"/>
      <c r="GE301" s="436"/>
      <c r="GF301" s="436"/>
      <c r="GG301" s="436"/>
      <c r="GH301" s="436"/>
      <c r="GI301" s="436"/>
      <c r="GJ301" s="436"/>
      <c r="GK301" s="436"/>
      <c r="GL301" s="436"/>
      <c r="GM301" s="436"/>
      <c r="GN301" s="436"/>
      <c r="GO301" s="436"/>
      <c r="GP301" s="436"/>
      <c r="GQ301" s="436"/>
      <c r="GR301" s="436"/>
      <c r="GS301" s="436"/>
      <c r="GT301" s="436"/>
      <c r="GU301" s="436"/>
      <c r="GV301" s="436"/>
      <c r="GW301" s="436"/>
      <c r="GX301" s="440"/>
    </row>
    <row r="302" spans="132:206" ht="24" customHeight="1">
      <c r="EB302" s="439"/>
      <c r="EC302" s="436"/>
      <c r="ED302" s="436"/>
      <c r="EE302" s="436"/>
      <c r="EF302" s="436"/>
      <c r="EG302" s="436"/>
      <c r="EH302" s="436"/>
      <c r="EI302" s="436"/>
      <c r="EJ302" s="436"/>
      <c r="EK302" s="436"/>
      <c r="EL302" s="436"/>
      <c r="EM302" s="436"/>
      <c r="EN302" s="436"/>
      <c r="EO302" s="436"/>
      <c r="EP302" s="436"/>
      <c r="EQ302" s="436"/>
      <c r="ER302" s="436"/>
      <c r="ES302" s="436"/>
      <c r="ET302" s="436"/>
      <c r="EU302" s="436"/>
      <c r="EV302" s="436"/>
      <c r="EW302" s="436"/>
      <c r="EX302" s="436"/>
      <c r="EY302" s="436"/>
      <c r="EZ302" s="440"/>
      <c r="FZ302" s="439"/>
      <c r="GA302" s="436"/>
      <c r="GB302" s="436"/>
      <c r="GC302" s="436"/>
      <c r="GD302" s="436"/>
      <c r="GE302" s="436"/>
      <c r="GF302" s="436"/>
      <c r="GG302" s="436"/>
      <c r="GH302" s="436"/>
      <c r="GI302" s="436"/>
      <c r="GJ302" s="436"/>
      <c r="GK302" s="436"/>
      <c r="GL302" s="436"/>
      <c r="GM302" s="436"/>
      <c r="GN302" s="436"/>
      <c r="GO302" s="436"/>
      <c r="GP302" s="436"/>
      <c r="GQ302" s="436"/>
      <c r="GR302" s="436"/>
      <c r="GS302" s="436"/>
      <c r="GT302" s="436"/>
      <c r="GU302" s="436"/>
      <c r="GV302" s="436"/>
      <c r="GW302" s="436"/>
      <c r="GX302" s="440"/>
    </row>
    <row r="303" spans="132:206" ht="24" customHeight="1" thickBot="1">
      <c r="EB303" s="439"/>
      <c r="EC303" s="441"/>
      <c r="ED303" s="441"/>
      <c r="EE303" s="441"/>
      <c r="EF303" s="436"/>
      <c r="EG303" s="436"/>
      <c r="EH303" s="436"/>
      <c r="EI303" s="436"/>
      <c r="EJ303" s="436"/>
      <c r="EK303" s="436"/>
      <c r="EL303" s="436"/>
      <c r="EM303" s="436"/>
      <c r="EN303" s="436"/>
      <c r="EO303" s="436"/>
      <c r="EP303" s="436"/>
      <c r="EQ303" s="436"/>
      <c r="ER303" s="436"/>
      <c r="ES303" s="436"/>
      <c r="ET303" s="436"/>
      <c r="EU303" s="436"/>
      <c r="EV303" s="436"/>
      <c r="EW303" s="436"/>
      <c r="EX303" s="436"/>
      <c r="EY303" s="436"/>
      <c r="EZ303" s="440"/>
      <c r="FZ303" s="439"/>
      <c r="GA303" s="441"/>
      <c r="GB303" s="441"/>
      <c r="GC303" s="441"/>
      <c r="GD303" s="436"/>
      <c r="GE303" s="436"/>
      <c r="GF303" s="436"/>
      <c r="GG303" s="436"/>
      <c r="GH303" s="436"/>
      <c r="GI303" s="436"/>
      <c r="GJ303" s="436"/>
      <c r="GK303" s="436"/>
      <c r="GL303" s="436"/>
      <c r="GM303" s="436"/>
      <c r="GN303" s="436"/>
      <c r="GO303" s="436"/>
      <c r="GP303" s="436"/>
      <c r="GQ303" s="436"/>
      <c r="GR303" s="436"/>
      <c r="GS303" s="436"/>
      <c r="GT303" s="436"/>
      <c r="GU303" s="436"/>
      <c r="GV303" s="436"/>
      <c r="GW303" s="436"/>
      <c r="GX303" s="440"/>
    </row>
    <row r="304" spans="132:206" ht="24" customHeight="1" thickBot="1">
      <c r="EB304" s="444"/>
      <c r="EC304" s="1917" t="str">
        <f>'Вывод расчетов'!$CC$9</f>
        <v>Раздел 3</v>
      </c>
      <c r="ED304" s="1915"/>
      <c r="EE304" s="1915"/>
      <c r="EF304" s="445"/>
      <c r="EG304" s="1917" t="str">
        <f>'Вывод расчетов'!$CF$9</f>
        <v>Расчет обмотки статора</v>
      </c>
      <c r="EH304" s="1915"/>
      <c r="EI304" s="1915"/>
      <c r="EJ304" s="1915"/>
      <c r="EK304" s="1915"/>
      <c r="EL304" s="1915"/>
      <c r="EM304" s="1915"/>
      <c r="EN304" s="1915"/>
      <c r="EO304" s="1915"/>
      <c r="EP304" s="1915"/>
      <c r="EQ304" s="1915"/>
      <c r="ER304" s="1918"/>
      <c r="ES304" s="445"/>
      <c r="ET304" s="1917" t="s">
        <v>1502</v>
      </c>
      <c r="EU304" s="1915"/>
      <c r="EV304" s="1918"/>
      <c r="EW304" s="445"/>
      <c r="EX304" s="1917">
        <v>11</v>
      </c>
      <c r="EY304" s="1918"/>
      <c r="EZ304" s="446"/>
      <c r="FZ304" s="444"/>
      <c r="GA304" s="1917" t="str">
        <f>'Вывод расчетов'!$CC$9</f>
        <v>Раздел 3</v>
      </c>
      <c r="GB304" s="1915"/>
      <c r="GC304" s="1915"/>
      <c r="GD304" s="445"/>
      <c r="GE304" s="1917" t="str">
        <f>'Вывод расчетов'!$CF$9</f>
        <v>Расчет обмотки статора</v>
      </c>
      <c r="GF304" s="1915"/>
      <c r="GG304" s="1915"/>
      <c r="GH304" s="1915"/>
      <c r="GI304" s="1915"/>
      <c r="GJ304" s="1915"/>
      <c r="GK304" s="1915"/>
      <c r="GL304" s="1915"/>
      <c r="GM304" s="1915"/>
      <c r="GN304" s="1915"/>
      <c r="GO304" s="1915"/>
      <c r="GP304" s="1918"/>
      <c r="GQ304" s="445"/>
      <c r="GR304" s="1917" t="s">
        <v>1502</v>
      </c>
      <c r="GS304" s="1915"/>
      <c r="GT304" s="1918"/>
      <c r="GU304" s="445"/>
      <c r="GV304" s="1917">
        <v>11</v>
      </c>
      <c r="GW304" s="1918"/>
      <c r="GX304" s="446"/>
    </row>
    <row r="305" spans="182:206" ht="24" customHeight="1" thickBot="1">
      <c r="FZ305" s="1914" t="s">
        <v>1230</v>
      </c>
      <c r="GA305" s="1915"/>
      <c r="GB305" s="1915"/>
      <c r="GC305" s="1915"/>
      <c r="GD305" s="1915"/>
      <c r="GE305" s="1915"/>
      <c r="GF305" s="1915"/>
      <c r="GG305" s="1915"/>
      <c r="GH305" s="1915"/>
      <c r="GI305" s="1915"/>
      <c r="GJ305" s="1915"/>
      <c r="GK305" s="1915"/>
      <c r="GL305" s="1915"/>
      <c r="GM305" s="1915"/>
      <c r="GN305" s="1915"/>
      <c r="GO305" s="1915"/>
      <c r="GP305" s="1915"/>
      <c r="GQ305" s="1915"/>
      <c r="GR305" s="1915"/>
      <c r="GS305" s="1915"/>
      <c r="GT305" s="1915"/>
      <c r="GU305" s="1915"/>
      <c r="GV305" s="1915"/>
      <c r="GW305" s="1915"/>
      <c r="GX305" s="1916"/>
    </row>
    <row r="306" spans="182:206" ht="24" customHeight="1">
      <c r="FZ306" s="437"/>
      <c r="GA306" s="438"/>
      <c r="GB306" s="438"/>
      <c r="GC306" s="438"/>
      <c r="GD306" s="438"/>
      <c r="GE306" s="438"/>
      <c r="GF306" s="438"/>
      <c r="GG306" s="438"/>
      <c r="GH306" s="438"/>
      <c r="GI306" s="438"/>
      <c r="GJ306" s="438"/>
      <c r="GK306" s="438"/>
      <c r="GL306" s="438"/>
      <c r="GM306" s="438"/>
      <c r="GN306" s="438"/>
      <c r="GO306" s="438"/>
      <c r="GP306" s="438"/>
      <c r="GQ306" s="438"/>
      <c r="GR306" s="438"/>
      <c r="GS306" s="438"/>
      <c r="GT306" s="438"/>
      <c r="GU306" s="438"/>
      <c r="GV306" s="438"/>
      <c r="GW306" s="438"/>
      <c r="GX306" s="447"/>
    </row>
    <row r="307" spans="182:206" ht="24" customHeight="1">
      <c r="FZ307" s="439"/>
      <c r="GA307" s="436"/>
      <c r="GB307" s="436"/>
      <c r="GC307" s="436"/>
      <c r="GD307" s="436"/>
      <c r="GE307" s="436"/>
      <c r="GF307" s="436"/>
      <c r="GG307" s="436"/>
      <c r="GH307" s="436"/>
      <c r="GI307" s="436"/>
      <c r="GJ307" s="436"/>
      <c r="GK307" s="436"/>
      <c r="GL307" s="436"/>
      <c r="GM307" s="436"/>
      <c r="GN307" s="436"/>
      <c r="GO307" s="436"/>
      <c r="GP307" s="436"/>
      <c r="GQ307" s="436"/>
      <c r="GR307" s="436"/>
      <c r="GS307" s="436"/>
      <c r="GT307" s="436"/>
      <c r="GU307" s="436"/>
      <c r="GV307" s="436"/>
      <c r="GW307" s="436"/>
      <c r="GX307" s="440"/>
    </row>
    <row r="308" spans="182:206" ht="24" customHeight="1">
      <c r="FZ308" s="439"/>
      <c r="GA308" s="436"/>
      <c r="GB308" s="436"/>
      <c r="GC308" s="436"/>
      <c r="GD308" s="436"/>
      <c r="GE308" s="436"/>
      <c r="GF308" s="436"/>
      <c r="GG308" s="436"/>
      <c r="GH308" s="436"/>
      <c r="GI308" s="436"/>
      <c r="GJ308" s="436"/>
      <c r="GK308" s="436"/>
      <c r="GL308" s="436"/>
      <c r="GM308" s="436"/>
      <c r="GN308" s="436"/>
      <c r="GO308" s="436"/>
      <c r="GP308" s="436"/>
      <c r="GQ308" s="436"/>
      <c r="GR308" s="436"/>
      <c r="GS308" s="436"/>
      <c r="GT308" s="436"/>
      <c r="GU308" s="436"/>
      <c r="GV308" s="436"/>
      <c r="GW308" s="436"/>
      <c r="GX308" s="440"/>
    </row>
    <row r="309" spans="182:206" ht="24" customHeight="1">
      <c r="FZ309" s="439"/>
      <c r="GA309" s="436"/>
      <c r="GB309" s="436"/>
      <c r="GC309" s="436"/>
      <c r="GD309" s="436"/>
      <c r="GE309" s="436"/>
      <c r="GF309" s="436"/>
      <c r="GG309" s="436"/>
      <c r="GH309" s="436"/>
      <c r="GI309" s="436"/>
      <c r="GJ309" s="436"/>
      <c r="GK309" s="436"/>
      <c r="GL309" s="436"/>
      <c r="GM309" s="436"/>
      <c r="GN309" s="436"/>
      <c r="GO309" s="436"/>
      <c r="GP309" s="436"/>
      <c r="GQ309" s="436"/>
      <c r="GR309" s="436"/>
      <c r="GS309" s="436"/>
      <c r="GT309" s="436"/>
      <c r="GU309" s="436"/>
      <c r="GV309" s="436"/>
      <c r="GW309" s="436"/>
      <c r="GX309" s="440"/>
    </row>
    <row r="310" spans="182:206" ht="24" customHeight="1">
      <c r="FZ310" s="439"/>
      <c r="GA310" s="436"/>
      <c r="GB310" s="436"/>
      <c r="GC310" s="436"/>
      <c r="GD310" s="436"/>
      <c r="GE310" s="436"/>
      <c r="GF310" s="436"/>
      <c r="GG310" s="436"/>
      <c r="GH310" s="436"/>
      <c r="GI310" s="436"/>
      <c r="GJ310" s="436"/>
      <c r="GK310" s="436"/>
      <c r="GL310" s="436"/>
      <c r="GM310" s="436"/>
      <c r="GN310" s="436"/>
      <c r="GO310" s="436"/>
      <c r="GP310" s="436"/>
      <c r="GQ310" s="436"/>
      <c r="GR310" s="436"/>
      <c r="GS310" s="436"/>
      <c r="GT310" s="436"/>
      <c r="GU310" s="436"/>
      <c r="GV310" s="436"/>
      <c r="GW310" s="436"/>
      <c r="GX310" s="440"/>
    </row>
    <row r="311" spans="182:206" ht="24" customHeight="1">
      <c r="FZ311" s="439"/>
      <c r="GA311" s="436"/>
      <c r="GB311" s="436"/>
      <c r="GC311" s="436"/>
      <c r="GD311" s="436"/>
      <c r="GE311" s="436"/>
      <c r="GF311" s="436"/>
      <c r="GG311" s="436"/>
      <c r="GH311" s="436"/>
      <c r="GI311" s="436"/>
      <c r="GJ311" s="436"/>
      <c r="GK311" s="436"/>
      <c r="GL311" s="436"/>
      <c r="GM311" s="436"/>
      <c r="GN311" s="436"/>
      <c r="GO311" s="436"/>
      <c r="GP311" s="436"/>
      <c r="GQ311" s="436"/>
      <c r="GR311" s="436"/>
      <c r="GS311" s="436"/>
      <c r="GT311" s="436"/>
      <c r="GU311" s="436"/>
      <c r="GV311" s="436"/>
      <c r="GW311" s="436"/>
      <c r="GX311" s="440"/>
    </row>
    <row r="312" spans="182:206" ht="24" customHeight="1">
      <c r="FZ312" s="439"/>
      <c r="GA312" s="436"/>
      <c r="GB312" s="436"/>
      <c r="GC312" s="436"/>
      <c r="GD312" s="436"/>
      <c r="GE312" s="436"/>
      <c r="GF312" s="436"/>
      <c r="GG312" s="436"/>
      <c r="GH312" s="436"/>
      <c r="GI312" s="436"/>
      <c r="GJ312" s="436"/>
      <c r="GK312" s="436"/>
      <c r="GL312" s="436"/>
      <c r="GM312" s="436"/>
      <c r="GN312" s="436"/>
      <c r="GO312" s="436"/>
      <c r="GP312" s="436"/>
      <c r="GQ312" s="436"/>
      <c r="GR312" s="436"/>
      <c r="GS312" s="436"/>
      <c r="GT312" s="436"/>
      <c r="GU312" s="436"/>
      <c r="GV312" s="436"/>
      <c r="GW312" s="436"/>
      <c r="GX312" s="440"/>
    </row>
    <row r="313" spans="182:206" ht="24" customHeight="1">
      <c r="FZ313" s="439"/>
      <c r="GA313" s="436"/>
      <c r="GB313" s="436"/>
      <c r="GC313" s="436"/>
      <c r="GD313" s="436"/>
      <c r="GE313" s="436"/>
      <c r="GF313" s="436"/>
      <c r="GG313" s="436"/>
      <c r="GH313" s="436"/>
      <c r="GI313" s="436"/>
      <c r="GJ313" s="436"/>
      <c r="GK313" s="436"/>
      <c r="GL313" s="436"/>
      <c r="GM313" s="436"/>
      <c r="GN313" s="436"/>
      <c r="GO313" s="436"/>
      <c r="GP313" s="436"/>
      <c r="GQ313" s="436"/>
      <c r="GR313" s="436"/>
      <c r="GS313" s="436"/>
      <c r="GT313" s="436"/>
      <c r="GU313" s="436"/>
      <c r="GV313" s="436"/>
      <c r="GW313" s="436"/>
      <c r="GX313" s="440"/>
    </row>
    <row r="314" spans="182:206" ht="24" customHeight="1">
      <c r="FZ314" s="439"/>
      <c r="GA314" s="436"/>
      <c r="GB314" s="436"/>
      <c r="GC314" s="436"/>
      <c r="GD314" s="436"/>
      <c r="GE314" s="436"/>
      <c r="GF314" s="436"/>
      <c r="GG314" s="436"/>
      <c r="GH314" s="436"/>
      <c r="GI314" s="436"/>
      <c r="GJ314" s="436"/>
      <c r="GK314" s="436"/>
      <c r="GL314" s="436"/>
      <c r="GM314" s="436"/>
      <c r="GN314" s="436"/>
      <c r="GO314" s="436"/>
      <c r="GP314" s="436"/>
      <c r="GQ314" s="436"/>
      <c r="GR314" s="436"/>
      <c r="GS314" s="436"/>
      <c r="GT314" s="436"/>
      <c r="GU314" s="436"/>
      <c r="GV314" s="436"/>
      <c r="GW314" s="436"/>
      <c r="GX314" s="440"/>
    </row>
    <row r="315" spans="182:206" ht="24" customHeight="1">
      <c r="FZ315" s="439"/>
      <c r="GA315" s="436"/>
      <c r="GB315" s="436"/>
      <c r="GC315" s="436"/>
      <c r="GD315" s="436"/>
      <c r="GE315" s="436"/>
      <c r="GF315" s="436"/>
      <c r="GG315" s="436"/>
      <c r="GH315" s="436"/>
      <c r="GI315" s="436"/>
      <c r="GJ315" s="436"/>
      <c r="GK315" s="436"/>
      <c r="GL315" s="436"/>
      <c r="GM315" s="436"/>
      <c r="GN315" s="436"/>
      <c r="GO315" s="436"/>
      <c r="GP315" s="436"/>
      <c r="GQ315" s="436"/>
      <c r="GR315" s="436"/>
      <c r="GS315" s="436"/>
      <c r="GT315" s="436"/>
      <c r="GU315" s="436"/>
      <c r="GV315" s="436"/>
      <c r="GW315" s="436"/>
      <c r="GX315" s="440"/>
    </row>
    <row r="316" spans="182:206" ht="24" customHeight="1">
      <c r="FZ316" s="439"/>
      <c r="GA316" s="436"/>
      <c r="GB316" s="436"/>
      <c r="GC316" s="436"/>
      <c r="GD316" s="436"/>
      <c r="GE316" s="436"/>
      <c r="GF316" s="436"/>
      <c r="GG316" s="436"/>
      <c r="GH316" s="436"/>
      <c r="GI316" s="436"/>
      <c r="GJ316" s="436"/>
      <c r="GK316" s="436"/>
      <c r="GL316" s="436"/>
      <c r="GM316" s="436"/>
      <c r="GN316" s="436"/>
      <c r="GO316" s="436"/>
      <c r="GP316" s="436"/>
      <c r="GQ316" s="436"/>
      <c r="GR316" s="436"/>
      <c r="GS316" s="436"/>
      <c r="GT316" s="436"/>
      <c r="GU316" s="436"/>
      <c r="GV316" s="436"/>
      <c r="GW316" s="436"/>
      <c r="GX316" s="440"/>
    </row>
    <row r="317" spans="182:206" ht="24" customHeight="1">
      <c r="FZ317" s="439"/>
      <c r="GA317" s="436"/>
      <c r="GB317" s="436"/>
      <c r="GC317" s="436"/>
      <c r="GD317" s="436"/>
      <c r="GE317" s="436"/>
      <c r="GF317" s="436"/>
      <c r="GG317" s="436"/>
      <c r="GH317" s="436"/>
      <c r="GI317" s="436"/>
      <c r="GJ317" s="436"/>
      <c r="GK317" s="436"/>
      <c r="GL317" s="436"/>
      <c r="GM317" s="436"/>
      <c r="GN317" s="436"/>
      <c r="GO317" s="436"/>
      <c r="GP317" s="436"/>
      <c r="GQ317" s="436"/>
      <c r="GR317" s="436"/>
      <c r="GS317" s="436"/>
      <c r="GT317" s="436"/>
      <c r="GU317" s="436"/>
      <c r="GV317" s="436"/>
      <c r="GW317" s="436"/>
      <c r="GX317" s="440"/>
    </row>
    <row r="318" spans="182:206" ht="24" customHeight="1">
      <c r="FZ318" s="439"/>
      <c r="GA318" s="436"/>
      <c r="GB318" s="436"/>
      <c r="GC318" s="436"/>
      <c r="GD318" s="436"/>
      <c r="GE318" s="436"/>
      <c r="GF318" s="436"/>
      <c r="GG318" s="436"/>
      <c r="GH318" s="436"/>
      <c r="GI318" s="436"/>
      <c r="GJ318" s="436"/>
      <c r="GK318" s="436"/>
      <c r="GL318" s="436"/>
      <c r="GM318" s="436"/>
      <c r="GN318" s="436"/>
      <c r="GO318" s="436"/>
      <c r="GP318" s="436"/>
      <c r="GQ318" s="436"/>
      <c r="GR318" s="436"/>
      <c r="GS318" s="436"/>
      <c r="GT318" s="436"/>
      <c r="GU318" s="436"/>
      <c r="GV318" s="436"/>
      <c r="GW318" s="436"/>
      <c r="GX318" s="440"/>
    </row>
    <row r="319" spans="182:206" ht="24" customHeight="1">
      <c r="FZ319" s="439"/>
      <c r="GA319" s="436"/>
      <c r="GB319" s="436"/>
      <c r="GC319" s="436"/>
      <c r="GD319" s="436"/>
      <c r="GE319" s="436"/>
      <c r="GF319" s="436"/>
      <c r="GG319" s="436"/>
      <c r="GH319" s="436"/>
      <c r="GI319" s="436"/>
      <c r="GJ319" s="436"/>
      <c r="GK319" s="436"/>
      <c r="GL319" s="436"/>
      <c r="GM319" s="436"/>
      <c r="GN319" s="436"/>
      <c r="GO319" s="436"/>
      <c r="GP319" s="436"/>
      <c r="GQ319" s="436"/>
      <c r="GR319" s="436"/>
      <c r="GS319" s="436"/>
      <c r="GT319" s="436"/>
      <c r="GU319" s="436"/>
      <c r="GV319" s="436"/>
      <c r="GW319" s="436"/>
      <c r="GX319" s="440"/>
    </row>
    <row r="320" spans="182:206" ht="24" customHeight="1">
      <c r="FZ320" s="439"/>
      <c r="GA320" s="436"/>
      <c r="GB320" s="436"/>
      <c r="GC320" s="436"/>
      <c r="GD320" s="436"/>
      <c r="GE320" s="436"/>
      <c r="GF320" s="436"/>
      <c r="GG320" s="436"/>
      <c r="GH320" s="436"/>
      <c r="GI320" s="436"/>
      <c r="GJ320" s="436"/>
      <c r="GK320" s="436"/>
      <c r="GL320" s="436"/>
      <c r="GM320" s="436"/>
      <c r="GN320" s="436"/>
      <c r="GO320" s="436"/>
      <c r="GP320" s="436"/>
      <c r="GQ320" s="436"/>
      <c r="GR320" s="436"/>
      <c r="GS320" s="436"/>
      <c r="GT320" s="436"/>
      <c r="GU320" s="436"/>
      <c r="GV320" s="436"/>
      <c r="GW320" s="436"/>
      <c r="GX320" s="440"/>
    </row>
    <row r="321" spans="182:206" ht="24" customHeight="1">
      <c r="FZ321" s="439"/>
      <c r="GA321" s="436"/>
      <c r="GB321" s="436"/>
      <c r="GC321" s="436"/>
      <c r="GD321" s="436"/>
      <c r="GE321" s="436"/>
      <c r="GF321" s="436"/>
      <c r="GG321" s="436"/>
      <c r="GH321" s="436"/>
      <c r="GI321" s="436"/>
      <c r="GJ321" s="436"/>
      <c r="GK321" s="436"/>
      <c r="GL321" s="436"/>
      <c r="GM321" s="436"/>
      <c r="GN321" s="436"/>
      <c r="GO321" s="436"/>
      <c r="GP321" s="436"/>
      <c r="GQ321" s="436"/>
      <c r="GR321" s="436"/>
      <c r="GS321" s="436"/>
      <c r="GT321" s="436"/>
      <c r="GU321" s="436"/>
      <c r="GV321" s="436"/>
      <c r="GW321" s="436"/>
      <c r="GX321" s="440"/>
    </row>
    <row r="322" spans="182:206" ht="24" customHeight="1" thickBot="1">
      <c r="FZ322" s="439"/>
      <c r="GA322" s="441"/>
      <c r="GB322" s="441"/>
      <c r="GC322" s="441"/>
      <c r="GD322" s="436"/>
      <c r="GE322" s="436"/>
      <c r="GF322" s="436"/>
      <c r="GG322" s="436"/>
      <c r="GH322" s="436"/>
      <c r="GI322" s="436"/>
      <c r="GJ322" s="436"/>
      <c r="GK322" s="436"/>
      <c r="GL322" s="436"/>
      <c r="GM322" s="436"/>
      <c r="GN322" s="436"/>
      <c r="GO322" s="436"/>
      <c r="GP322" s="436"/>
      <c r="GQ322" s="436"/>
      <c r="GR322" s="436"/>
      <c r="GS322" s="436"/>
      <c r="GT322" s="436"/>
      <c r="GU322" s="436"/>
      <c r="GV322" s="436"/>
      <c r="GW322" s="436"/>
      <c r="GX322" s="440"/>
    </row>
    <row r="323" spans="182:206" ht="24" customHeight="1" thickBot="1">
      <c r="FZ323" s="444"/>
      <c r="GA323" s="1917" t="str">
        <f>'Вывод расчетов'!$CC$9</f>
        <v>Раздел 3</v>
      </c>
      <c r="GB323" s="1915"/>
      <c r="GC323" s="1915"/>
      <c r="GD323" s="445"/>
      <c r="GE323" s="1917" t="str">
        <f>'Вывод расчетов'!$CF$9</f>
        <v>Расчет обмотки статора</v>
      </c>
      <c r="GF323" s="1915"/>
      <c r="GG323" s="1915"/>
      <c r="GH323" s="1915"/>
      <c r="GI323" s="1915"/>
      <c r="GJ323" s="1915"/>
      <c r="GK323" s="1915"/>
      <c r="GL323" s="1915"/>
      <c r="GM323" s="1915"/>
      <c r="GN323" s="1915"/>
      <c r="GO323" s="1915"/>
      <c r="GP323" s="1918"/>
      <c r="GQ323" s="445"/>
      <c r="GR323" s="1917" t="s">
        <v>1502</v>
      </c>
      <c r="GS323" s="1915"/>
      <c r="GT323" s="1918"/>
      <c r="GU323" s="445"/>
      <c r="GV323" s="1917">
        <v>11</v>
      </c>
      <c r="GW323" s="1918"/>
      <c r="GX323" s="446"/>
    </row>
    <row r="324" spans="182:206" ht="24" customHeight="1" thickBot="1">
      <c r="FZ324" s="1914" t="s">
        <v>1230</v>
      </c>
      <c r="GA324" s="1915"/>
      <c r="GB324" s="1915"/>
      <c r="GC324" s="1915"/>
      <c r="GD324" s="1915"/>
      <c r="GE324" s="1915"/>
      <c r="GF324" s="1915"/>
      <c r="GG324" s="1915"/>
      <c r="GH324" s="1915"/>
      <c r="GI324" s="1915"/>
      <c r="GJ324" s="1915"/>
      <c r="GK324" s="1915"/>
      <c r="GL324" s="1915"/>
      <c r="GM324" s="1915"/>
      <c r="GN324" s="1915"/>
      <c r="GO324" s="1915"/>
      <c r="GP324" s="1915"/>
      <c r="GQ324" s="1915"/>
      <c r="GR324" s="1915"/>
      <c r="GS324" s="1915"/>
      <c r="GT324" s="1915"/>
      <c r="GU324" s="1915"/>
      <c r="GV324" s="1915"/>
      <c r="GW324" s="1915"/>
      <c r="GX324" s="1916"/>
    </row>
    <row r="325" spans="182:206" ht="24" customHeight="1">
      <c r="FZ325" s="437"/>
      <c r="GA325" s="438"/>
      <c r="GB325" s="438"/>
      <c r="GC325" s="438"/>
      <c r="GD325" s="438"/>
      <c r="GE325" s="438"/>
      <c r="GF325" s="438"/>
      <c r="GG325" s="438"/>
      <c r="GH325" s="438"/>
      <c r="GI325" s="438"/>
      <c r="GJ325" s="438"/>
      <c r="GK325" s="438"/>
      <c r="GL325" s="438"/>
      <c r="GM325" s="438"/>
      <c r="GN325" s="438"/>
      <c r="GO325" s="438"/>
      <c r="GP325" s="438"/>
      <c r="GQ325" s="438"/>
      <c r="GR325" s="438"/>
      <c r="GS325" s="438"/>
      <c r="GT325" s="438"/>
      <c r="GU325" s="438"/>
      <c r="GV325" s="438"/>
      <c r="GW325" s="438"/>
      <c r="GX325" s="447"/>
    </row>
    <row r="326" spans="182:206" ht="24" customHeight="1">
      <c r="FZ326" s="439"/>
      <c r="GA326" s="436"/>
      <c r="GB326" s="436"/>
      <c r="GC326" s="436"/>
      <c r="GD326" s="436"/>
      <c r="GE326" s="436"/>
      <c r="GF326" s="436"/>
      <c r="GG326" s="436"/>
      <c r="GH326" s="436"/>
      <c r="GI326" s="436"/>
      <c r="GJ326" s="436"/>
      <c r="GK326" s="436"/>
      <c r="GL326" s="436"/>
      <c r="GM326" s="436"/>
      <c r="GN326" s="436"/>
      <c r="GO326" s="436"/>
      <c r="GP326" s="436"/>
      <c r="GQ326" s="436"/>
      <c r="GR326" s="436"/>
      <c r="GS326" s="436"/>
      <c r="GT326" s="436"/>
      <c r="GU326" s="436"/>
      <c r="GV326" s="436"/>
      <c r="GW326" s="436"/>
      <c r="GX326" s="440"/>
    </row>
    <row r="327" spans="182:206" ht="24" customHeight="1">
      <c r="FZ327" s="439"/>
      <c r="GA327" s="436"/>
      <c r="GB327" s="436"/>
      <c r="GC327" s="436"/>
      <c r="GD327" s="436"/>
      <c r="GE327" s="436"/>
      <c r="GF327" s="436"/>
      <c r="GG327" s="436"/>
      <c r="GH327" s="436"/>
      <c r="GI327" s="436"/>
      <c r="GJ327" s="436"/>
      <c r="GK327" s="436"/>
      <c r="GL327" s="436"/>
      <c r="GM327" s="436"/>
      <c r="GN327" s="436"/>
      <c r="GO327" s="436"/>
      <c r="GP327" s="436"/>
      <c r="GQ327" s="436"/>
      <c r="GR327" s="436"/>
      <c r="GS327" s="436"/>
      <c r="GT327" s="436"/>
      <c r="GU327" s="436"/>
      <c r="GV327" s="436"/>
      <c r="GW327" s="436"/>
      <c r="GX327" s="440"/>
    </row>
    <row r="328" spans="182:206" ht="24" customHeight="1">
      <c r="FZ328" s="439"/>
      <c r="GA328" s="436"/>
      <c r="GB328" s="436"/>
      <c r="GC328" s="436"/>
      <c r="GD328" s="436"/>
      <c r="GE328" s="436"/>
      <c r="GF328" s="436"/>
      <c r="GG328" s="436"/>
      <c r="GH328" s="436"/>
      <c r="GI328" s="436"/>
      <c r="GJ328" s="436"/>
      <c r="GK328" s="436"/>
      <c r="GL328" s="436"/>
      <c r="GM328" s="436"/>
      <c r="GN328" s="436"/>
      <c r="GO328" s="436"/>
      <c r="GP328" s="436"/>
      <c r="GQ328" s="436"/>
      <c r="GR328" s="436"/>
      <c r="GS328" s="436"/>
      <c r="GT328" s="436"/>
      <c r="GU328" s="436"/>
      <c r="GV328" s="436"/>
      <c r="GW328" s="436"/>
      <c r="GX328" s="440"/>
    </row>
    <row r="329" spans="182:206" ht="24" customHeight="1">
      <c r="FZ329" s="439"/>
      <c r="GA329" s="436"/>
      <c r="GB329" s="436"/>
      <c r="GC329" s="436"/>
      <c r="GD329" s="436"/>
      <c r="GE329" s="436"/>
      <c r="GF329" s="436"/>
      <c r="GG329" s="436"/>
      <c r="GH329" s="436"/>
      <c r="GI329" s="436"/>
      <c r="GJ329" s="436"/>
      <c r="GK329" s="436"/>
      <c r="GL329" s="436"/>
      <c r="GM329" s="436"/>
      <c r="GN329" s="436"/>
      <c r="GO329" s="436"/>
      <c r="GP329" s="436"/>
      <c r="GQ329" s="436"/>
      <c r="GR329" s="436"/>
      <c r="GS329" s="436"/>
      <c r="GT329" s="436"/>
      <c r="GU329" s="436"/>
      <c r="GV329" s="436"/>
      <c r="GW329" s="436"/>
      <c r="GX329" s="440"/>
    </row>
    <row r="330" spans="182:206" ht="24" customHeight="1">
      <c r="FZ330" s="439"/>
      <c r="GA330" s="436"/>
      <c r="GB330" s="436"/>
      <c r="GC330" s="436"/>
      <c r="GD330" s="436"/>
      <c r="GE330" s="436"/>
      <c r="GF330" s="436"/>
      <c r="GG330" s="436"/>
      <c r="GH330" s="436"/>
      <c r="GI330" s="436"/>
      <c r="GJ330" s="436"/>
      <c r="GK330" s="436"/>
      <c r="GL330" s="436"/>
      <c r="GM330" s="436"/>
      <c r="GN330" s="436"/>
      <c r="GO330" s="436"/>
      <c r="GP330" s="436"/>
      <c r="GQ330" s="436"/>
      <c r="GR330" s="436"/>
      <c r="GS330" s="436"/>
      <c r="GT330" s="436"/>
      <c r="GU330" s="436"/>
      <c r="GV330" s="436"/>
      <c r="GW330" s="436"/>
      <c r="GX330" s="440"/>
    </row>
    <row r="331" spans="182:206" ht="24" customHeight="1">
      <c r="FZ331" s="439"/>
      <c r="GA331" s="436"/>
      <c r="GB331" s="436"/>
      <c r="GC331" s="436"/>
      <c r="GD331" s="436"/>
      <c r="GE331" s="436"/>
      <c r="GF331" s="436"/>
      <c r="GG331" s="436"/>
      <c r="GH331" s="436"/>
      <c r="GI331" s="436"/>
      <c r="GJ331" s="436"/>
      <c r="GK331" s="436"/>
      <c r="GL331" s="436"/>
      <c r="GM331" s="436"/>
      <c r="GN331" s="436"/>
      <c r="GO331" s="436"/>
      <c r="GP331" s="436"/>
      <c r="GQ331" s="436"/>
      <c r="GR331" s="436"/>
      <c r="GS331" s="436"/>
      <c r="GT331" s="436"/>
      <c r="GU331" s="436"/>
      <c r="GV331" s="436"/>
      <c r="GW331" s="436"/>
      <c r="GX331" s="440"/>
    </row>
    <row r="332" spans="182:206" ht="24" customHeight="1">
      <c r="FZ332" s="439"/>
      <c r="GA332" s="436"/>
      <c r="GB332" s="436"/>
      <c r="GC332" s="436"/>
      <c r="GD332" s="436"/>
      <c r="GE332" s="436"/>
      <c r="GF332" s="436"/>
      <c r="GG332" s="436"/>
      <c r="GH332" s="436"/>
      <c r="GI332" s="436"/>
      <c r="GJ332" s="436"/>
      <c r="GK332" s="436"/>
      <c r="GL332" s="436"/>
      <c r="GM332" s="436"/>
      <c r="GN332" s="436"/>
      <c r="GO332" s="436"/>
      <c r="GP332" s="436"/>
      <c r="GQ332" s="436"/>
      <c r="GR332" s="436"/>
      <c r="GS332" s="436"/>
      <c r="GT332" s="436"/>
      <c r="GU332" s="436"/>
      <c r="GV332" s="436"/>
      <c r="GW332" s="436"/>
      <c r="GX332" s="440"/>
    </row>
    <row r="333" spans="182:206" ht="24" customHeight="1">
      <c r="FZ333" s="439"/>
      <c r="GA333" s="436"/>
      <c r="GB333" s="436"/>
      <c r="GC333" s="436"/>
      <c r="GD333" s="436"/>
      <c r="GE333" s="436"/>
      <c r="GF333" s="436"/>
      <c r="GG333" s="436"/>
      <c r="GH333" s="436"/>
      <c r="GI333" s="436"/>
      <c r="GJ333" s="436"/>
      <c r="GK333" s="436"/>
      <c r="GL333" s="436"/>
      <c r="GM333" s="436"/>
      <c r="GN333" s="436"/>
      <c r="GO333" s="436"/>
      <c r="GP333" s="436"/>
      <c r="GQ333" s="436"/>
      <c r="GR333" s="436"/>
      <c r="GS333" s="436"/>
      <c r="GT333" s="436"/>
      <c r="GU333" s="436"/>
      <c r="GV333" s="436"/>
      <c r="GW333" s="436"/>
      <c r="GX333" s="440"/>
    </row>
    <row r="334" spans="182:206" ht="24" customHeight="1">
      <c r="FZ334" s="439"/>
      <c r="GA334" s="436"/>
      <c r="GB334" s="436"/>
      <c r="GC334" s="436"/>
      <c r="GD334" s="436"/>
      <c r="GE334" s="436"/>
      <c r="GF334" s="436"/>
      <c r="GG334" s="436"/>
      <c r="GH334" s="436"/>
      <c r="GI334" s="436"/>
      <c r="GJ334" s="436"/>
      <c r="GK334" s="436"/>
      <c r="GL334" s="436"/>
      <c r="GM334" s="436"/>
      <c r="GN334" s="436"/>
      <c r="GO334" s="436"/>
      <c r="GP334" s="436"/>
      <c r="GQ334" s="436"/>
      <c r="GR334" s="436"/>
      <c r="GS334" s="436"/>
      <c r="GT334" s="436"/>
      <c r="GU334" s="436"/>
      <c r="GV334" s="436"/>
      <c r="GW334" s="436"/>
      <c r="GX334" s="440"/>
    </row>
    <row r="335" spans="182:206" ht="24" customHeight="1">
      <c r="FZ335" s="439"/>
      <c r="GA335" s="436"/>
      <c r="GB335" s="436"/>
      <c r="GC335" s="436"/>
      <c r="GD335" s="436"/>
      <c r="GE335" s="436"/>
      <c r="GF335" s="436"/>
      <c r="GG335" s="436"/>
      <c r="GH335" s="436"/>
      <c r="GI335" s="436"/>
      <c r="GJ335" s="436"/>
      <c r="GK335" s="436"/>
      <c r="GL335" s="436"/>
      <c r="GM335" s="436"/>
      <c r="GN335" s="436"/>
      <c r="GO335" s="436"/>
      <c r="GP335" s="436"/>
      <c r="GQ335" s="436"/>
      <c r="GR335" s="436"/>
      <c r="GS335" s="436"/>
      <c r="GT335" s="436"/>
      <c r="GU335" s="436"/>
      <c r="GV335" s="436"/>
      <c r="GW335" s="436"/>
      <c r="GX335" s="440"/>
    </row>
    <row r="336" spans="182:206" ht="24" customHeight="1">
      <c r="FZ336" s="439"/>
      <c r="GA336" s="436"/>
      <c r="GB336" s="436"/>
      <c r="GC336" s="436"/>
      <c r="GD336" s="436"/>
      <c r="GE336" s="436"/>
      <c r="GF336" s="436"/>
      <c r="GG336" s="436"/>
      <c r="GH336" s="436"/>
      <c r="GI336" s="436"/>
      <c r="GJ336" s="436"/>
      <c r="GK336" s="436"/>
      <c r="GL336" s="436"/>
      <c r="GM336" s="436"/>
      <c r="GN336" s="436"/>
      <c r="GO336" s="436"/>
      <c r="GP336" s="436"/>
      <c r="GQ336" s="436"/>
      <c r="GR336" s="436"/>
      <c r="GS336" s="436"/>
      <c r="GT336" s="436"/>
      <c r="GU336" s="436"/>
      <c r="GV336" s="436"/>
      <c r="GW336" s="436"/>
      <c r="GX336" s="440"/>
    </row>
    <row r="337" spans="182:206" ht="24" customHeight="1">
      <c r="FZ337" s="439"/>
      <c r="GA337" s="436"/>
      <c r="GB337" s="436"/>
      <c r="GC337" s="436"/>
      <c r="GD337" s="436"/>
      <c r="GE337" s="436"/>
      <c r="GF337" s="436"/>
      <c r="GG337" s="436"/>
      <c r="GH337" s="436"/>
      <c r="GI337" s="436"/>
      <c r="GJ337" s="436"/>
      <c r="GK337" s="436"/>
      <c r="GL337" s="436"/>
      <c r="GM337" s="436"/>
      <c r="GN337" s="436"/>
      <c r="GO337" s="436"/>
      <c r="GP337" s="436"/>
      <c r="GQ337" s="436"/>
      <c r="GR337" s="436"/>
      <c r="GS337" s="436"/>
      <c r="GT337" s="436"/>
      <c r="GU337" s="436"/>
      <c r="GV337" s="436"/>
      <c r="GW337" s="436"/>
      <c r="GX337" s="440"/>
    </row>
    <row r="338" spans="182:206" ht="24" customHeight="1">
      <c r="FZ338" s="439"/>
      <c r="GA338" s="436"/>
      <c r="GB338" s="436"/>
      <c r="GC338" s="436"/>
      <c r="GD338" s="436"/>
      <c r="GE338" s="436"/>
      <c r="GF338" s="436"/>
      <c r="GG338" s="436"/>
      <c r="GH338" s="436"/>
      <c r="GI338" s="436"/>
      <c r="GJ338" s="436"/>
      <c r="GK338" s="436"/>
      <c r="GL338" s="436"/>
      <c r="GM338" s="436"/>
      <c r="GN338" s="436"/>
      <c r="GO338" s="436"/>
      <c r="GP338" s="436"/>
      <c r="GQ338" s="436"/>
      <c r="GR338" s="436"/>
      <c r="GS338" s="436"/>
      <c r="GT338" s="436"/>
      <c r="GU338" s="436"/>
      <c r="GV338" s="436"/>
      <c r="GW338" s="436"/>
      <c r="GX338" s="440"/>
    </row>
    <row r="339" spans="182:206" ht="24" customHeight="1">
      <c r="FZ339" s="439"/>
      <c r="GA339" s="436"/>
      <c r="GB339" s="436"/>
      <c r="GC339" s="436"/>
      <c r="GD339" s="436"/>
      <c r="GE339" s="436"/>
      <c r="GF339" s="436"/>
      <c r="GG339" s="436"/>
      <c r="GH339" s="436"/>
      <c r="GI339" s="436"/>
      <c r="GJ339" s="436"/>
      <c r="GK339" s="436"/>
      <c r="GL339" s="436"/>
      <c r="GM339" s="436"/>
      <c r="GN339" s="436"/>
      <c r="GO339" s="436"/>
      <c r="GP339" s="436"/>
      <c r="GQ339" s="436"/>
      <c r="GR339" s="436"/>
      <c r="GS339" s="436"/>
      <c r="GT339" s="436"/>
      <c r="GU339" s="436"/>
      <c r="GV339" s="436"/>
      <c r="GW339" s="436"/>
      <c r="GX339" s="440"/>
    </row>
    <row r="340" spans="182:206" ht="24" customHeight="1">
      <c r="FZ340" s="439"/>
      <c r="GA340" s="436"/>
      <c r="GB340" s="436"/>
      <c r="GC340" s="436"/>
      <c r="GD340" s="436"/>
      <c r="GE340" s="436"/>
      <c r="GF340" s="436"/>
      <c r="GG340" s="436"/>
      <c r="GH340" s="436"/>
      <c r="GI340" s="436"/>
      <c r="GJ340" s="436"/>
      <c r="GK340" s="436"/>
      <c r="GL340" s="436"/>
      <c r="GM340" s="436"/>
      <c r="GN340" s="436"/>
      <c r="GO340" s="436"/>
      <c r="GP340" s="436"/>
      <c r="GQ340" s="436"/>
      <c r="GR340" s="436"/>
      <c r="GS340" s="436"/>
      <c r="GT340" s="436"/>
      <c r="GU340" s="436"/>
      <c r="GV340" s="436"/>
      <c r="GW340" s="436"/>
      <c r="GX340" s="440"/>
    </row>
    <row r="341" spans="182:206" ht="24" customHeight="1" thickBot="1">
      <c r="FZ341" s="439"/>
      <c r="GA341" s="441"/>
      <c r="GB341" s="441"/>
      <c r="GC341" s="441"/>
      <c r="GD341" s="436"/>
      <c r="GE341" s="436"/>
      <c r="GF341" s="436"/>
      <c r="GG341" s="436"/>
      <c r="GH341" s="436"/>
      <c r="GI341" s="436"/>
      <c r="GJ341" s="436"/>
      <c r="GK341" s="436"/>
      <c r="GL341" s="436"/>
      <c r="GM341" s="436"/>
      <c r="GN341" s="436"/>
      <c r="GO341" s="436"/>
      <c r="GP341" s="436"/>
      <c r="GQ341" s="436"/>
      <c r="GR341" s="436"/>
      <c r="GS341" s="436"/>
      <c r="GT341" s="436"/>
      <c r="GU341" s="436"/>
      <c r="GV341" s="436"/>
      <c r="GW341" s="436"/>
      <c r="GX341" s="440"/>
    </row>
    <row r="342" spans="182:206" ht="24" customHeight="1" thickBot="1">
      <c r="FZ342" s="444"/>
      <c r="GA342" s="1917" t="str">
        <f>'Вывод расчетов'!$CC$9</f>
        <v>Раздел 3</v>
      </c>
      <c r="GB342" s="1915"/>
      <c r="GC342" s="1915"/>
      <c r="GD342" s="445"/>
      <c r="GE342" s="1917" t="str">
        <f>'Вывод расчетов'!$CF$9</f>
        <v>Расчет обмотки статора</v>
      </c>
      <c r="GF342" s="1915"/>
      <c r="GG342" s="1915"/>
      <c r="GH342" s="1915"/>
      <c r="GI342" s="1915"/>
      <c r="GJ342" s="1915"/>
      <c r="GK342" s="1915"/>
      <c r="GL342" s="1915"/>
      <c r="GM342" s="1915"/>
      <c r="GN342" s="1915"/>
      <c r="GO342" s="1915"/>
      <c r="GP342" s="1918"/>
      <c r="GQ342" s="445"/>
      <c r="GR342" s="1917" t="s">
        <v>1502</v>
      </c>
      <c r="GS342" s="1915"/>
      <c r="GT342" s="1918"/>
      <c r="GU342" s="445"/>
      <c r="GV342" s="1917">
        <v>11</v>
      </c>
      <c r="GW342" s="1918"/>
      <c r="GX342" s="446"/>
    </row>
    <row r="343" spans="182:206" ht="24" customHeight="1" thickBot="1">
      <c r="FZ343" s="1914" t="s">
        <v>1230</v>
      </c>
      <c r="GA343" s="1915"/>
      <c r="GB343" s="1915"/>
      <c r="GC343" s="1915"/>
      <c r="GD343" s="1915"/>
      <c r="GE343" s="1915"/>
      <c r="GF343" s="1915"/>
      <c r="GG343" s="1915"/>
      <c r="GH343" s="1915"/>
      <c r="GI343" s="1915"/>
      <c r="GJ343" s="1915"/>
      <c r="GK343" s="1915"/>
      <c r="GL343" s="1915"/>
      <c r="GM343" s="1915"/>
      <c r="GN343" s="1915"/>
      <c r="GO343" s="1915"/>
      <c r="GP343" s="1915"/>
      <c r="GQ343" s="1915"/>
      <c r="GR343" s="1915"/>
      <c r="GS343" s="1915"/>
      <c r="GT343" s="1915"/>
      <c r="GU343" s="1915"/>
      <c r="GV343" s="1915"/>
      <c r="GW343" s="1915"/>
      <c r="GX343" s="1916"/>
    </row>
    <row r="344" spans="182:206" ht="24" customHeight="1">
      <c r="FZ344" s="437"/>
      <c r="GA344" s="438"/>
      <c r="GB344" s="438"/>
      <c r="GC344" s="438"/>
      <c r="GD344" s="438"/>
      <c r="GE344" s="438"/>
      <c r="GF344" s="438"/>
      <c r="GG344" s="438"/>
      <c r="GH344" s="438"/>
      <c r="GI344" s="438"/>
      <c r="GJ344" s="438"/>
      <c r="GK344" s="438"/>
      <c r="GL344" s="438"/>
      <c r="GM344" s="438"/>
      <c r="GN344" s="438"/>
      <c r="GO344" s="438"/>
      <c r="GP344" s="438"/>
      <c r="GQ344" s="438"/>
      <c r="GR344" s="438"/>
      <c r="GS344" s="438"/>
      <c r="GT344" s="438"/>
      <c r="GU344" s="438"/>
      <c r="GV344" s="438"/>
      <c r="GW344" s="438"/>
      <c r="GX344" s="447"/>
    </row>
    <row r="345" spans="182:206" ht="24" customHeight="1">
      <c r="FZ345" s="439"/>
      <c r="GA345" s="436"/>
      <c r="GB345" s="436"/>
      <c r="GC345" s="436"/>
      <c r="GD345" s="436"/>
      <c r="GE345" s="436"/>
      <c r="GF345" s="436"/>
      <c r="GG345" s="436"/>
      <c r="GH345" s="436"/>
      <c r="GI345" s="436"/>
      <c r="GJ345" s="436"/>
      <c r="GK345" s="436"/>
      <c r="GL345" s="436"/>
      <c r="GM345" s="436"/>
      <c r="GN345" s="436"/>
      <c r="GO345" s="436"/>
      <c r="GP345" s="436"/>
      <c r="GQ345" s="436"/>
      <c r="GR345" s="436"/>
      <c r="GS345" s="436"/>
      <c r="GT345" s="436"/>
      <c r="GU345" s="436"/>
      <c r="GV345" s="436"/>
      <c r="GW345" s="436"/>
      <c r="GX345" s="440"/>
    </row>
    <row r="346" spans="182:206" ht="24" customHeight="1">
      <c r="FZ346" s="439"/>
      <c r="GA346" s="436"/>
      <c r="GB346" s="436"/>
      <c r="GC346" s="436"/>
      <c r="GD346" s="436"/>
      <c r="GE346" s="436"/>
      <c r="GF346" s="436"/>
      <c r="GG346" s="436"/>
      <c r="GH346" s="436"/>
      <c r="GI346" s="436"/>
      <c r="GJ346" s="436"/>
      <c r="GK346" s="436"/>
      <c r="GL346" s="436"/>
      <c r="GM346" s="436"/>
      <c r="GN346" s="436"/>
      <c r="GO346" s="436"/>
      <c r="GP346" s="436"/>
      <c r="GQ346" s="436"/>
      <c r="GR346" s="436"/>
      <c r="GS346" s="436"/>
      <c r="GT346" s="436"/>
      <c r="GU346" s="436"/>
      <c r="GV346" s="436"/>
      <c r="GW346" s="436"/>
      <c r="GX346" s="440"/>
    </row>
    <row r="347" spans="182:206" ht="24" customHeight="1">
      <c r="FZ347" s="439"/>
      <c r="GA347" s="436"/>
      <c r="GB347" s="436"/>
      <c r="GC347" s="436"/>
      <c r="GD347" s="436"/>
      <c r="GE347" s="436"/>
      <c r="GF347" s="436"/>
      <c r="GG347" s="436"/>
      <c r="GH347" s="436"/>
      <c r="GI347" s="436"/>
      <c r="GJ347" s="436"/>
      <c r="GK347" s="436"/>
      <c r="GL347" s="436"/>
      <c r="GM347" s="436"/>
      <c r="GN347" s="436"/>
      <c r="GO347" s="436"/>
      <c r="GP347" s="436"/>
      <c r="GQ347" s="436"/>
      <c r="GR347" s="436"/>
      <c r="GS347" s="436"/>
      <c r="GT347" s="436"/>
      <c r="GU347" s="436"/>
      <c r="GV347" s="436"/>
      <c r="GW347" s="436"/>
      <c r="GX347" s="440"/>
    </row>
    <row r="348" spans="182:206" ht="24" customHeight="1">
      <c r="FZ348" s="439"/>
      <c r="GA348" s="436"/>
      <c r="GB348" s="436"/>
      <c r="GC348" s="436"/>
      <c r="GD348" s="436"/>
      <c r="GE348" s="436"/>
      <c r="GF348" s="436"/>
      <c r="GG348" s="436"/>
      <c r="GH348" s="436"/>
      <c r="GI348" s="436"/>
      <c r="GJ348" s="436"/>
      <c r="GK348" s="436"/>
      <c r="GL348" s="436"/>
      <c r="GM348" s="436"/>
      <c r="GN348" s="436"/>
      <c r="GO348" s="436"/>
      <c r="GP348" s="436"/>
      <c r="GQ348" s="436"/>
      <c r="GR348" s="436"/>
      <c r="GS348" s="436"/>
      <c r="GT348" s="436"/>
      <c r="GU348" s="436"/>
      <c r="GV348" s="436"/>
      <c r="GW348" s="436"/>
      <c r="GX348" s="440"/>
    </row>
    <row r="349" spans="182:206" ht="24" customHeight="1">
      <c r="FZ349" s="439"/>
      <c r="GA349" s="436"/>
      <c r="GB349" s="436"/>
      <c r="GC349" s="436"/>
      <c r="GD349" s="436"/>
      <c r="GE349" s="436"/>
      <c r="GF349" s="436"/>
      <c r="GG349" s="436"/>
      <c r="GH349" s="436"/>
      <c r="GI349" s="436"/>
      <c r="GJ349" s="436"/>
      <c r="GK349" s="436"/>
      <c r="GL349" s="436"/>
      <c r="GM349" s="436"/>
      <c r="GN349" s="436"/>
      <c r="GO349" s="436"/>
      <c r="GP349" s="436"/>
      <c r="GQ349" s="436"/>
      <c r="GR349" s="436"/>
      <c r="GS349" s="436"/>
      <c r="GT349" s="436"/>
      <c r="GU349" s="436"/>
      <c r="GV349" s="436"/>
      <c r="GW349" s="436"/>
      <c r="GX349" s="440"/>
    </row>
    <row r="350" spans="182:206" ht="24" customHeight="1">
      <c r="FZ350" s="439"/>
      <c r="GA350" s="436"/>
      <c r="GB350" s="436"/>
      <c r="GC350" s="436"/>
      <c r="GD350" s="436"/>
      <c r="GE350" s="436"/>
      <c r="GF350" s="436"/>
      <c r="GG350" s="436"/>
      <c r="GH350" s="436"/>
      <c r="GI350" s="436"/>
      <c r="GJ350" s="436"/>
      <c r="GK350" s="436"/>
      <c r="GL350" s="436"/>
      <c r="GM350" s="436"/>
      <c r="GN350" s="436"/>
      <c r="GO350" s="436"/>
      <c r="GP350" s="436"/>
      <c r="GQ350" s="436"/>
      <c r="GR350" s="436"/>
      <c r="GS350" s="436"/>
      <c r="GT350" s="436"/>
      <c r="GU350" s="436"/>
      <c r="GV350" s="436"/>
      <c r="GW350" s="436"/>
      <c r="GX350" s="440"/>
    </row>
    <row r="351" spans="182:206" ht="24" customHeight="1">
      <c r="FZ351" s="439"/>
      <c r="GA351" s="436"/>
      <c r="GB351" s="436"/>
      <c r="GC351" s="436"/>
      <c r="GD351" s="436"/>
      <c r="GE351" s="436"/>
      <c r="GF351" s="436"/>
      <c r="GG351" s="436"/>
      <c r="GH351" s="436"/>
      <c r="GI351" s="436"/>
      <c r="GJ351" s="436"/>
      <c r="GK351" s="436"/>
      <c r="GL351" s="436"/>
      <c r="GM351" s="436"/>
      <c r="GN351" s="436"/>
      <c r="GO351" s="436"/>
      <c r="GP351" s="436"/>
      <c r="GQ351" s="436"/>
      <c r="GR351" s="436"/>
      <c r="GS351" s="436"/>
      <c r="GT351" s="436"/>
      <c r="GU351" s="436"/>
      <c r="GV351" s="436"/>
      <c r="GW351" s="436"/>
      <c r="GX351" s="440"/>
    </row>
    <row r="352" spans="182:206" ht="24" customHeight="1">
      <c r="FZ352" s="439"/>
      <c r="GA352" s="436"/>
      <c r="GB352" s="436"/>
      <c r="GC352" s="436"/>
      <c r="GD352" s="436"/>
      <c r="GE352" s="436"/>
      <c r="GF352" s="436"/>
      <c r="GG352" s="436"/>
      <c r="GH352" s="436"/>
      <c r="GI352" s="436"/>
      <c r="GJ352" s="436"/>
      <c r="GK352" s="436"/>
      <c r="GL352" s="436"/>
      <c r="GM352" s="436"/>
      <c r="GN352" s="436"/>
      <c r="GO352" s="436"/>
      <c r="GP352" s="436"/>
      <c r="GQ352" s="436"/>
      <c r="GR352" s="436"/>
      <c r="GS352" s="436"/>
      <c r="GT352" s="436"/>
      <c r="GU352" s="436"/>
      <c r="GV352" s="436"/>
      <c r="GW352" s="436"/>
      <c r="GX352" s="440"/>
    </row>
    <row r="353" spans="182:206" ht="24" customHeight="1">
      <c r="FZ353" s="439"/>
      <c r="GA353" s="436"/>
      <c r="GB353" s="436"/>
      <c r="GC353" s="436"/>
      <c r="GD353" s="436"/>
      <c r="GE353" s="436"/>
      <c r="GF353" s="436"/>
      <c r="GG353" s="436"/>
      <c r="GH353" s="436"/>
      <c r="GI353" s="436"/>
      <c r="GJ353" s="436"/>
      <c r="GK353" s="436"/>
      <c r="GL353" s="436"/>
      <c r="GM353" s="436"/>
      <c r="GN353" s="436"/>
      <c r="GO353" s="436"/>
      <c r="GP353" s="436"/>
      <c r="GQ353" s="436"/>
      <c r="GR353" s="436"/>
      <c r="GS353" s="436"/>
      <c r="GT353" s="436"/>
      <c r="GU353" s="436"/>
      <c r="GV353" s="436"/>
      <c r="GW353" s="436"/>
      <c r="GX353" s="440"/>
    </row>
    <row r="354" spans="182:206" ht="24" customHeight="1">
      <c r="FZ354" s="439"/>
      <c r="GA354" s="436"/>
      <c r="GB354" s="436"/>
      <c r="GC354" s="436"/>
      <c r="GD354" s="436"/>
      <c r="GE354" s="436"/>
      <c r="GF354" s="436"/>
      <c r="GG354" s="436"/>
      <c r="GH354" s="436"/>
      <c r="GI354" s="436"/>
      <c r="GJ354" s="436"/>
      <c r="GK354" s="436"/>
      <c r="GL354" s="436"/>
      <c r="GM354" s="436"/>
      <c r="GN354" s="436"/>
      <c r="GO354" s="436"/>
      <c r="GP354" s="436"/>
      <c r="GQ354" s="436"/>
      <c r="GR354" s="436"/>
      <c r="GS354" s="436"/>
      <c r="GT354" s="436"/>
      <c r="GU354" s="436"/>
      <c r="GV354" s="436"/>
      <c r="GW354" s="436"/>
      <c r="GX354" s="440"/>
    </row>
    <row r="355" spans="182:206" ht="24" customHeight="1">
      <c r="FZ355" s="439"/>
      <c r="GA355" s="436"/>
      <c r="GB355" s="436"/>
      <c r="GC355" s="436"/>
      <c r="GD355" s="436"/>
      <c r="GE355" s="436"/>
      <c r="GF355" s="436"/>
      <c r="GG355" s="436"/>
      <c r="GH355" s="436"/>
      <c r="GI355" s="436"/>
      <c r="GJ355" s="436"/>
      <c r="GK355" s="436"/>
      <c r="GL355" s="436"/>
      <c r="GM355" s="436"/>
      <c r="GN355" s="436"/>
      <c r="GO355" s="436"/>
      <c r="GP355" s="436"/>
      <c r="GQ355" s="436"/>
      <c r="GR355" s="436"/>
      <c r="GS355" s="436"/>
      <c r="GT355" s="436"/>
      <c r="GU355" s="436"/>
      <c r="GV355" s="436"/>
      <c r="GW355" s="436"/>
      <c r="GX355" s="440"/>
    </row>
    <row r="356" spans="182:206" ht="24" customHeight="1">
      <c r="FZ356" s="439"/>
      <c r="GA356" s="436"/>
      <c r="GB356" s="436"/>
      <c r="GC356" s="436"/>
      <c r="GD356" s="436"/>
      <c r="GE356" s="436"/>
      <c r="GF356" s="436"/>
      <c r="GG356" s="436"/>
      <c r="GH356" s="436"/>
      <c r="GI356" s="436"/>
      <c r="GJ356" s="436"/>
      <c r="GK356" s="436"/>
      <c r="GL356" s="436"/>
      <c r="GM356" s="436"/>
      <c r="GN356" s="436"/>
      <c r="GO356" s="436"/>
      <c r="GP356" s="436"/>
      <c r="GQ356" s="436"/>
      <c r="GR356" s="436"/>
      <c r="GS356" s="436"/>
      <c r="GT356" s="436"/>
      <c r="GU356" s="436"/>
      <c r="GV356" s="436"/>
      <c r="GW356" s="436"/>
      <c r="GX356" s="440"/>
    </row>
    <row r="357" spans="182:206" ht="24" customHeight="1">
      <c r="FZ357" s="439"/>
      <c r="GA357" s="436"/>
      <c r="GB357" s="436"/>
      <c r="GC357" s="436"/>
      <c r="GD357" s="436"/>
      <c r="GE357" s="436"/>
      <c r="GF357" s="436"/>
      <c r="GG357" s="436"/>
      <c r="GH357" s="436"/>
      <c r="GI357" s="436"/>
      <c r="GJ357" s="436"/>
      <c r="GK357" s="436"/>
      <c r="GL357" s="436"/>
      <c r="GM357" s="436"/>
      <c r="GN357" s="436"/>
      <c r="GO357" s="436"/>
      <c r="GP357" s="436"/>
      <c r="GQ357" s="436"/>
      <c r="GR357" s="436"/>
      <c r="GS357" s="436"/>
      <c r="GT357" s="436"/>
      <c r="GU357" s="436"/>
      <c r="GV357" s="436"/>
      <c r="GW357" s="436"/>
      <c r="GX357" s="440"/>
    </row>
    <row r="358" spans="182:206" ht="24" customHeight="1">
      <c r="FZ358" s="439"/>
      <c r="GA358" s="436"/>
      <c r="GB358" s="436"/>
      <c r="GC358" s="436"/>
      <c r="GD358" s="436"/>
      <c r="GE358" s="436"/>
      <c r="GF358" s="436"/>
      <c r="GG358" s="436"/>
      <c r="GH358" s="436"/>
      <c r="GI358" s="436"/>
      <c r="GJ358" s="436"/>
      <c r="GK358" s="436"/>
      <c r="GL358" s="436"/>
      <c r="GM358" s="436"/>
      <c r="GN358" s="436"/>
      <c r="GO358" s="436"/>
      <c r="GP358" s="436"/>
      <c r="GQ358" s="436"/>
      <c r="GR358" s="436"/>
      <c r="GS358" s="436"/>
      <c r="GT358" s="436"/>
      <c r="GU358" s="436"/>
      <c r="GV358" s="436"/>
      <c r="GW358" s="436"/>
      <c r="GX358" s="440"/>
    </row>
    <row r="359" spans="182:206" ht="24" customHeight="1">
      <c r="FZ359" s="439"/>
      <c r="GA359" s="436"/>
      <c r="GB359" s="436"/>
      <c r="GC359" s="436"/>
      <c r="GD359" s="436"/>
      <c r="GE359" s="436"/>
      <c r="GF359" s="436"/>
      <c r="GG359" s="436"/>
      <c r="GH359" s="436"/>
      <c r="GI359" s="436"/>
      <c r="GJ359" s="436"/>
      <c r="GK359" s="436"/>
      <c r="GL359" s="436"/>
      <c r="GM359" s="436"/>
      <c r="GN359" s="436"/>
      <c r="GO359" s="436"/>
      <c r="GP359" s="436"/>
      <c r="GQ359" s="436"/>
      <c r="GR359" s="436"/>
      <c r="GS359" s="436"/>
      <c r="GT359" s="436"/>
      <c r="GU359" s="436"/>
      <c r="GV359" s="436"/>
      <c r="GW359" s="436"/>
      <c r="GX359" s="440"/>
    </row>
    <row r="360" spans="182:206" ht="24" customHeight="1" thickBot="1">
      <c r="FZ360" s="439"/>
      <c r="GA360" s="441"/>
      <c r="GB360" s="441"/>
      <c r="GC360" s="441"/>
      <c r="GD360" s="436"/>
      <c r="GE360" s="436"/>
      <c r="GF360" s="436"/>
      <c r="GG360" s="436"/>
      <c r="GH360" s="436"/>
      <c r="GI360" s="436"/>
      <c r="GJ360" s="436"/>
      <c r="GK360" s="436"/>
      <c r="GL360" s="436"/>
      <c r="GM360" s="436"/>
      <c r="GN360" s="436"/>
      <c r="GO360" s="436"/>
      <c r="GP360" s="436"/>
      <c r="GQ360" s="436"/>
      <c r="GR360" s="436"/>
      <c r="GS360" s="436"/>
      <c r="GT360" s="436"/>
      <c r="GU360" s="436"/>
      <c r="GV360" s="436"/>
      <c r="GW360" s="436"/>
      <c r="GX360" s="440"/>
    </row>
    <row r="361" spans="182:206" ht="24" customHeight="1" thickBot="1">
      <c r="FZ361" s="444"/>
      <c r="GA361" s="1917" t="str">
        <f>'Вывод расчетов'!$CC$9</f>
        <v>Раздел 3</v>
      </c>
      <c r="GB361" s="1915"/>
      <c r="GC361" s="1915"/>
      <c r="GD361" s="445"/>
      <c r="GE361" s="1917" t="str">
        <f>'Вывод расчетов'!$CF$9</f>
        <v>Расчет обмотки статора</v>
      </c>
      <c r="GF361" s="1915"/>
      <c r="GG361" s="1915"/>
      <c r="GH361" s="1915"/>
      <c r="GI361" s="1915"/>
      <c r="GJ361" s="1915"/>
      <c r="GK361" s="1915"/>
      <c r="GL361" s="1915"/>
      <c r="GM361" s="1915"/>
      <c r="GN361" s="1915"/>
      <c r="GO361" s="1915"/>
      <c r="GP361" s="1918"/>
      <c r="GQ361" s="445"/>
      <c r="GR361" s="1917" t="s">
        <v>1502</v>
      </c>
      <c r="GS361" s="1915"/>
      <c r="GT361" s="1918"/>
      <c r="GU361" s="445"/>
      <c r="GV361" s="1917">
        <v>11</v>
      </c>
      <c r="GW361" s="1918"/>
      <c r="GX361" s="446"/>
    </row>
    <row r="362" spans="182:206" ht="24" customHeight="1" thickBot="1">
      <c r="FZ362" s="1914" t="s">
        <v>1230</v>
      </c>
      <c r="GA362" s="1915"/>
      <c r="GB362" s="1915"/>
      <c r="GC362" s="1915"/>
      <c r="GD362" s="1915"/>
      <c r="GE362" s="1915"/>
      <c r="GF362" s="1915"/>
      <c r="GG362" s="1915"/>
      <c r="GH362" s="1915"/>
      <c r="GI362" s="1915"/>
      <c r="GJ362" s="1915"/>
      <c r="GK362" s="1915"/>
      <c r="GL362" s="1915"/>
      <c r="GM362" s="1915"/>
      <c r="GN362" s="1915"/>
      <c r="GO362" s="1915"/>
      <c r="GP362" s="1915"/>
      <c r="GQ362" s="1915"/>
      <c r="GR362" s="1915"/>
      <c r="GS362" s="1915"/>
      <c r="GT362" s="1915"/>
      <c r="GU362" s="1915"/>
      <c r="GV362" s="1915"/>
      <c r="GW362" s="1915"/>
      <c r="GX362" s="1916"/>
    </row>
    <row r="363" spans="182:206" ht="24" customHeight="1">
      <c r="FZ363" s="437"/>
      <c r="GA363" s="438"/>
      <c r="GB363" s="438"/>
      <c r="GC363" s="438"/>
      <c r="GD363" s="438"/>
      <c r="GE363" s="438"/>
      <c r="GF363" s="438"/>
      <c r="GG363" s="438"/>
      <c r="GH363" s="438"/>
      <c r="GI363" s="438"/>
      <c r="GJ363" s="438"/>
      <c r="GK363" s="438"/>
      <c r="GL363" s="438"/>
      <c r="GM363" s="438"/>
      <c r="GN363" s="438"/>
      <c r="GO363" s="438"/>
      <c r="GP363" s="438"/>
      <c r="GQ363" s="438"/>
      <c r="GR363" s="438"/>
      <c r="GS363" s="438"/>
      <c r="GT363" s="438"/>
      <c r="GU363" s="438"/>
      <c r="GV363" s="438"/>
      <c r="GW363" s="438"/>
      <c r="GX363" s="447"/>
    </row>
    <row r="364" spans="182:206" ht="24" customHeight="1">
      <c r="FZ364" s="439"/>
      <c r="GA364" s="436"/>
      <c r="GB364" s="436"/>
      <c r="GC364" s="436"/>
      <c r="GD364" s="436"/>
      <c r="GE364" s="436"/>
      <c r="GF364" s="436"/>
      <c r="GG364" s="436"/>
      <c r="GH364" s="436"/>
      <c r="GI364" s="436"/>
      <c r="GJ364" s="436"/>
      <c r="GK364" s="436"/>
      <c r="GL364" s="436"/>
      <c r="GM364" s="436"/>
      <c r="GN364" s="436"/>
      <c r="GO364" s="436"/>
      <c r="GP364" s="436"/>
      <c r="GQ364" s="436"/>
      <c r="GR364" s="436"/>
      <c r="GS364" s="436"/>
      <c r="GT364" s="436"/>
      <c r="GU364" s="436"/>
      <c r="GV364" s="436"/>
      <c r="GW364" s="436"/>
      <c r="GX364" s="440"/>
    </row>
    <row r="365" spans="182:206" ht="24" customHeight="1">
      <c r="FZ365" s="439"/>
      <c r="GA365" s="436"/>
      <c r="GB365" s="436"/>
      <c r="GC365" s="436"/>
      <c r="GD365" s="436"/>
      <c r="GE365" s="436"/>
      <c r="GF365" s="436"/>
      <c r="GG365" s="436"/>
      <c r="GH365" s="436"/>
      <c r="GI365" s="436"/>
      <c r="GJ365" s="436"/>
      <c r="GK365" s="436"/>
      <c r="GL365" s="436"/>
      <c r="GM365" s="436"/>
      <c r="GN365" s="436"/>
      <c r="GO365" s="436"/>
      <c r="GP365" s="436"/>
      <c r="GQ365" s="436"/>
      <c r="GR365" s="436"/>
      <c r="GS365" s="436"/>
      <c r="GT365" s="436"/>
      <c r="GU365" s="436"/>
      <c r="GV365" s="436"/>
      <c r="GW365" s="436"/>
      <c r="GX365" s="440"/>
    </row>
    <row r="366" spans="182:206" ht="24" customHeight="1">
      <c r="FZ366" s="439"/>
      <c r="GA366" s="436"/>
      <c r="GB366" s="436"/>
      <c r="GC366" s="436"/>
      <c r="GD366" s="436"/>
      <c r="GE366" s="436"/>
      <c r="GF366" s="436"/>
      <c r="GG366" s="436"/>
      <c r="GH366" s="436"/>
      <c r="GI366" s="436"/>
      <c r="GJ366" s="436"/>
      <c r="GK366" s="436"/>
      <c r="GL366" s="436"/>
      <c r="GM366" s="436"/>
      <c r="GN366" s="436"/>
      <c r="GO366" s="436"/>
      <c r="GP366" s="436"/>
      <c r="GQ366" s="436"/>
      <c r="GR366" s="436"/>
      <c r="GS366" s="436"/>
      <c r="GT366" s="436"/>
      <c r="GU366" s="436"/>
      <c r="GV366" s="436"/>
      <c r="GW366" s="436"/>
      <c r="GX366" s="440"/>
    </row>
    <row r="367" spans="182:206" ht="24" customHeight="1">
      <c r="FZ367" s="439"/>
      <c r="GA367" s="436"/>
      <c r="GB367" s="436"/>
      <c r="GC367" s="436"/>
      <c r="GD367" s="436"/>
      <c r="GE367" s="436"/>
      <c r="GF367" s="436"/>
      <c r="GG367" s="436"/>
      <c r="GH367" s="436"/>
      <c r="GI367" s="436"/>
      <c r="GJ367" s="436"/>
      <c r="GK367" s="436"/>
      <c r="GL367" s="436"/>
      <c r="GM367" s="436"/>
      <c r="GN367" s="436"/>
      <c r="GO367" s="436"/>
      <c r="GP367" s="436"/>
      <c r="GQ367" s="436"/>
      <c r="GR367" s="436"/>
      <c r="GS367" s="436"/>
      <c r="GT367" s="436"/>
      <c r="GU367" s="436"/>
      <c r="GV367" s="436"/>
      <c r="GW367" s="436"/>
      <c r="GX367" s="440"/>
    </row>
    <row r="368" spans="182:206" ht="24" customHeight="1">
      <c r="FZ368" s="439"/>
      <c r="GA368" s="436"/>
      <c r="GB368" s="436"/>
      <c r="GC368" s="436"/>
      <c r="GD368" s="436"/>
      <c r="GE368" s="436"/>
      <c r="GF368" s="436"/>
      <c r="GG368" s="436"/>
      <c r="GH368" s="436"/>
      <c r="GI368" s="436"/>
      <c r="GJ368" s="436"/>
      <c r="GK368" s="436"/>
      <c r="GL368" s="436"/>
      <c r="GM368" s="436"/>
      <c r="GN368" s="436"/>
      <c r="GO368" s="436"/>
      <c r="GP368" s="436"/>
      <c r="GQ368" s="436"/>
      <c r="GR368" s="436"/>
      <c r="GS368" s="436"/>
      <c r="GT368" s="436"/>
      <c r="GU368" s="436"/>
      <c r="GV368" s="436"/>
      <c r="GW368" s="436"/>
      <c r="GX368" s="440"/>
    </row>
    <row r="369" spans="182:206" ht="24" customHeight="1">
      <c r="FZ369" s="439"/>
      <c r="GA369" s="436"/>
      <c r="GB369" s="436"/>
      <c r="GC369" s="436"/>
      <c r="GD369" s="436"/>
      <c r="GE369" s="436"/>
      <c r="GF369" s="436"/>
      <c r="GG369" s="436"/>
      <c r="GH369" s="436"/>
      <c r="GI369" s="436"/>
      <c r="GJ369" s="436"/>
      <c r="GK369" s="436"/>
      <c r="GL369" s="436"/>
      <c r="GM369" s="436"/>
      <c r="GN369" s="436"/>
      <c r="GO369" s="436"/>
      <c r="GP369" s="436"/>
      <c r="GQ369" s="436"/>
      <c r="GR369" s="436"/>
      <c r="GS369" s="436"/>
      <c r="GT369" s="436"/>
      <c r="GU369" s="436"/>
      <c r="GV369" s="436"/>
      <c r="GW369" s="436"/>
      <c r="GX369" s="440"/>
    </row>
    <row r="370" spans="182:206" ht="24" customHeight="1">
      <c r="FZ370" s="439"/>
      <c r="GA370" s="436"/>
      <c r="GB370" s="436"/>
      <c r="GC370" s="436"/>
      <c r="GD370" s="436"/>
      <c r="GE370" s="436"/>
      <c r="GF370" s="436"/>
      <c r="GG370" s="436"/>
      <c r="GH370" s="436"/>
      <c r="GI370" s="436"/>
      <c r="GJ370" s="436"/>
      <c r="GK370" s="436"/>
      <c r="GL370" s="436"/>
      <c r="GM370" s="436"/>
      <c r="GN370" s="436"/>
      <c r="GO370" s="436"/>
      <c r="GP370" s="436"/>
      <c r="GQ370" s="436"/>
      <c r="GR370" s="436"/>
      <c r="GS370" s="436"/>
      <c r="GT370" s="436"/>
      <c r="GU370" s="436"/>
      <c r="GV370" s="436"/>
      <c r="GW370" s="436"/>
      <c r="GX370" s="440"/>
    </row>
    <row r="371" spans="182:206" ht="24" customHeight="1">
      <c r="FZ371" s="439"/>
      <c r="GA371" s="436"/>
      <c r="GB371" s="436"/>
      <c r="GC371" s="436"/>
      <c r="GD371" s="436"/>
      <c r="GE371" s="436"/>
      <c r="GF371" s="436"/>
      <c r="GG371" s="436"/>
      <c r="GH371" s="436"/>
      <c r="GI371" s="436"/>
      <c r="GJ371" s="436"/>
      <c r="GK371" s="436"/>
      <c r="GL371" s="436"/>
      <c r="GM371" s="436"/>
      <c r="GN371" s="436"/>
      <c r="GO371" s="436"/>
      <c r="GP371" s="436"/>
      <c r="GQ371" s="436"/>
      <c r="GR371" s="436"/>
      <c r="GS371" s="436"/>
      <c r="GT371" s="436"/>
      <c r="GU371" s="436"/>
      <c r="GV371" s="436"/>
      <c r="GW371" s="436"/>
      <c r="GX371" s="440"/>
    </row>
    <row r="372" spans="182:206" ht="24" customHeight="1">
      <c r="FZ372" s="439"/>
      <c r="GA372" s="436"/>
      <c r="GB372" s="436"/>
      <c r="GC372" s="436"/>
      <c r="GD372" s="436"/>
      <c r="GE372" s="436"/>
      <c r="GF372" s="436"/>
      <c r="GG372" s="436"/>
      <c r="GH372" s="436"/>
      <c r="GI372" s="436"/>
      <c r="GJ372" s="436"/>
      <c r="GK372" s="436"/>
      <c r="GL372" s="436"/>
      <c r="GM372" s="436"/>
      <c r="GN372" s="436"/>
      <c r="GO372" s="436"/>
      <c r="GP372" s="436"/>
      <c r="GQ372" s="436"/>
      <c r="GR372" s="436"/>
      <c r="GS372" s="436"/>
      <c r="GT372" s="436"/>
      <c r="GU372" s="436"/>
      <c r="GV372" s="436"/>
      <c r="GW372" s="436"/>
      <c r="GX372" s="440"/>
    </row>
    <row r="373" spans="182:206" ht="24" customHeight="1">
      <c r="FZ373" s="439"/>
      <c r="GA373" s="436"/>
      <c r="GB373" s="436"/>
      <c r="GC373" s="436"/>
      <c r="GD373" s="436"/>
      <c r="GE373" s="436"/>
      <c r="GF373" s="436"/>
      <c r="GG373" s="436"/>
      <c r="GH373" s="436"/>
      <c r="GI373" s="436"/>
      <c r="GJ373" s="436"/>
      <c r="GK373" s="436"/>
      <c r="GL373" s="436"/>
      <c r="GM373" s="436"/>
      <c r="GN373" s="436"/>
      <c r="GO373" s="436"/>
      <c r="GP373" s="436"/>
      <c r="GQ373" s="436"/>
      <c r="GR373" s="436"/>
      <c r="GS373" s="436"/>
      <c r="GT373" s="436"/>
      <c r="GU373" s="436"/>
      <c r="GV373" s="436"/>
      <c r="GW373" s="436"/>
      <c r="GX373" s="440"/>
    </row>
    <row r="374" spans="182:206" ht="24" customHeight="1">
      <c r="FZ374" s="439"/>
      <c r="GA374" s="436"/>
      <c r="GB374" s="436"/>
      <c r="GC374" s="436"/>
      <c r="GD374" s="436"/>
      <c r="GE374" s="436"/>
      <c r="GF374" s="436"/>
      <c r="GG374" s="436"/>
      <c r="GH374" s="436"/>
      <c r="GI374" s="436"/>
      <c r="GJ374" s="436"/>
      <c r="GK374" s="436"/>
      <c r="GL374" s="436"/>
      <c r="GM374" s="436"/>
      <c r="GN374" s="436"/>
      <c r="GO374" s="436"/>
      <c r="GP374" s="436"/>
      <c r="GQ374" s="436"/>
      <c r="GR374" s="436"/>
      <c r="GS374" s="436"/>
      <c r="GT374" s="436"/>
      <c r="GU374" s="436"/>
      <c r="GV374" s="436"/>
      <c r="GW374" s="436"/>
      <c r="GX374" s="440"/>
    </row>
    <row r="375" spans="182:206" ht="24" customHeight="1">
      <c r="FZ375" s="439"/>
      <c r="GA375" s="436"/>
      <c r="GB375" s="436"/>
      <c r="GC375" s="436"/>
      <c r="GD375" s="436"/>
      <c r="GE375" s="436"/>
      <c r="GF375" s="436"/>
      <c r="GG375" s="436"/>
      <c r="GH375" s="436"/>
      <c r="GI375" s="436"/>
      <c r="GJ375" s="436"/>
      <c r="GK375" s="436"/>
      <c r="GL375" s="436"/>
      <c r="GM375" s="436"/>
      <c r="GN375" s="436"/>
      <c r="GO375" s="436"/>
      <c r="GP375" s="436"/>
      <c r="GQ375" s="436"/>
      <c r="GR375" s="436"/>
      <c r="GS375" s="436"/>
      <c r="GT375" s="436"/>
      <c r="GU375" s="436"/>
      <c r="GV375" s="436"/>
      <c r="GW375" s="436"/>
      <c r="GX375" s="440"/>
    </row>
    <row r="376" spans="182:206" ht="24" customHeight="1">
      <c r="FZ376" s="439"/>
      <c r="GA376" s="436"/>
      <c r="GB376" s="436"/>
      <c r="GC376" s="436"/>
      <c r="GD376" s="436"/>
      <c r="GE376" s="436"/>
      <c r="GF376" s="436"/>
      <c r="GG376" s="436"/>
      <c r="GH376" s="436"/>
      <c r="GI376" s="436"/>
      <c r="GJ376" s="436"/>
      <c r="GK376" s="436"/>
      <c r="GL376" s="436"/>
      <c r="GM376" s="436"/>
      <c r="GN376" s="436"/>
      <c r="GO376" s="436"/>
      <c r="GP376" s="436"/>
      <c r="GQ376" s="436"/>
      <c r="GR376" s="436"/>
      <c r="GS376" s="436"/>
      <c r="GT376" s="436"/>
      <c r="GU376" s="436"/>
      <c r="GV376" s="436"/>
      <c r="GW376" s="436"/>
      <c r="GX376" s="440"/>
    </row>
    <row r="377" spans="182:206" ht="24" customHeight="1">
      <c r="FZ377" s="439"/>
      <c r="GA377" s="436"/>
      <c r="GB377" s="436"/>
      <c r="GC377" s="436"/>
      <c r="GD377" s="436"/>
      <c r="GE377" s="436"/>
      <c r="GF377" s="436"/>
      <c r="GG377" s="436"/>
      <c r="GH377" s="436"/>
      <c r="GI377" s="436"/>
      <c r="GJ377" s="436"/>
      <c r="GK377" s="436"/>
      <c r="GL377" s="436"/>
      <c r="GM377" s="436"/>
      <c r="GN377" s="436"/>
      <c r="GO377" s="436"/>
      <c r="GP377" s="436"/>
      <c r="GQ377" s="436"/>
      <c r="GR377" s="436"/>
      <c r="GS377" s="436"/>
      <c r="GT377" s="436"/>
      <c r="GU377" s="436"/>
      <c r="GV377" s="436"/>
      <c r="GW377" s="436"/>
      <c r="GX377" s="440"/>
    </row>
    <row r="378" spans="182:206" ht="24" customHeight="1">
      <c r="FZ378" s="439"/>
      <c r="GA378" s="436"/>
      <c r="GB378" s="436"/>
      <c r="GC378" s="436"/>
      <c r="GD378" s="436"/>
      <c r="GE378" s="436"/>
      <c r="GF378" s="436"/>
      <c r="GG378" s="436"/>
      <c r="GH378" s="436"/>
      <c r="GI378" s="436"/>
      <c r="GJ378" s="436"/>
      <c r="GK378" s="436"/>
      <c r="GL378" s="436"/>
      <c r="GM378" s="436"/>
      <c r="GN378" s="436"/>
      <c r="GO378" s="436"/>
      <c r="GP378" s="436"/>
      <c r="GQ378" s="436"/>
      <c r="GR378" s="436"/>
      <c r="GS378" s="436"/>
      <c r="GT378" s="436"/>
      <c r="GU378" s="436"/>
      <c r="GV378" s="436"/>
      <c r="GW378" s="436"/>
      <c r="GX378" s="440"/>
    </row>
    <row r="379" spans="182:206" ht="24" customHeight="1" thickBot="1">
      <c r="FZ379" s="439"/>
      <c r="GA379" s="441"/>
      <c r="GB379" s="441"/>
      <c r="GC379" s="441"/>
      <c r="GD379" s="436"/>
      <c r="GE379" s="436"/>
      <c r="GF379" s="436"/>
      <c r="GG379" s="436"/>
      <c r="GH379" s="436"/>
      <c r="GI379" s="436"/>
      <c r="GJ379" s="436"/>
      <c r="GK379" s="436"/>
      <c r="GL379" s="436"/>
      <c r="GM379" s="436"/>
      <c r="GN379" s="436"/>
      <c r="GO379" s="436"/>
      <c r="GP379" s="436"/>
      <c r="GQ379" s="436"/>
      <c r="GR379" s="436"/>
      <c r="GS379" s="436"/>
      <c r="GT379" s="436"/>
      <c r="GU379" s="436"/>
      <c r="GV379" s="436"/>
      <c r="GW379" s="436"/>
      <c r="GX379" s="440"/>
    </row>
    <row r="380" spans="182:206" ht="24" customHeight="1" thickBot="1">
      <c r="FZ380" s="444"/>
      <c r="GA380" s="1917" t="str">
        <f>'Вывод расчетов'!$CC$9</f>
        <v>Раздел 3</v>
      </c>
      <c r="GB380" s="1915"/>
      <c r="GC380" s="1915"/>
      <c r="GD380" s="445"/>
      <c r="GE380" s="1917" t="str">
        <f>'Вывод расчетов'!$CF$9</f>
        <v>Расчет обмотки статора</v>
      </c>
      <c r="GF380" s="1915"/>
      <c r="GG380" s="1915"/>
      <c r="GH380" s="1915"/>
      <c r="GI380" s="1915"/>
      <c r="GJ380" s="1915"/>
      <c r="GK380" s="1915"/>
      <c r="GL380" s="1915"/>
      <c r="GM380" s="1915"/>
      <c r="GN380" s="1915"/>
      <c r="GO380" s="1915"/>
      <c r="GP380" s="1918"/>
      <c r="GQ380" s="445"/>
      <c r="GR380" s="1917" t="s">
        <v>1502</v>
      </c>
      <c r="GS380" s="1915"/>
      <c r="GT380" s="1918"/>
      <c r="GU380" s="445"/>
      <c r="GV380" s="1917">
        <v>11</v>
      </c>
      <c r="GW380" s="1918"/>
      <c r="GX380" s="446"/>
    </row>
    <row r="381" spans="182:206" ht="24" customHeight="1" thickBot="1">
      <c r="FZ381" s="1914" t="s">
        <v>1230</v>
      </c>
      <c r="GA381" s="1915"/>
      <c r="GB381" s="1915"/>
      <c r="GC381" s="1915"/>
      <c r="GD381" s="1915"/>
      <c r="GE381" s="1915"/>
      <c r="GF381" s="1915"/>
      <c r="GG381" s="1915"/>
      <c r="GH381" s="1915"/>
      <c r="GI381" s="1915"/>
      <c r="GJ381" s="1915"/>
      <c r="GK381" s="1915"/>
      <c r="GL381" s="1915"/>
      <c r="GM381" s="1915"/>
      <c r="GN381" s="1915"/>
      <c r="GO381" s="1915"/>
      <c r="GP381" s="1915"/>
      <c r="GQ381" s="1915"/>
      <c r="GR381" s="1915"/>
      <c r="GS381" s="1915"/>
      <c r="GT381" s="1915"/>
      <c r="GU381" s="1915"/>
      <c r="GV381" s="1915"/>
      <c r="GW381" s="1915"/>
      <c r="GX381" s="1916"/>
    </row>
    <row r="382" spans="182:206" ht="24" customHeight="1">
      <c r="FZ382" s="437"/>
      <c r="GA382" s="438"/>
      <c r="GB382" s="438"/>
      <c r="GC382" s="438"/>
      <c r="GD382" s="438"/>
      <c r="GE382" s="438"/>
      <c r="GF382" s="438"/>
      <c r="GG382" s="438"/>
      <c r="GH382" s="438"/>
      <c r="GI382" s="438"/>
      <c r="GJ382" s="438"/>
      <c r="GK382" s="438"/>
      <c r="GL382" s="438"/>
      <c r="GM382" s="438"/>
      <c r="GN382" s="438"/>
      <c r="GO382" s="438"/>
      <c r="GP382" s="438"/>
      <c r="GQ382" s="438"/>
      <c r="GR382" s="438"/>
      <c r="GS382" s="438"/>
      <c r="GT382" s="438"/>
      <c r="GU382" s="438"/>
      <c r="GV382" s="438"/>
      <c r="GW382" s="438"/>
      <c r="GX382" s="447"/>
    </row>
    <row r="383" spans="182:206" ht="24" customHeight="1">
      <c r="FZ383" s="439"/>
      <c r="GA383" s="436"/>
      <c r="GB383" s="436"/>
      <c r="GC383" s="436"/>
      <c r="GD383" s="436"/>
      <c r="GE383" s="436"/>
      <c r="GF383" s="436"/>
      <c r="GG383" s="436"/>
      <c r="GH383" s="436"/>
      <c r="GI383" s="436"/>
      <c r="GJ383" s="436"/>
      <c r="GK383" s="436"/>
      <c r="GL383" s="436"/>
      <c r="GM383" s="436"/>
      <c r="GN383" s="436"/>
      <c r="GO383" s="436"/>
      <c r="GP383" s="436"/>
      <c r="GQ383" s="436"/>
      <c r="GR383" s="436"/>
      <c r="GS383" s="436"/>
      <c r="GT383" s="436"/>
      <c r="GU383" s="436"/>
      <c r="GV383" s="436"/>
      <c r="GW383" s="436"/>
      <c r="GX383" s="440"/>
    </row>
    <row r="384" spans="182:206" ht="24" customHeight="1">
      <c r="FZ384" s="439"/>
      <c r="GA384" s="436"/>
      <c r="GB384" s="436"/>
      <c r="GC384" s="436"/>
      <c r="GD384" s="436"/>
      <c r="GE384" s="436"/>
      <c r="GF384" s="436"/>
      <c r="GG384" s="436"/>
      <c r="GH384" s="436"/>
      <c r="GI384" s="436"/>
      <c r="GJ384" s="436"/>
      <c r="GK384" s="436"/>
      <c r="GL384" s="436"/>
      <c r="GM384" s="436"/>
      <c r="GN384" s="436"/>
      <c r="GO384" s="436"/>
      <c r="GP384" s="436"/>
      <c r="GQ384" s="436"/>
      <c r="GR384" s="436"/>
      <c r="GS384" s="436"/>
      <c r="GT384" s="436"/>
      <c r="GU384" s="436"/>
      <c r="GV384" s="436"/>
      <c r="GW384" s="436"/>
      <c r="GX384" s="440"/>
    </row>
    <row r="385" spans="182:206" ht="24" customHeight="1">
      <c r="FZ385" s="439"/>
      <c r="GA385" s="436"/>
      <c r="GB385" s="436"/>
      <c r="GC385" s="436"/>
      <c r="GD385" s="436"/>
      <c r="GE385" s="436"/>
      <c r="GF385" s="436"/>
      <c r="GG385" s="436"/>
      <c r="GH385" s="436"/>
      <c r="GI385" s="436"/>
      <c r="GJ385" s="436"/>
      <c r="GK385" s="436"/>
      <c r="GL385" s="436"/>
      <c r="GM385" s="436"/>
      <c r="GN385" s="436"/>
      <c r="GO385" s="436"/>
      <c r="GP385" s="436"/>
      <c r="GQ385" s="436"/>
      <c r="GR385" s="436"/>
      <c r="GS385" s="436"/>
      <c r="GT385" s="436"/>
      <c r="GU385" s="436"/>
      <c r="GV385" s="436"/>
      <c r="GW385" s="436"/>
      <c r="GX385" s="440"/>
    </row>
    <row r="386" spans="182:206" ht="24" customHeight="1">
      <c r="FZ386" s="439"/>
      <c r="GA386" s="436"/>
      <c r="GB386" s="436"/>
      <c r="GC386" s="436"/>
      <c r="GD386" s="436"/>
      <c r="GE386" s="436"/>
      <c r="GF386" s="436"/>
      <c r="GG386" s="436"/>
      <c r="GH386" s="436"/>
      <c r="GI386" s="436"/>
      <c r="GJ386" s="436"/>
      <c r="GK386" s="436"/>
      <c r="GL386" s="436"/>
      <c r="GM386" s="436"/>
      <c r="GN386" s="436"/>
      <c r="GO386" s="436"/>
      <c r="GP386" s="436"/>
      <c r="GQ386" s="436"/>
      <c r="GR386" s="436"/>
      <c r="GS386" s="436"/>
      <c r="GT386" s="436"/>
      <c r="GU386" s="436"/>
      <c r="GV386" s="436"/>
      <c r="GW386" s="436"/>
      <c r="GX386" s="440"/>
    </row>
    <row r="387" spans="182:206" ht="24" customHeight="1">
      <c r="FZ387" s="439"/>
      <c r="GA387" s="436"/>
      <c r="GB387" s="436"/>
      <c r="GC387" s="436"/>
      <c r="GD387" s="436"/>
      <c r="GE387" s="436"/>
      <c r="GF387" s="436"/>
      <c r="GG387" s="436"/>
      <c r="GH387" s="436"/>
      <c r="GI387" s="436"/>
      <c r="GJ387" s="436"/>
      <c r="GK387" s="436"/>
      <c r="GL387" s="436"/>
      <c r="GM387" s="436"/>
      <c r="GN387" s="436"/>
      <c r="GO387" s="436"/>
      <c r="GP387" s="436"/>
      <c r="GQ387" s="436"/>
      <c r="GR387" s="436"/>
      <c r="GS387" s="436"/>
      <c r="GT387" s="436"/>
      <c r="GU387" s="436"/>
      <c r="GV387" s="436"/>
      <c r="GW387" s="436"/>
      <c r="GX387" s="440"/>
    </row>
    <row r="388" spans="182:206" ht="24" customHeight="1">
      <c r="FZ388" s="439"/>
      <c r="GA388" s="436"/>
      <c r="GB388" s="436"/>
      <c r="GC388" s="436"/>
      <c r="GD388" s="436"/>
      <c r="GE388" s="436"/>
      <c r="GF388" s="436"/>
      <c r="GG388" s="436"/>
      <c r="GH388" s="436"/>
      <c r="GI388" s="436"/>
      <c r="GJ388" s="436"/>
      <c r="GK388" s="436"/>
      <c r="GL388" s="436"/>
      <c r="GM388" s="436"/>
      <c r="GN388" s="436"/>
      <c r="GO388" s="436"/>
      <c r="GP388" s="436"/>
      <c r="GQ388" s="436"/>
      <c r="GR388" s="436"/>
      <c r="GS388" s="436"/>
      <c r="GT388" s="436"/>
      <c r="GU388" s="436"/>
      <c r="GV388" s="436"/>
      <c r="GW388" s="436"/>
      <c r="GX388" s="440"/>
    </row>
    <row r="389" spans="182:206" ht="24" customHeight="1">
      <c r="FZ389" s="439"/>
      <c r="GA389" s="436"/>
      <c r="GB389" s="436"/>
      <c r="GC389" s="436"/>
      <c r="GD389" s="436"/>
      <c r="GE389" s="436"/>
      <c r="GF389" s="436"/>
      <c r="GG389" s="436"/>
      <c r="GH389" s="436"/>
      <c r="GI389" s="436"/>
      <c r="GJ389" s="436"/>
      <c r="GK389" s="436"/>
      <c r="GL389" s="436"/>
      <c r="GM389" s="436"/>
      <c r="GN389" s="436"/>
      <c r="GO389" s="436"/>
      <c r="GP389" s="436"/>
      <c r="GQ389" s="436"/>
      <c r="GR389" s="436"/>
      <c r="GS389" s="436"/>
      <c r="GT389" s="436"/>
      <c r="GU389" s="436"/>
      <c r="GV389" s="436"/>
      <c r="GW389" s="436"/>
      <c r="GX389" s="440"/>
    </row>
    <row r="390" spans="182:206" ht="24" customHeight="1">
      <c r="FZ390" s="439"/>
      <c r="GA390" s="436"/>
      <c r="GB390" s="436"/>
      <c r="GC390" s="436"/>
      <c r="GD390" s="436"/>
      <c r="GE390" s="436"/>
      <c r="GF390" s="436"/>
      <c r="GG390" s="436"/>
      <c r="GH390" s="436"/>
      <c r="GI390" s="436"/>
      <c r="GJ390" s="436"/>
      <c r="GK390" s="436"/>
      <c r="GL390" s="436"/>
      <c r="GM390" s="436"/>
      <c r="GN390" s="436"/>
      <c r="GO390" s="436"/>
      <c r="GP390" s="436"/>
      <c r="GQ390" s="436"/>
      <c r="GR390" s="436"/>
      <c r="GS390" s="436"/>
      <c r="GT390" s="436"/>
      <c r="GU390" s="436"/>
      <c r="GV390" s="436"/>
      <c r="GW390" s="436"/>
      <c r="GX390" s="440"/>
    </row>
    <row r="391" spans="182:206" ht="24" customHeight="1">
      <c r="FZ391" s="439"/>
      <c r="GA391" s="436"/>
      <c r="GB391" s="436"/>
      <c r="GC391" s="436"/>
      <c r="GD391" s="436"/>
      <c r="GE391" s="436"/>
      <c r="GF391" s="436"/>
      <c r="GG391" s="436"/>
      <c r="GH391" s="436"/>
      <c r="GI391" s="436"/>
      <c r="GJ391" s="436"/>
      <c r="GK391" s="436"/>
      <c r="GL391" s="436"/>
      <c r="GM391" s="436"/>
      <c r="GN391" s="436"/>
      <c r="GO391" s="436"/>
      <c r="GP391" s="436"/>
      <c r="GQ391" s="436"/>
      <c r="GR391" s="436"/>
      <c r="GS391" s="436"/>
      <c r="GT391" s="436"/>
      <c r="GU391" s="436"/>
      <c r="GV391" s="436"/>
      <c r="GW391" s="436"/>
      <c r="GX391" s="440"/>
    </row>
    <row r="392" spans="182:206" ht="24" customHeight="1">
      <c r="FZ392" s="439"/>
      <c r="GA392" s="436"/>
      <c r="GB392" s="436"/>
      <c r="GC392" s="436"/>
      <c r="GD392" s="436"/>
      <c r="GE392" s="436"/>
      <c r="GF392" s="436"/>
      <c r="GG392" s="436"/>
      <c r="GH392" s="436"/>
      <c r="GI392" s="436"/>
      <c r="GJ392" s="436"/>
      <c r="GK392" s="436"/>
      <c r="GL392" s="436"/>
      <c r="GM392" s="436"/>
      <c r="GN392" s="436"/>
      <c r="GO392" s="436"/>
      <c r="GP392" s="436"/>
      <c r="GQ392" s="436"/>
      <c r="GR392" s="436"/>
      <c r="GS392" s="436"/>
      <c r="GT392" s="436"/>
      <c r="GU392" s="436"/>
      <c r="GV392" s="436"/>
      <c r="GW392" s="436"/>
      <c r="GX392" s="440"/>
    </row>
    <row r="393" spans="182:206" ht="24" customHeight="1">
      <c r="FZ393" s="439"/>
      <c r="GA393" s="436"/>
      <c r="GB393" s="436"/>
      <c r="GC393" s="436"/>
      <c r="GD393" s="436"/>
      <c r="GE393" s="436"/>
      <c r="GF393" s="436"/>
      <c r="GG393" s="436"/>
      <c r="GH393" s="436"/>
      <c r="GI393" s="436"/>
      <c r="GJ393" s="436"/>
      <c r="GK393" s="436"/>
      <c r="GL393" s="436"/>
      <c r="GM393" s="436"/>
      <c r="GN393" s="436"/>
      <c r="GO393" s="436"/>
      <c r="GP393" s="436"/>
      <c r="GQ393" s="436"/>
      <c r="GR393" s="436"/>
      <c r="GS393" s="436"/>
      <c r="GT393" s="436"/>
      <c r="GU393" s="436"/>
      <c r="GV393" s="436"/>
      <c r="GW393" s="436"/>
      <c r="GX393" s="440"/>
    </row>
    <row r="394" spans="182:206" ht="24" customHeight="1">
      <c r="FZ394" s="439"/>
      <c r="GA394" s="436"/>
      <c r="GB394" s="436"/>
      <c r="GC394" s="436"/>
      <c r="GD394" s="436"/>
      <c r="GE394" s="436"/>
      <c r="GF394" s="436"/>
      <c r="GG394" s="436"/>
      <c r="GH394" s="436"/>
      <c r="GI394" s="436"/>
      <c r="GJ394" s="436"/>
      <c r="GK394" s="436"/>
      <c r="GL394" s="436"/>
      <c r="GM394" s="436"/>
      <c r="GN394" s="436"/>
      <c r="GO394" s="436"/>
      <c r="GP394" s="436"/>
      <c r="GQ394" s="436"/>
      <c r="GR394" s="436"/>
      <c r="GS394" s="436"/>
      <c r="GT394" s="436"/>
      <c r="GU394" s="436"/>
      <c r="GV394" s="436"/>
      <c r="GW394" s="436"/>
      <c r="GX394" s="440"/>
    </row>
    <row r="395" spans="182:206" ht="24" customHeight="1">
      <c r="FZ395" s="439"/>
      <c r="GA395" s="436"/>
      <c r="GB395" s="436"/>
      <c r="GC395" s="436"/>
      <c r="GD395" s="436"/>
      <c r="GE395" s="436"/>
      <c r="GF395" s="436"/>
      <c r="GG395" s="436"/>
      <c r="GH395" s="436"/>
      <c r="GI395" s="436"/>
      <c r="GJ395" s="436"/>
      <c r="GK395" s="436"/>
      <c r="GL395" s="436"/>
      <c r="GM395" s="436"/>
      <c r="GN395" s="436"/>
      <c r="GO395" s="436"/>
      <c r="GP395" s="436"/>
      <c r="GQ395" s="436"/>
      <c r="GR395" s="436"/>
      <c r="GS395" s="436"/>
      <c r="GT395" s="436"/>
      <c r="GU395" s="436"/>
      <c r="GV395" s="436"/>
      <c r="GW395" s="436"/>
      <c r="GX395" s="440"/>
    </row>
    <row r="396" spans="182:206" ht="24" customHeight="1">
      <c r="FZ396" s="439"/>
      <c r="GA396" s="436"/>
      <c r="GB396" s="436"/>
      <c r="GC396" s="436"/>
      <c r="GD396" s="436"/>
      <c r="GE396" s="436"/>
      <c r="GF396" s="436"/>
      <c r="GG396" s="436"/>
      <c r="GH396" s="436"/>
      <c r="GI396" s="436"/>
      <c r="GJ396" s="436"/>
      <c r="GK396" s="436"/>
      <c r="GL396" s="436"/>
      <c r="GM396" s="436"/>
      <c r="GN396" s="436"/>
      <c r="GO396" s="436"/>
      <c r="GP396" s="436"/>
      <c r="GQ396" s="436"/>
      <c r="GR396" s="436"/>
      <c r="GS396" s="436"/>
      <c r="GT396" s="436"/>
      <c r="GU396" s="436"/>
      <c r="GV396" s="436"/>
      <c r="GW396" s="436"/>
      <c r="GX396" s="440"/>
    </row>
    <row r="397" spans="182:206" ht="24" customHeight="1">
      <c r="FZ397" s="439"/>
      <c r="GA397" s="436"/>
      <c r="GB397" s="436"/>
      <c r="GC397" s="436"/>
      <c r="GD397" s="436"/>
      <c r="GE397" s="436"/>
      <c r="GF397" s="436"/>
      <c r="GG397" s="436"/>
      <c r="GH397" s="436"/>
      <c r="GI397" s="436"/>
      <c r="GJ397" s="436"/>
      <c r="GK397" s="436"/>
      <c r="GL397" s="436"/>
      <c r="GM397" s="436"/>
      <c r="GN397" s="436"/>
      <c r="GO397" s="436"/>
      <c r="GP397" s="436"/>
      <c r="GQ397" s="436"/>
      <c r="GR397" s="436"/>
      <c r="GS397" s="436"/>
      <c r="GT397" s="436"/>
      <c r="GU397" s="436"/>
      <c r="GV397" s="436"/>
      <c r="GW397" s="436"/>
      <c r="GX397" s="440"/>
    </row>
    <row r="398" spans="182:206" ht="24" customHeight="1" thickBot="1">
      <c r="FZ398" s="439"/>
      <c r="GA398" s="441"/>
      <c r="GB398" s="441"/>
      <c r="GC398" s="441"/>
      <c r="GD398" s="436"/>
      <c r="GE398" s="436"/>
      <c r="GF398" s="436"/>
      <c r="GG398" s="436"/>
      <c r="GH398" s="436"/>
      <c r="GI398" s="436"/>
      <c r="GJ398" s="436"/>
      <c r="GK398" s="436"/>
      <c r="GL398" s="436"/>
      <c r="GM398" s="436"/>
      <c r="GN398" s="436"/>
      <c r="GO398" s="436"/>
      <c r="GP398" s="436"/>
      <c r="GQ398" s="436"/>
      <c r="GR398" s="436"/>
      <c r="GS398" s="436"/>
      <c r="GT398" s="436"/>
      <c r="GU398" s="436"/>
      <c r="GV398" s="436"/>
      <c r="GW398" s="436"/>
      <c r="GX398" s="440"/>
    </row>
    <row r="399" spans="182:206" ht="24" customHeight="1" thickBot="1">
      <c r="FZ399" s="444"/>
      <c r="GA399" s="1917" t="str">
        <f>'Вывод расчетов'!$CC$9</f>
        <v>Раздел 3</v>
      </c>
      <c r="GB399" s="1915"/>
      <c r="GC399" s="1915"/>
      <c r="GD399" s="445"/>
      <c r="GE399" s="1917" t="str">
        <f>'Вывод расчетов'!$CF$9</f>
        <v>Расчет обмотки статора</v>
      </c>
      <c r="GF399" s="1915"/>
      <c r="GG399" s="1915"/>
      <c r="GH399" s="1915"/>
      <c r="GI399" s="1915"/>
      <c r="GJ399" s="1915"/>
      <c r="GK399" s="1915"/>
      <c r="GL399" s="1915"/>
      <c r="GM399" s="1915"/>
      <c r="GN399" s="1915"/>
      <c r="GO399" s="1915"/>
      <c r="GP399" s="1918"/>
      <c r="GQ399" s="445"/>
      <c r="GR399" s="1917" t="s">
        <v>1502</v>
      </c>
      <c r="GS399" s="1915"/>
      <c r="GT399" s="1918"/>
      <c r="GU399" s="445"/>
      <c r="GV399" s="1917">
        <v>11</v>
      </c>
      <c r="GW399" s="1918"/>
      <c r="GX399" s="446"/>
    </row>
  </sheetData>
  <mergeCells count="60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T38:V38"/>
    <mergeCell ref="X38:Y38"/>
    <mergeCell ref="AG57:AI57"/>
    <mergeCell ref="AK57:AV57"/>
    <mergeCell ref="AX57:AZ57"/>
    <mergeCell ref="BB57:BC57"/>
    <mergeCell ref="A39:Z39"/>
    <mergeCell ref="A58:Z58"/>
    <mergeCell ref="B38:D38"/>
    <mergeCell ref="B57:D57"/>
    <mergeCell ref="F38:R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F77:BD77"/>
    <mergeCell ref="AG95:AI95"/>
    <mergeCell ref="AK95:AV95"/>
    <mergeCell ref="AX95:AZ95"/>
    <mergeCell ref="BB95:BC95"/>
    <mergeCell ref="AF96:BD96"/>
    <mergeCell ref="AG114:AI114"/>
    <mergeCell ref="AK114:AV114"/>
    <mergeCell ref="AX114:AZ114"/>
    <mergeCell ref="BB114:BC114"/>
    <mergeCell ref="AF115:BD115"/>
    <mergeCell ref="AG133:AI133"/>
    <mergeCell ref="AK133:AV133"/>
    <mergeCell ref="AX133:AZ133"/>
    <mergeCell ref="BB133:BC133"/>
    <mergeCell ref="AF134:BD134"/>
    <mergeCell ref="AG152:AI152"/>
    <mergeCell ref="AK152:AV152"/>
    <mergeCell ref="AX152:AZ152"/>
    <mergeCell ref="BB152:BC152"/>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CZ38:DA38"/>
    <mergeCell ref="CD39:DB39"/>
    <mergeCell ref="CE57:CG57"/>
    <mergeCell ref="CI57:CT57"/>
    <mergeCell ref="CV57:CX57"/>
    <mergeCell ref="CZ57:DA57"/>
    <mergeCell ref="CE76:CG76"/>
    <mergeCell ref="CI76:CT76"/>
    <mergeCell ref="CV76:CX76"/>
    <mergeCell ref="CZ76:DA76"/>
    <mergeCell ref="CD58:DB58"/>
    <mergeCell ref="CD77:DB77"/>
    <mergeCell ref="CE95:CG95"/>
    <mergeCell ref="CI95:CT95"/>
    <mergeCell ref="CV95:CX95"/>
    <mergeCell ref="CZ95:DA95"/>
    <mergeCell ref="CD96:DB96"/>
    <mergeCell ref="CE114:CG114"/>
    <mergeCell ref="CI114:CT114"/>
    <mergeCell ref="CV114:CX114"/>
    <mergeCell ref="CZ114:DA114"/>
    <mergeCell ref="CD115:DB115"/>
    <mergeCell ref="CE133:CG133"/>
    <mergeCell ref="CI133:CT133"/>
    <mergeCell ref="CV133:CX133"/>
    <mergeCell ref="CZ133:DA133"/>
    <mergeCell ref="CD134:DB134"/>
    <mergeCell ref="CE152:CG152"/>
    <mergeCell ref="CI152:CT152"/>
    <mergeCell ref="CV152:CX152"/>
    <mergeCell ref="CZ152:DA152"/>
    <mergeCell ref="MA47:MY47"/>
    <mergeCell ref="MB65:MD65"/>
    <mergeCell ref="MF65:MQ65"/>
    <mergeCell ref="MS65:MU65"/>
    <mergeCell ref="MW65:MX65"/>
    <mergeCell ref="DD57:DF57"/>
    <mergeCell ref="DH57:DS57"/>
    <mergeCell ref="DU57:DW57"/>
    <mergeCell ref="DY57:DZ57"/>
    <mergeCell ref="DC58:EA58"/>
    <mergeCell ref="FZ58:GX58"/>
    <mergeCell ref="DD76:DF76"/>
    <mergeCell ref="DH76:DS76"/>
    <mergeCell ref="DU76:DW76"/>
    <mergeCell ref="DY76:DZ76"/>
    <mergeCell ref="DC77:EA77"/>
    <mergeCell ref="DD95:DF95"/>
    <mergeCell ref="DH95:DS95"/>
    <mergeCell ref="DU95:DW95"/>
    <mergeCell ref="DY95:DZ95"/>
    <mergeCell ref="DC96:EA96"/>
    <mergeCell ref="DD114:DF114"/>
    <mergeCell ref="DH114:DS114"/>
    <mergeCell ref="DU114:DW114"/>
    <mergeCell ref="DY114:DZ114"/>
    <mergeCell ref="DC115:EA115"/>
    <mergeCell ref="DD133:DF133"/>
    <mergeCell ref="DH133:DS133"/>
    <mergeCell ref="DU133:DW133"/>
    <mergeCell ref="DY133:DZ133"/>
    <mergeCell ref="DC134:EA134"/>
    <mergeCell ref="DD152:DF152"/>
    <mergeCell ref="DH152:DS152"/>
    <mergeCell ref="DU152:DW152"/>
    <mergeCell ref="DY152:DZ152"/>
    <mergeCell ref="DC153:EA153"/>
    <mergeCell ref="DD171:DF171"/>
    <mergeCell ref="DH171:DS171"/>
    <mergeCell ref="DU171:DW171"/>
    <mergeCell ref="DY171:DZ171"/>
    <mergeCell ref="DC172:EA172"/>
    <mergeCell ref="DD190:DF190"/>
    <mergeCell ref="DH190:DS190"/>
    <mergeCell ref="DU190:DW190"/>
    <mergeCell ref="DY190:DZ190"/>
    <mergeCell ref="DC191:EA191"/>
    <mergeCell ref="DD209:DF209"/>
    <mergeCell ref="DH209:DS209"/>
    <mergeCell ref="DU209:DW209"/>
    <mergeCell ref="DY209:DZ209"/>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EC76:EE76"/>
    <mergeCell ref="EG76:ER76"/>
    <mergeCell ref="ET76:EV76"/>
    <mergeCell ref="EX76:EY76"/>
    <mergeCell ref="EB77:EZ77"/>
    <mergeCell ref="EC95:EE95"/>
    <mergeCell ref="EG95:ER95"/>
    <mergeCell ref="ET95:EV95"/>
    <mergeCell ref="EX95:EY95"/>
    <mergeCell ref="EB96:EZ96"/>
    <mergeCell ref="EC114:EE114"/>
    <mergeCell ref="EG114:ER114"/>
    <mergeCell ref="ET114:EV114"/>
    <mergeCell ref="EX114:EY114"/>
    <mergeCell ref="EB115:EZ115"/>
    <mergeCell ref="EC133:EE133"/>
    <mergeCell ref="EG133:ER133"/>
    <mergeCell ref="ET133:EV133"/>
    <mergeCell ref="EX133:EY133"/>
    <mergeCell ref="EB134:EZ134"/>
    <mergeCell ref="EC152:EE152"/>
    <mergeCell ref="EG152:ER152"/>
    <mergeCell ref="ET152:EV152"/>
    <mergeCell ref="EX152:EY152"/>
    <mergeCell ref="EB153:EZ153"/>
    <mergeCell ref="EC171:EE171"/>
    <mergeCell ref="EG171:ER171"/>
    <mergeCell ref="ET171:EV171"/>
    <mergeCell ref="EX171:EY171"/>
    <mergeCell ref="EB172:EZ172"/>
    <mergeCell ref="EC190:EE190"/>
    <mergeCell ref="EG190:ER190"/>
    <mergeCell ref="ET190:EV190"/>
    <mergeCell ref="EX190:EY190"/>
    <mergeCell ref="EB191:EZ191"/>
    <mergeCell ref="EC209:EE209"/>
    <mergeCell ref="EG209:ER209"/>
    <mergeCell ref="ET209:EV209"/>
    <mergeCell ref="EX209:EY209"/>
    <mergeCell ref="EB210:EZ210"/>
    <mergeCell ref="EC228:EE228"/>
    <mergeCell ref="EG228:ER228"/>
    <mergeCell ref="ET228:EV228"/>
    <mergeCell ref="EX228:EY228"/>
    <mergeCell ref="EB229:EZ229"/>
    <mergeCell ref="EC247:EE247"/>
    <mergeCell ref="EG247:ER247"/>
    <mergeCell ref="ET247:EV247"/>
    <mergeCell ref="EX247:EY247"/>
    <mergeCell ref="EB248:EZ248"/>
    <mergeCell ref="EC266:EE266"/>
    <mergeCell ref="EG266:ER266"/>
    <mergeCell ref="ET266:EV266"/>
    <mergeCell ref="EX266:EY266"/>
    <mergeCell ref="EB267:EZ267"/>
    <mergeCell ref="EC285:EE285"/>
    <mergeCell ref="EG285:ER285"/>
    <mergeCell ref="ET285:EV285"/>
    <mergeCell ref="EX285:EY285"/>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FA96:FY96"/>
    <mergeCell ref="FB114:FD114"/>
    <mergeCell ref="FF114:FQ114"/>
    <mergeCell ref="FS114:FU114"/>
    <mergeCell ref="FW114:FX114"/>
    <mergeCell ref="FA115:FY115"/>
    <mergeCell ref="FB133:FD133"/>
    <mergeCell ref="FF133:FQ133"/>
    <mergeCell ref="FS133:FU133"/>
    <mergeCell ref="FW133:FX133"/>
    <mergeCell ref="FZ20:GX20"/>
    <mergeCell ref="GA38:GC38"/>
    <mergeCell ref="GE38:GP38"/>
    <mergeCell ref="GR38:GT38"/>
    <mergeCell ref="GV38:GW38"/>
    <mergeCell ref="FZ39:GX39"/>
    <mergeCell ref="GA57:GC57"/>
    <mergeCell ref="GE57:GP57"/>
    <mergeCell ref="GR57:GT57"/>
    <mergeCell ref="GV57:GW57"/>
    <mergeCell ref="GA76:GC76"/>
    <mergeCell ref="GE76:GP76"/>
    <mergeCell ref="GR76:GT76"/>
    <mergeCell ref="GV76:GW76"/>
    <mergeCell ref="FZ77:GX77"/>
    <mergeCell ref="GA95:GC95"/>
    <mergeCell ref="GE95:GP95"/>
    <mergeCell ref="GR95:GT95"/>
    <mergeCell ref="GV95:GW95"/>
    <mergeCell ref="FZ96:GX96"/>
    <mergeCell ref="GA114:GC114"/>
    <mergeCell ref="GE114:GP114"/>
    <mergeCell ref="GR114:GT114"/>
    <mergeCell ref="GV114:GW114"/>
    <mergeCell ref="FZ115:GX115"/>
    <mergeCell ref="GA133:GC133"/>
    <mergeCell ref="GE133:GP133"/>
    <mergeCell ref="GR133:GT133"/>
    <mergeCell ref="GV133:GW133"/>
    <mergeCell ref="FZ134:GX134"/>
    <mergeCell ref="GA152:GC152"/>
    <mergeCell ref="GE152:GP152"/>
    <mergeCell ref="GR152:GT152"/>
    <mergeCell ref="GV152:GW152"/>
    <mergeCell ref="FZ153:GX153"/>
    <mergeCell ref="GA171:GC171"/>
    <mergeCell ref="GE171:GP171"/>
    <mergeCell ref="GR171:GT171"/>
    <mergeCell ref="GV171:GW171"/>
    <mergeCell ref="FZ172:GX172"/>
    <mergeCell ref="GA190:GC190"/>
    <mergeCell ref="GE190:GP190"/>
    <mergeCell ref="GR190:GT190"/>
    <mergeCell ref="GV190:GW190"/>
    <mergeCell ref="FZ191:GX191"/>
    <mergeCell ref="GA209:GC209"/>
    <mergeCell ref="GE209:GP209"/>
    <mergeCell ref="GR209:GT209"/>
    <mergeCell ref="GV209:GW209"/>
    <mergeCell ref="FZ210:GX210"/>
    <mergeCell ref="GA228:GC228"/>
    <mergeCell ref="GE228:GP228"/>
    <mergeCell ref="GR228:GT228"/>
    <mergeCell ref="GV228:GW228"/>
    <mergeCell ref="FZ229:GX229"/>
    <mergeCell ref="GA247:GC247"/>
    <mergeCell ref="GE247:GP247"/>
    <mergeCell ref="GR247:GT247"/>
    <mergeCell ref="GV247:GW247"/>
    <mergeCell ref="FZ248:GX248"/>
    <mergeCell ref="GA266:GC266"/>
    <mergeCell ref="GE266:GP266"/>
    <mergeCell ref="GR266:GT266"/>
    <mergeCell ref="GV266:GW266"/>
    <mergeCell ref="FZ267:GX267"/>
    <mergeCell ref="GA285:GC285"/>
    <mergeCell ref="GE285:GP285"/>
    <mergeCell ref="GR285:GT285"/>
    <mergeCell ref="GV285:GW285"/>
    <mergeCell ref="FZ286:GX286"/>
    <mergeCell ref="GA304:GC304"/>
    <mergeCell ref="GE304:GP304"/>
    <mergeCell ref="GR304:GT304"/>
    <mergeCell ref="GV304:GW304"/>
    <mergeCell ref="FZ305:GX305"/>
    <mergeCell ref="GA323:GC323"/>
    <mergeCell ref="GE323:GP323"/>
    <mergeCell ref="GR323:GT323"/>
    <mergeCell ref="GV323:GW323"/>
    <mergeCell ref="FZ324:GX324"/>
    <mergeCell ref="GA342:GC342"/>
    <mergeCell ref="GE342:GP342"/>
    <mergeCell ref="GR342:GT342"/>
    <mergeCell ref="GV342:GW342"/>
    <mergeCell ref="FZ343:GX343"/>
    <mergeCell ref="GA361:GC361"/>
    <mergeCell ref="GE361:GP361"/>
    <mergeCell ref="GR361:GT361"/>
    <mergeCell ref="GV361:GW361"/>
    <mergeCell ref="FZ362:GX362"/>
    <mergeCell ref="GA380:GC380"/>
    <mergeCell ref="GE380:GP380"/>
    <mergeCell ref="GR380:GT380"/>
    <mergeCell ref="GV380:GW380"/>
    <mergeCell ref="FZ381:GX381"/>
    <mergeCell ref="GA399:GC399"/>
    <mergeCell ref="GE399:GP399"/>
    <mergeCell ref="GR399:GT399"/>
    <mergeCell ref="GV399:GW399"/>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GZ76:HB76"/>
    <mergeCell ref="HD76:HO76"/>
    <mergeCell ref="HQ76:HS76"/>
    <mergeCell ref="HU76:HV76"/>
    <mergeCell ref="GY77:HW77"/>
    <mergeCell ref="GZ95:HB95"/>
    <mergeCell ref="HD95:HO95"/>
    <mergeCell ref="HQ95:HS95"/>
    <mergeCell ref="HU95:HV95"/>
    <mergeCell ref="GY96:HW96"/>
    <mergeCell ref="GZ114:HB114"/>
    <mergeCell ref="HD114:HO114"/>
    <mergeCell ref="HQ114:HS114"/>
    <mergeCell ref="HU114:HV114"/>
    <mergeCell ref="GY115:HW115"/>
    <mergeCell ref="GZ133:HB133"/>
    <mergeCell ref="HD133:HO133"/>
    <mergeCell ref="HQ133:HS133"/>
    <mergeCell ref="HU133:HV133"/>
    <mergeCell ref="GY134:HW134"/>
    <mergeCell ref="GZ152:HB152"/>
    <mergeCell ref="HD152:HO152"/>
    <mergeCell ref="HQ152:HS152"/>
    <mergeCell ref="HU152:HV152"/>
    <mergeCell ref="GY153:HW153"/>
    <mergeCell ref="GZ171:HB171"/>
    <mergeCell ref="HD171:HO171"/>
    <mergeCell ref="HQ171:HS171"/>
    <mergeCell ref="HU171:HV171"/>
    <mergeCell ref="GY172:HW172"/>
    <mergeCell ref="GZ190:HB190"/>
    <mergeCell ref="HD190:HO190"/>
    <mergeCell ref="HQ190:HS190"/>
    <mergeCell ref="HU190:HV190"/>
    <mergeCell ref="GY191:HW191"/>
    <mergeCell ref="GZ209:HB209"/>
    <mergeCell ref="HD209:HO209"/>
    <mergeCell ref="HQ209:HS209"/>
    <mergeCell ref="HU209:HV209"/>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2021-04-21T17:55:52Z</dcterms:modified>
</cp:coreProperties>
</file>